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系统读取表" sheetId="4" r:id="rId1"/>
    <sheet name="结果表" sheetId="5" r:id="rId2"/>
    <sheet name="面积表" sheetId="6" r:id="rId3"/>
    <sheet name="Sheet1" sheetId="1" r:id="rId4"/>
    <sheet name="Sheet2" sheetId="2" r:id="rId5"/>
    <sheet name="Sheet3" sheetId="3" r:id="rId6"/>
  </sheets>
  <externalReferences>
    <externalReference r:id="rId7"/>
  </externalReferences>
  <definedNames>
    <definedName name="办公层高">'[1]不动产比较法-办公'!$B$119:$M$119</definedName>
    <definedName name="办公朝向">'[1]不动产比较法-办公'!$B$91:$M$91</definedName>
    <definedName name="办公道路级别">'[1]不动产比较法-办公'!$B$87:$M$87</definedName>
    <definedName name="办公公共部分装修">'[1]不动产比较法-办公'!$B$108:$M$108</definedName>
    <definedName name="办公基础设施水平">'[1]不动产比较法-办公'!$B$117:$M$117</definedName>
    <definedName name="办公集聚程度">[1]定义!$M$1:$M$6</definedName>
    <definedName name="办公建筑结构">'[1]不动产比较法-办公'!$B$106:$M$106</definedName>
    <definedName name="办公建筑类型">'[1]不动产比较法-办公'!$B$101:$M$101</definedName>
    <definedName name="办公交易情况">'[1]不动产比较法-办公'!$A$62:$M$62</definedName>
    <definedName name="办公楼层">'[1]不动产比较法-办公'!$B$89:$M$89</definedName>
    <definedName name="办公内部装修">'[1]不动产比较法-办公'!$B$123:$M$123</definedName>
    <definedName name="办公物业管理">'[1]不动产比较法-办公'!$B$115:$M$115</definedName>
    <definedName name="办公用途">'[1]不动产比较法-办公'!$B$64:$M$64</definedName>
    <definedName name="仓储公共部分装修">'[1]不动产比较法-仓储'!$B$77:$M$77</definedName>
    <definedName name="仓储交易情况">'[1]不动产比较法-仓储'!$A$49:$M$49</definedName>
    <definedName name="仓储楼层">'[1]不动产比较法-仓储'!$B$69:$M$69</definedName>
    <definedName name="仓储物业等级">'[1]不动产比较法-仓储'!$B$82:$M$82</definedName>
    <definedName name="仓储用途">'[1]不动产比较法-仓储'!$B$51:$M$51</definedName>
    <definedName name="产业集聚程度">[1]定义!$N$1:$N$6</definedName>
    <definedName name="车位公共部分装修">'[1]不动产比较法-车位'!$B$83:$M$83</definedName>
    <definedName name="车位交易情况">'[1]不动产比较法-车位'!$A$51:$M$51</definedName>
    <definedName name="车位类型">'[1]不动产比较法-车位'!$B$93:$M$93</definedName>
    <definedName name="车位楼层">'[1]不动产比较法-车位'!$B$71:$M$71</definedName>
    <definedName name="车位配套类型">'[1]不动产比较法-车位'!$B$79:$M$79</definedName>
    <definedName name="车位物业等级">'[1]不动产比较法-车位'!$B$88:$M$88</definedName>
    <definedName name="车位用途">'[1]不动产比较法-车位'!$B$53:$M$53</definedName>
    <definedName name="城镇土地纳税等级分级范围">'[1]数据-取费表'!$A$53:$A$63</definedName>
    <definedName name="单价内涵">[1]定义!$V$1:$V$3</definedName>
    <definedName name="地类判定">[1]定义!$H$1:$H$9</definedName>
    <definedName name="二级分类">[1]修正!$C$17:$C$39</definedName>
    <definedName name="法定最高年限">[1]定义!$G$2:$G$4</definedName>
    <definedName name="工业公共部分装修">'[1]不动产比较法-工业'!$B$95:$M$95</definedName>
    <definedName name="工业基础设施水平">'[1]不动产比较法-工业'!$B$102:$M$102</definedName>
    <definedName name="工业建筑结构">'[1]不动产比较法-工业'!$B$93:$M$93</definedName>
    <definedName name="工业建筑类型">'[1]不动产比较法-工业'!$B$88:$M$88</definedName>
    <definedName name="工业交易情况">'[1]不动产比较法-工业'!$A$55:$M$55</definedName>
    <definedName name="工业内部装修">'[1]不动产比较法-工业'!$B$104:$M$104</definedName>
    <definedName name="工业物业管理">'[1]不动产比较法-工业'!$B$100:$M$100</definedName>
    <definedName name="工业用途">'[1]不动产比较法-工业'!$B$57:$M$57</definedName>
    <definedName name="公共配套设施">[1]定义!$Q$1:$Q$6</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居住社区成熟度">[1]定义!$K$1:$K$6</definedName>
    <definedName name="类别">[1]定义!$J$1:$J$3</definedName>
    <definedName name="临街状况">[1]定义!$T$1:$T$5</definedName>
    <definedName name="内部装修维护情况">[1]定义!$U$1:$U$6</definedName>
    <definedName name="判定">[1]定义!$D$1:$D$4</definedName>
    <definedName name="七通一平">[1]修正!$A$6:$A$14</definedName>
    <definedName name="区域土地利用方向">[1]定义!$P$1:$P$6</definedName>
    <definedName name="商业层高">'[1]不动产比较法-商业'!$B$116:$M$116</definedName>
    <definedName name="商业繁华度">[1]定义!$L$1:$L$6</definedName>
    <definedName name="商业公共部分装修">'[1]不动产比较法-商业'!$B$107:$M$107</definedName>
    <definedName name="商业基础设施水平">'[1]不动产比较法-商业'!$B$112:$M$112</definedName>
    <definedName name="商业建筑结构">'[1]不动产比较法-商业'!$B$105:$M$105</definedName>
    <definedName name="商业交易情况">'[1]不动产比较法-商业'!$A$61:$M$61</definedName>
    <definedName name="商业街名称">[1]修正!$C$59:$C$119</definedName>
    <definedName name="商业进深比">'[1]不动产比较法-商业'!$B$120:$M$120</definedName>
    <definedName name="商业类型">'[1]不动产比较法-商业'!$B$100:$M$100</definedName>
    <definedName name="商业临街状况">'[1]不动产比较法-商业'!$B$86:$M$86</definedName>
    <definedName name="商业楼层">'[1]不动产比较法-商业'!$B$92:$M$92</definedName>
    <definedName name="商业内部装修">'[1]不动产比较法-商业'!$B$122:$M$122</definedName>
    <definedName name="商业人流量">'[1]不动产比较法-商业'!$B$90:$M$90</definedName>
    <definedName name="商业业态">'[1]不动产比较法-商业'!$B$114:$M$114</definedName>
    <definedName name="商业用途">'[1]不动产比较法-商业'!$B$63:$M$63</definedName>
    <definedName name="是否封闭">'[1]不动产比较法-仓储'!$B$89:$M$89</definedName>
    <definedName name="是否直接入户">'[1]不动产比较法-车位'!$B$95:$M$95</definedName>
    <definedName name="套工工程地质条件">'[1]比较法-工业'!$B$116:$M$116</definedName>
    <definedName name="套工交易情况">'[1]比较法-住宅、综合'!$A$75:$M$75</definedName>
    <definedName name="套工开发程度">'[1]比较法-工业'!$B$114:$M$114</definedName>
    <definedName name="套工临街等级">'[1]比较法-工业'!$B$99:$M$99</definedName>
    <definedName name="套工土地级别">'[1]比较法-工业'!$B$101:$M$101</definedName>
    <definedName name="套工用途">'[1]比较法-工业'!$B$72:$M$72</definedName>
    <definedName name="套工宗地形状">'[1]比较法-工业'!$B$112:$M$112</definedName>
    <definedName name="套综道路等级">'[1]比较法-住宅、综合'!$B$108:$M$108</definedName>
    <definedName name="套综工程地质条件">'[1]比较法-住宅、综合'!$B$127:$M$127</definedName>
    <definedName name="套综交易情况">'[1]比较法-住宅、综合'!$A$75:$M$75</definedName>
    <definedName name="套综临街宽度及深度">'[1]比较法-住宅、综合'!$B$123:$M$123</definedName>
    <definedName name="套综土地级别">'[1]比较法-住宅、综合'!$B$110:$M$110</definedName>
    <definedName name="套综用途">'[1]比较法-住宅、综合'!$B$77:$M$77</definedName>
    <definedName name="套综宗地内开发程度">'[1]比较法-住宅、综合'!$B$125:$M$125</definedName>
    <definedName name="套综宗地形状">'[1]比较法-住宅、综合'!$B$121:$M$121</definedName>
    <definedName name="土地估价师">[1]估价师及机构信息!$D$3:$D$24</definedName>
    <definedName name="土地级别">[1]定义!$C$1:$C$14</definedName>
    <definedName name="土地年限区间">[1]定义!$I$1:$I$8</definedName>
    <definedName name="位置">[1]定义!$E$2:$E$4</definedName>
    <definedName name="五等判定">[1]定义!$W$1:$W$6</definedName>
    <definedName name="项目类型">'[1]数据-汇总表'!$C$17:$C$26</definedName>
    <definedName name="写字楼等级">'[1]不动产比较法-办公'!$B$113:$M$113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类型">[1]定义!$A$1:$A$50</definedName>
    <definedName name="有无电梯">'[1]不动产比较法-仓储'!$B$84:$M$84</definedName>
    <definedName name="主用途">[1]定义!$F$1:$F$10</definedName>
    <definedName name="住宅朝向">'[1]不动产比较法-住宅'!$B$88:$M$88</definedName>
    <definedName name="住宅房型">'[1]不动产比较法-住宅'!$B$118:$M$118</definedName>
    <definedName name="住宅公共部分装修">'[1]不动产比较法-住宅'!$B$109:$M$109</definedName>
    <definedName name="住宅基础设施水平">'[1]不动产比较法-住宅'!$B$116:$M$116</definedName>
    <definedName name="住宅建筑结构">'[1]不动产比较法-住宅'!$B$105:$M$105</definedName>
    <definedName name="住宅建筑类型">'[1]不动产比较法-住宅'!$B$100:$M$100</definedName>
    <definedName name="住宅建筑品质">'[1]不动产比较法-住宅'!$B$107:$M$107</definedName>
    <definedName name="住宅交易情况">'[1]不动产比较法-住宅'!$A$61:$M$61</definedName>
    <definedName name="住宅楼层">'[1]不动产比较法-住宅'!$B$86:$M$86</definedName>
    <definedName name="住宅内部装修">'[1]不动产比较法-住宅'!$B$122:$M$122</definedName>
    <definedName name="住宅物业管理">'[1]不动产比较法-住宅'!$B$114:$M$114</definedName>
    <definedName name="住宅用途">'[1]不动产比较法-住宅'!$B$63:$M$63</definedName>
  </definedNames>
  <calcPr calcId="144525"/>
</workbook>
</file>

<file path=xl/calcChain.xml><?xml version="1.0" encoding="utf-8"?>
<calcChain xmlns="http://schemas.openxmlformats.org/spreadsheetml/2006/main">
  <c r="C14" i="4" l="1"/>
  <c r="B2" i="4" s="1"/>
  <c r="B14" i="4"/>
  <c r="J82" i="6"/>
  <c r="K76" i="6"/>
  <c r="K77" i="6" s="1"/>
  <c r="K80" i="6" s="1"/>
  <c r="Q10" i="6" s="1"/>
  <c r="H55" i="6"/>
  <c r="H54" i="6"/>
  <c r="H56" i="6" s="1"/>
  <c r="H52" i="6"/>
  <c r="H51" i="6"/>
  <c r="H50" i="6"/>
  <c r="H49" i="6"/>
  <c r="H53" i="6" s="1"/>
  <c r="H57" i="6" s="1"/>
  <c r="E49" i="6" s="1"/>
  <c r="C49" i="6"/>
  <c r="K72" i="6" s="1"/>
  <c r="H46" i="6"/>
  <c r="H45" i="6"/>
  <c r="H47" i="6" s="1"/>
  <c r="H43" i="6"/>
  <c r="H42" i="6"/>
  <c r="H41" i="6"/>
  <c r="H40" i="6"/>
  <c r="H44" i="6" s="1"/>
  <c r="H48" i="6" s="1"/>
  <c r="C40" i="6"/>
  <c r="K46" i="6" s="1"/>
  <c r="H37" i="6"/>
  <c r="H36" i="6"/>
  <c r="H38" i="6" s="1"/>
  <c r="H34" i="6"/>
  <c r="H33" i="6"/>
  <c r="H32" i="6"/>
  <c r="H31" i="6"/>
  <c r="H35" i="6" s="1"/>
  <c r="H39" i="6" s="1"/>
  <c r="C31" i="6"/>
  <c r="K36" i="6" s="1"/>
  <c r="H18" i="6"/>
  <c r="H17" i="6"/>
  <c r="H19" i="6" s="1"/>
  <c r="H15" i="6"/>
  <c r="H14" i="6"/>
  <c r="H13" i="6"/>
  <c r="H12" i="6"/>
  <c r="H16" i="6" s="1"/>
  <c r="H20" i="6" s="1"/>
  <c r="H11" i="6"/>
  <c r="C11" i="6"/>
  <c r="K27" i="6" s="1"/>
  <c r="O10" i="6"/>
  <c r="N10" i="6"/>
  <c r="P10" i="6" s="1"/>
  <c r="O8" i="6"/>
  <c r="N8" i="6"/>
  <c r="P8" i="6" s="1"/>
  <c r="H8" i="6"/>
  <c r="H7" i="6"/>
  <c r="H9" i="6" s="1"/>
  <c r="O6" i="6"/>
  <c r="N6" i="6"/>
  <c r="P6" i="6" s="1"/>
  <c r="H5" i="6"/>
  <c r="O4" i="6"/>
  <c r="N4" i="6"/>
  <c r="P4" i="6" s="1"/>
  <c r="H4" i="6"/>
  <c r="H3" i="6"/>
  <c r="N2" i="6"/>
  <c r="N11" i="6" s="1"/>
  <c r="H2" i="6"/>
  <c r="H6" i="6" s="1"/>
  <c r="C2" i="6"/>
  <c r="K8" i="6" s="1"/>
  <c r="C112" i="5"/>
  <c r="D111" i="5"/>
  <c r="C109" i="5"/>
  <c r="E108" i="5"/>
  <c r="D107" i="5"/>
  <c r="C107" i="5"/>
  <c r="C105" i="5" s="1"/>
  <c r="D96" i="5"/>
  <c r="H95" i="5"/>
  <c r="D95" i="5"/>
  <c r="C95" i="5" s="1"/>
  <c r="C94" i="5"/>
  <c r="D86" i="5"/>
  <c r="F77" i="5"/>
  <c r="E77" i="5"/>
  <c r="O76" i="5"/>
  <c r="N76" i="5"/>
  <c r="L76" i="5"/>
  <c r="K76" i="5"/>
  <c r="P75" i="5"/>
  <c r="O75" i="5"/>
  <c r="L75" i="5"/>
  <c r="K75" i="5"/>
  <c r="K77" i="5" s="1"/>
  <c r="K79" i="5" s="1"/>
  <c r="K81" i="5" s="1"/>
  <c r="O74" i="5"/>
  <c r="F74" i="5"/>
  <c r="P74" i="5" s="1"/>
  <c r="O73" i="5"/>
  <c r="N73" i="5"/>
  <c r="I73" i="5"/>
  <c r="F73" i="5"/>
  <c r="P73" i="5" s="1"/>
  <c r="D73" i="5"/>
  <c r="F72" i="5"/>
  <c r="F71" i="5"/>
  <c r="F70" i="5"/>
  <c r="N67" i="5"/>
  <c r="F66" i="5"/>
  <c r="P72" i="5" s="1"/>
  <c r="E66" i="5"/>
  <c r="O72" i="5" s="1"/>
  <c r="C46" i="5"/>
  <c r="E46" i="5" s="1"/>
  <c r="A46" i="5"/>
  <c r="A45" i="5"/>
  <c r="C45" i="5" s="1"/>
  <c r="K44" i="5"/>
  <c r="A44" i="5"/>
  <c r="K43" i="5"/>
  <c r="C43" i="5"/>
  <c r="K47" i="5" s="1"/>
  <c r="K41" i="5"/>
  <c r="K40" i="5"/>
  <c r="K39" i="5"/>
  <c r="L38" i="5"/>
  <c r="K38" i="5"/>
  <c r="K33" i="5"/>
  <c r="K34" i="5" s="1"/>
  <c r="K31" i="5"/>
  <c r="K32" i="5" s="1"/>
  <c r="C25" i="5"/>
  <c r="C24" i="5"/>
  <c r="D17" i="5"/>
  <c r="C17" i="5"/>
  <c r="C18" i="5" s="1"/>
  <c r="M4" i="5"/>
  <c r="L4" i="5"/>
  <c r="A2" i="5"/>
  <c r="F23" i="4"/>
  <c r="E23" i="4"/>
  <c r="F22" i="4"/>
  <c r="E22" i="4"/>
  <c r="F21" i="4"/>
  <c r="E21" i="4"/>
  <c r="F20" i="4"/>
  <c r="E19" i="4"/>
  <c r="F19" i="4"/>
  <c r="F18" i="4"/>
  <c r="E17" i="4"/>
  <c r="F17" i="4"/>
  <c r="F16" i="4"/>
  <c r="E15" i="4"/>
  <c r="F15" i="4"/>
  <c r="I14" i="4"/>
  <c r="H14" i="4"/>
  <c r="B8" i="4"/>
  <c r="B7" i="4"/>
  <c r="B3" i="4"/>
  <c r="B1" i="4"/>
  <c r="C7" i="4" s="1"/>
  <c r="C20" i="5"/>
  <c r="C21" i="5"/>
  <c r="D20" i="5"/>
  <c r="C19" i="5"/>
  <c r="D21" i="5"/>
  <c r="D19" i="5"/>
  <c r="K74" i="6" l="1"/>
  <c r="H10" i="6"/>
  <c r="K11" i="6"/>
  <c r="K21" i="6"/>
  <c r="K23" i="6"/>
  <c r="K25" i="6"/>
  <c r="K32" i="6"/>
  <c r="K33" i="6"/>
  <c r="K37" i="6"/>
  <c r="K38" i="6" s="1"/>
  <c r="K2" i="6"/>
  <c r="K3" i="6"/>
  <c r="K4" i="6"/>
  <c r="K5" i="6"/>
  <c r="K7" i="6"/>
  <c r="K9" i="6" s="1"/>
  <c r="K12" i="6"/>
  <c r="K13" i="6"/>
  <c r="K14" i="6"/>
  <c r="K15" i="6"/>
  <c r="K17" i="6"/>
  <c r="K19" i="6" s="1"/>
  <c r="K18" i="6"/>
  <c r="K22" i="6"/>
  <c r="K24" i="6"/>
  <c r="K28" i="6"/>
  <c r="K29" i="6" s="1"/>
  <c r="K40" i="6"/>
  <c r="K41" i="6"/>
  <c r="K42" i="6"/>
  <c r="K43" i="6"/>
  <c r="K45" i="6"/>
  <c r="K47" i="6" s="1"/>
  <c r="K49" i="6"/>
  <c r="K50" i="6"/>
  <c r="K51" i="6"/>
  <c r="K52" i="6"/>
  <c r="K54" i="6"/>
  <c r="K56" i="6" s="1"/>
  <c r="K55" i="6"/>
  <c r="K59" i="6"/>
  <c r="K61" i="6"/>
  <c r="K63" i="6"/>
  <c r="K67" i="6"/>
  <c r="K69" i="6"/>
  <c r="K73" i="6"/>
  <c r="K31" i="6"/>
  <c r="K35" i="6" s="1"/>
  <c r="K34" i="6"/>
  <c r="K58" i="6"/>
  <c r="K62" i="6" s="1"/>
  <c r="K60" i="6"/>
  <c r="K64" i="6"/>
  <c r="K68" i="6"/>
  <c r="K70" i="6"/>
  <c r="D7" i="4"/>
  <c r="C8" i="4"/>
  <c r="L44" i="5"/>
  <c r="L43" i="5"/>
  <c r="D22" i="5"/>
  <c r="F45" i="5"/>
  <c r="D45" i="5"/>
  <c r="E45" i="5"/>
  <c r="O40" i="5"/>
  <c r="M43" i="5"/>
  <c r="D18" i="5"/>
  <c r="M44" i="5" s="1"/>
  <c r="C92" i="5"/>
  <c r="C110" i="5"/>
  <c r="O41" i="5"/>
  <c r="D46" i="5"/>
  <c r="F46" i="5"/>
  <c r="D8" i="4"/>
  <c r="E16" i="4"/>
  <c r="E18" i="4"/>
  <c r="E20" i="4"/>
  <c r="K39" i="6" l="1"/>
  <c r="Q6" i="6" s="1"/>
  <c r="K65" i="6"/>
  <c r="K71" i="6"/>
  <c r="K75" i="6" s="1"/>
  <c r="K44" i="6"/>
  <c r="K48" i="6" s="1"/>
  <c r="Q8" i="6" s="1"/>
  <c r="K6" i="6"/>
  <c r="K10" i="6" s="1"/>
  <c r="K26" i="6"/>
  <c r="K30" i="6" s="1"/>
  <c r="Q2" i="6"/>
  <c r="Q11" i="6" s="1"/>
  <c r="K66" i="6"/>
  <c r="K53" i="6"/>
  <c r="K57" i="6" s="1"/>
  <c r="K16" i="6"/>
  <c r="K20" i="6" s="1"/>
  <c r="Q4" i="6" s="1"/>
  <c r="G20" i="5"/>
  <c r="G21" i="5"/>
  <c r="K81" i="6" l="1"/>
  <c r="G14" i="4" l="1"/>
  <c r="B6" i="4" s="1"/>
  <c r="C6" i="4" s="1"/>
  <c r="D6" i="4" l="1"/>
  <c r="O2" i="6"/>
  <c r="P2" i="6" s="1"/>
  <c r="P11" i="6" s="1"/>
  <c r="G19" i="5" s="1"/>
  <c r="D14" i="4" s="1"/>
  <c r="F14" i="4" l="1"/>
  <c r="E14" i="4"/>
  <c r="B5" i="4"/>
  <c r="N43" i="5"/>
  <c r="C32" i="5"/>
  <c r="G22" i="5"/>
  <c r="A27" i="5"/>
  <c r="C5" i="4" l="1"/>
  <c r="D5" i="4"/>
  <c r="C33" i="5"/>
  <c r="O38" i="5"/>
  <c r="C34" i="5"/>
  <c r="C42" i="5"/>
  <c r="O43" i="5"/>
  <c r="C35" i="5"/>
  <c r="F42" i="5" s="1"/>
  <c r="D63" i="5" l="1"/>
  <c r="N68" i="5"/>
  <c r="C44" i="5"/>
  <c r="K25" i="5"/>
  <c r="K26" i="5"/>
  <c r="E42" i="5"/>
  <c r="M38" i="5"/>
  <c r="K27" i="5" s="1"/>
  <c r="D42" i="5"/>
  <c r="N38" i="5"/>
  <c r="K28" i="5" s="1"/>
  <c r="D44" i="5" l="1"/>
  <c r="E44" i="5"/>
  <c r="F44" i="5"/>
  <c r="N69" i="5"/>
  <c r="O39" i="5"/>
  <c r="K29" i="5" s="1"/>
  <c r="K30" i="5" s="1"/>
  <c r="C96" i="5"/>
  <c r="C91" i="5" s="1"/>
  <c r="D71" i="5"/>
  <c r="D66" i="5" s="1"/>
  <c r="N72" i="5" s="1"/>
  <c r="C111" i="5"/>
  <c r="C104" i="5" s="1"/>
  <c r="C90" i="5"/>
  <c r="C97" i="5" s="1"/>
  <c r="D77" i="5"/>
  <c r="N75" i="5" s="1"/>
  <c r="D70" i="5"/>
  <c r="C103" i="5"/>
  <c r="C113" i="5" s="1"/>
  <c r="C82" i="5"/>
  <c r="C81" i="5" s="1"/>
  <c r="C85" i="5" s="1"/>
  <c r="C86" i="5" s="1"/>
  <c r="D72" i="5" s="1"/>
  <c r="C114" i="5" l="1"/>
  <c r="E114" i="5" s="1"/>
  <c r="E115" i="5" s="1"/>
  <c r="M83" i="5"/>
  <c r="N83" i="5" s="1"/>
  <c r="M87" i="5"/>
  <c r="N87" i="5" s="1"/>
  <c r="M85" i="5"/>
  <c r="N85" i="5" s="1"/>
  <c r="M84" i="5"/>
  <c r="N84" i="5" s="1"/>
  <c r="M88" i="5"/>
  <c r="N88" i="5" s="1"/>
  <c r="M86" i="5"/>
  <c r="N86" i="5" s="1"/>
  <c r="C98" i="5"/>
  <c r="E98" i="5" s="1"/>
  <c r="E99" i="5" s="1"/>
  <c r="N89" i="5" l="1"/>
  <c r="O89" i="5" s="1"/>
  <c r="C99" i="5"/>
  <c r="C115" i="5"/>
  <c r="D76" i="5" s="1"/>
  <c r="D74" i="5" s="1"/>
  <c r="N74" i="5" s="1"/>
  <c r="O77" i="5" s="1"/>
  <c r="O79" i="5" l="1"/>
  <c r="Q77" i="5"/>
  <c r="O78" i="5"/>
  <c r="O80" i="5" l="1"/>
  <c r="O81" i="5"/>
</calcChain>
</file>

<file path=xl/comments1.xml><?xml version="1.0" encoding="utf-8"?>
<comments xmlns="http://schemas.openxmlformats.org/spreadsheetml/2006/main">
  <authors>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93" author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sharedStrings.xml><?xml version="1.0" encoding="utf-8"?>
<sst xmlns="http://schemas.openxmlformats.org/spreadsheetml/2006/main" count="508" uniqueCount="297">
  <si>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</si>
  <si>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</si>
  <si>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</si>
  <si>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</si>
  <si>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</si>
  <si>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</si>
  <si>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</si>
  <si>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</si>
  <si>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</si>
  <si>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</si>
  <si>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</si>
  <si>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</si>
  <si>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</si>
  <si>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phoneticPr fontId="3" type="noConversion"/>
  </si>
  <si>
    <t>项目名称</t>
    <phoneticPr fontId="3" type="noConversion"/>
  </si>
  <si>
    <t>市场价值（万元）</t>
  </si>
  <si>
    <t>楼面单价（元/平方米）</t>
    <phoneticPr fontId="3" type="noConversion"/>
  </si>
  <si>
    <t>抵押价值（万元）</t>
  </si>
  <si>
    <t>抵押价值-已注销（万元）</t>
  </si>
  <si>
    <t>抵押净值（万元）</t>
  </si>
  <si>
    <t>估价对象1（本表）</t>
    <phoneticPr fontId="3" type="noConversion"/>
  </si>
  <si>
    <t>估价对象2</t>
  </si>
  <si>
    <t>估价对象3</t>
  </si>
  <si>
    <t>估价对象4</t>
  </si>
  <si>
    <t>估价对象5</t>
  </si>
  <si>
    <t>估价对象6</t>
  </si>
  <si>
    <t>估价对象7</t>
  </si>
  <si>
    <t>估价对象8</t>
  </si>
  <si>
    <t>估价对象9</t>
  </si>
  <si>
    <t>估价对象10</t>
  </si>
  <si>
    <t>估价结果（过程）</t>
    <phoneticPr fontId="8" type="noConversion"/>
  </si>
  <si>
    <t>估价对象范围</t>
    <phoneticPr fontId="8" type="noConversion"/>
  </si>
  <si>
    <t>项目全部</t>
  </si>
  <si>
    <t>估价对象状态</t>
    <phoneticPr fontId="8" type="noConversion"/>
  </si>
  <si>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</si>
  <si>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</si>
  <si>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</si>
  <si>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t>剩余法-待开发</t>
  </si>
  <si>
    <t>比较法-住宅、综合</t>
  </si>
  <si>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</si>
  <si>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</si>
  <si>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</si>
  <si>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</si>
  <si>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</si>
  <si>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</si>
  <si>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</si>
  <si>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</si>
  <si>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</si>
  <si>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</si>
  <si>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</si>
  <si>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</si>
  <si>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</si>
  <si>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</si>
  <si>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</si>
  <si>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</si>
  <si>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</si>
  <si>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</si>
  <si>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</si>
  <si>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</si>
  <si>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8" type="noConversion"/>
  </si>
  <si>
    <r>
      <rPr>
        <sz val="11"/>
        <color indexed="8"/>
        <rFont val="仿宋_GB2312"/>
        <family val="3"/>
        <charset val="134"/>
      </rPr>
      <t>总价</t>
    </r>
    <phoneticPr fontId="8" type="noConversion"/>
  </si>
  <si>
    <r>
      <rPr>
        <b/>
        <sz val="11"/>
        <color indexed="8"/>
        <rFont val="仿宋_GB2312"/>
        <family val="3"/>
        <charset val="134"/>
      </rPr>
      <t>权重结果</t>
    </r>
    <phoneticPr fontId="8" type="noConversion"/>
  </si>
  <si>
    <r>
      <rPr>
        <sz val="10"/>
        <color indexed="8"/>
        <rFont val="仿宋_GB2312"/>
        <family val="3"/>
        <charset val="134"/>
      </rPr>
      <t>万元</t>
    </r>
    <phoneticPr fontId="8" type="noConversion"/>
  </si>
  <si>
    <r>
      <rPr>
        <sz val="11"/>
        <color indexed="8"/>
        <rFont val="仿宋_GB2312"/>
        <family val="3"/>
        <charset val="134"/>
      </rPr>
      <t>楼面地价</t>
    </r>
    <phoneticPr fontId="8"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</si>
  <si>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8" type="noConversion"/>
  </si>
  <si>
    <r>
      <rPr>
        <sz val="11"/>
        <color indexed="8"/>
        <rFont val="仿宋_GB2312"/>
        <family val="3"/>
        <charset val="134"/>
      </rPr>
      <t>单位面积地价</t>
    </r>
    <phoneticPr fontId="8"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</si>
  <si>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</si>
  <si>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</si>
  <si>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</si>
  <si>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8"/>
        <rFont val="仿宋_GB2312"/>
        <family val="3"/>
        <charset val="134"/>
      </rPr>
      <t>楼面地价</t>
    </r>
  </si>
  <si>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</si>
  <si>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</si>
  <si>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</si>
  <si>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</si>
  <si>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</si>
  <si>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</si>
  <si>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r>
      <rPr>
        <b/>
        <sz val="11"/>
        <color indexed="8"/>
        <rFont val="仿宋_GB2312"/>
        <family val="3"/>
        <charset val="134"/>
      </rPr>
      <t>土地价格</t>
    </r>
    <phoneticPr fontId="8" type="noConversion"/>
  </si>
  <si>
    <r>
      <rPr>
        <b/>
        <sz val="11"/>
        <color indexed="8"/>
        <rFont val="仿宋_GB2312"/>
        <family val="3"/>
        <charset val="134"/>
      </rPr>
      <t>总价</t>
    </r>
    <phoneticPr fontId="8" type="noConversion"/>
  </si>
  <si>
    <r>
      <rPr>
        <b/>
        <sz val="10"/>
        <color indexed="8"/>
        <rFont val="仿宋_GB2312"/>
        <family val="3"/>
        <charset val="134"/>
      </rPr>
      <t>万元</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</si>
  <si>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8" type="noConversion"/>
  </si>
  <si>
    <r>
      <rPr>
        <b/>
        <sz val="11"/>
        <color indexed="8"/>
        <rFont val="仿宋_GB2312"/>
        <family val="3"/>
        <charset val="134"/>
      </rPr>
      <t>楼面地价</t>
    </r>
    <phoneticPr fontId="8"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</si>
  <si>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8"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</si>
  <si>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</si>
  <si>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</si>
  <si>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11"/>
        <color indexed="8"/>
        <rFont val="仿宋_GB2312"/>
        <family val="3"/>
        <charset val="134"/>
      </rPr>
      <t>单位面积地价</t>
    </r>
    <phoneticPr fontId="8" type="noConversion"/>
  </si>
  <si>
    <r>
      <rPr>
        <sz val="11"/>
        <color indexed="8"/>
        <rFont val="仿宋_GB2312"/>
        <family val="3"/>
        <charset val="134"/>
      </rPr>
      <t>拖欠工程款</t>
    </r>
    <phoneticPr fontId="8"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</si>
  <si>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</si>
  <si>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</si>
  <si>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8"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</si>
  <si>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</si>
  <si>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</si>
  <si>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</si>
  <si>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</si>
  <si>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</si>
  <si>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b/>
        <sz val="11"/>
        <color indexed="8"/>
        <rFont val="仿宋_GB2312"/>
        <family val="3"/>
        <charset val="134"/>
      </rPr>
      <t>补交地价款</t>
    </r>
    <phoneticPr fontId="8" type="noConversion"/>
  </si>
  <si>
    <r>
      <rPr>
        <sz val="11"/>
        <color indexed="10"/>
        <rFont val="仿宋_GB2312"/>
        <family val="3"/>
        <charset val="134"/>
      </rPr>
      <t>税费</t>
    </r>
    <phoneticPr fontId="8" type="noConversion"/>
  </si>
  <si>
    <r>
      <rPr>
        <sz val="9"/>
        <color indexed="8"/>
        <rFont val="仿宋_GB2312"/>
        <family val="3"/>
        <charset val="134"/>
      </rPr>
      <t>元</t>
    </r>
    <r>
      <rPr>
        <sz val="9"/>
        <color indexed="8"/>
        <rFont val="Arial"/>
        <family val="2"/>
      </rPr>
      <t>/</t>
    </r>
    <r>
      <rPr>
        <sz val="9"/>
        <color indexed="8"/>
        <rFont val="仿宋_GB2312"/>
        <family val="3"/>
        <charset val="134"/>
      </rPr>
      <t>㎡</t>
    </r>
  </si>
  <si>
    <r>
      <t>(</t>
    </r>
    <r>
      <rPr>
        <sz val="10"/>
        <color indexed="8"/>
        <rFont val="仿宋_GB2312"/>
        <family val="3"/>
        <charset val="134"/>
      </rPr>
      <t>列示计算过程</t>
    </r>
    <r>
      <rPr>
        <sz val="10"/>
        <color indexed="8"/>
        <rFont val="Arial"/>
        <family val="2"/>
      </rPr>
      <t>,</t>
    </r>
    <phoneticPr fontId="8" type="noConversion"/>
  </si>
  <si>
    <r>
      <rPr>
        <sz val="10"/>
        <color indexed="8"/>
        <rFont val="仿宋_GB2312"/>
        <family val="3"/>
        <charset val="134"/>
      </rPr>
      <t>不固定格式</t>
    </r>
    <r>
      <rPr>
        <sz val="10"/>
        <color indexed="8"/>
        <rFont val="Arial"/>
        <family val="2"/>
      </rPr>
      <t>)</t>
    </r>
    <phoneticPr fontId="8" type="noConversion"/>
  </si>
  <si>
    <r>
      <rPr>
        <b/>
        <sz val="14"/>
        <color indexed="10"/>
        <rFont val="仿宋_GB2312"/>
        <family val="3"/>
        <charset val="134"/>
      </rPr>
      <t>最终结果</t>
    </r>
    <phoneticPr fontId="8" type="noConversion"/>
  </si>
  <si>
    <r>
      <rPr>
        <b/>
        <sz val="12"/>
        <color indexed="8"/>
        <rFont val="仿宋_GB2312"/>
        <family val="3"/>
        <charset val="134"/>
      </rPr>
      <t>项目</t>
    </r>
    <phoneticPr fontId="8" type="noConversion"/>
  </si>
  <si>
    <r>
      <rPr>
        <b/>
        <sz val="12"/>
        <color indexed="8"/>
        <rFont val="仿宋_GB2312"/>
        <family val="3"/>
        <charset val="134"/>
      </rPr>
      <t>总额</t>
    </r>
    <phoneticPr fontId="8" type="noConversion"/>
  </si>
  <si>
    <r>
      <rPr>
        <b/>
        <sz val="12"/>
        <color indexed="8"/>
        <rFont val="仿宋_GB2312"/>
        <family val="3"/>
        <charset val="134"/>
      </rPr>
      <t>楼面地价</t>
    </r>
    <phoneticPr fontId="8" type="noConversion"/>
  </si>
  <si>
    <r>
      <rPr>
        <b/>
        <sz val="12"/>
        <color indexed="8"/>
        <rFont val="仿宋_GB2312"/>
        <family val="3"/>
        <charset val="134"/>
      </rPr>
      <t>单位面积地价</t>
    </r>
    <phoneticPr fontId="8" type="noConversion"/>
  </si>
  <si>
    <r>
      <rPr>
        <b/>
        <sz val="12"/>
        <color indexed="8"/>
        <rFont val="仿宋_GB2312"/>
        <family val="3"/>
        <charset val="134"/>
      </rPr>
      <t>每亩价格</t>
    </r>
    <phoneticPr fontId="8" type="noConversion"/>
  </si>
  <si>
    <r>
      <t>1.</t>
    </r>
    <r>
      <rPr>
        <b/>
        <sz val="11"/>
        <color indexed="8"/>
        <rFont val="仿宋_GB2312"/>
        <family val="3"/>
        <charset val="134"/>
      </rPr>
      <t>土地价格</t>
    </r>
    <phoneticPr fontId="8"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</si>
  <si>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</si>
  <si>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</si>
  <si>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</si>
  <si>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</si>
  <si>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</si>
  <si>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t>2.估价师知悉的法定优先受偿款</t>
  </si>
  <si>
    <t>——</t>
    <phoneticPr fontId="8" type="noConversion"/>
  </si>
  <si>
    <t>——</t>
  </si>
  <si>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</si>
  <si>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</si>
  <si>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8"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</si>
  <si>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</si>
  <si>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8"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</si>
  <si>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</si>
  <si>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8"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</si>
  <si>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</si>
  <si>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</si>
  <si>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</si>
  <si>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</si>
  <si>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处置时需缴纳的相关税费</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</si>
  <si>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</si>
  <si>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</si>
  <si>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</si>
  <si>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</si>
  <si>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</si>
  <si>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</si>
  <si>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估价对象基本情况</t>
    </r>
    <phoneticPr fontId="8" type="noConversion"/>
  </si>
  <si>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</si>
  <si>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</si>
  <si>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3</t>
    </r>
  </si>
  <si>
    <r>
      <rPr>
        <b/>
        <sz val="10"/>
        <color indexed="8"/>
        <rFont val="仿宋_GB2312"/>
        <family val="3"/>
        <charset val="134"/>
      </rPr>
      <t>估价对象</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</si>
  <si>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</si>
  <si>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</si>
  <si>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</si>
  <si>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价值时点</t>
    </r>
  </si>
  <si>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</si>
  <si>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</si>
  <si>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个体工商户购买的住宅</t>
    </r>
    <phoneticPr fontId="8" type="noConversion"/>
  </si>
  <si>
    <t>土地抵押价格</t>
    <phoneticPr fontId="8"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</si>
  <si>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</si>
  <si>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</si>
  <si>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</si>
  <si>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</si>
  <si>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意外的自建房</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</si>
  <si>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</si>
  <si>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</si>
  <si>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</si>
  <si>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</si>
  <si>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</si>
  <si>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</si>
  <si>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意外的非自建房</t>
    </r>
    <phoneticPr fontId="8" type="noConversion"/>
  </si>
  <si>
    <r>
      <rPr>
        <sz val="10"/>
        <color indexed="8"/>
        <rFont val="仿宋_GB2312"/>
        <family val="3"/>
        <charset val="134"/>
      </rPr>
      <t>差额计税</t>
    </r>
    <phoneticPr fontId="8" type="noConversion"/>
  </si>
  <si>
    <r>
      <rPr>
        <sz val="10"/>
        <color indexed="8"/>
        <rFont val="仿宋_GB2312"/>
        <family val="3"/>
        <charset val="134"/>
      </rPr>
      <t>增值税及附加</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</si>
  <si>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</si>
  <si>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</si>
  <si>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t>个人住宅</t>
  </si>
  <si>
    <r>
      <rPr>
        <sz val="10"/>
        <color indexed="8"/>
        <rFont val="仿宋_GB2312"/>
        <family val="3"/>
        <charset val="134"/>
      </rPr>
      <t>印花税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</si>
  <si>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</si>
  <si>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</si>
  <si>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正常</t>
    </r>
  </si>
  <si>
    <r>
      <rPr>
        <sz val="10"/>
        <color indexed="8"/>
        <rFont val="仿宋_GB2312"/>
        <family val="3"/>
        <charset val="134"/>
      </rPr>
      <t>土地增值税</t>
    </r>
    <phoneticPr fontId="8" type="noConversion"/>
  </si>
  <si>
    <r>
      <rPr>
        <sz val="10"/>
        <color indexed="8"/>
        <rFont val="仿宋_GB2312"/>
        <family val="3"/>
        <charset val="134"/>
      </rPr>
      <t>个人住宅</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</si>
  <si>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</si>
  <si>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自行开发建设</t>
    </r>
  </si>
  <si>
    <r>
      <t>4.</t>
    </r>
    <r>
      <rPr>
        <sz val="10"/>
        <color indexed="8"/>
        <rFont val="仿宋_GB2312"/>
        <family val="3"/>
        <charset val="134"/>
      </rPr>
      <t>个人所得税</t>
    </r>
    <phoneticPr fontId="8" type="noConversion"/>
  </si>
  <si>
    <t>个人非住宅</t>
  </si>
  <si>
    <r>
      <rPr>
        <sz val="10"/>
        <color indexed="8"/>
        <rFont val="仿宋_GB2312"/>
        <family val="3"/>
        <charset val="134"/>
      </rPr>
      <t>合计</t>
    </r>
    <phoneticPr fontId="8" type="noConversion"/>
  </si>
  <si>
    <r>
      <rPr>
        <sz val="10"/>
        <color indexed="8"/>
        <rFont val="仿宋_GB2312"/>
        <family val="3"/>
        <charset val="134"/>
      </rPr>
      <t>小写</t>
    </r>
  </si>
  <si>
    <r>
      <rPr>
        <sz val="10"/>
        <color indexed="8"/>
        <rFont val="仿宋_GB2312"/>
        <family val="3"/>
        <charset val="134"/>
      </rPr>
      <t>大写</t>
    </r>
  </si>
  <si>
    <r>
      <rPr>
        <b/>
        <sz val="10"/>
        <color indexed="8"/>
        <rFont val="仿宋_GB2312"/>
        <family val="3"/>
        <charset val="134"/>
      </rPr>
      <t>销售不动产增值税及附加计算</t>
    </r>
    <phoneticPr fontId="8" type="noConversion"/>
  </si>
  <si>
    <r>
      <rPr>
        <sz val="10"/>
        <color indexed="8"/>
        <rFont val="仿宋_GB2312"/>
        <family val="3"/>
        <charset val="134"/>
      </rPr>
      <t>抵押净值</t>
    </r>
    <phoneticPr fontId="8" type="noConversion"/>
  </si>
  <si>
    <r>
      <rPr>
        <b/>
        <sz val="10"/>
        <rFont val="仿宋_GB2312"/>
        <family val="3"/>
        <charset val="134"/>
      </rPr>
      <t>项目</t>
    </r>
    <phoneticPr fontId="8" type="noConversion"/>
  </si>
  <si>
    <r>
      <rPr>
        <b/>
        <sz val="10"/>
        <rFont val="仿宋_GB2312"/>
        <family val="3"/>
        <charset val="134"/>
      </rPr>
      <t>系数</t>
    </r>
    <phoneticPr fontId="8" type="noConversion"/>
  </si>
  <si>
    <t>1.</t>
    <phoneticPr fontId="8" type="noConversion"/>
  </si>
  <si>
    <r>
      <rPr>
        <b/>
        <sz val="10"/>
        <rFont val="仿宋_GB2312"/>
        <family val="3"/>
        <charset val="134"/>
      </rPr>
      <t>销售额</t>
    </r>
    <phoneticPr fontId="8" type="noConversion"/>
  </si>
  <si>
    <r>
      <rPr>
        <sz val="10"/>
        <color indexed="8"/>
        <rFont val="仿宋_GB2312"/>
        <family val="3"/>
        <charset val="134"/>
      </rPr>
      <t>抵押净值单价</t>
    </r>
    <phoneticPr fontId="8" type="noConversion"/>
  </si>
  <si>
    <r>
      <rPr>
        <sz val="10"/>
        <color indexed="8"/>
        <rFont val="宋体"/>
        <family val="3"/>
        <charset val="134"/>
      </rPr>
      <t>（</t>
    </r>
    <r>
      <rPr>
        <sz val="10"/>
        <color indexed="8"/>
        <rFont val="Arial"/>
        <family val="2"/>
      </rPr>
      <t>1</t>
    </r>
    <r>
      <rPr>
        <sz val="10"/>
        <color indexed="8"/>
        <rFont val="宋体"/>
        <family val="3"/>
        <charset val="134"/>
      </rPr>
      <t>）</t>
    </r>
    <phoneticPr fontId="8" type="noConversion"/>
  </si>
  <si>
    <r>
      <rPr>
        <sz val="10"/>
        <rFont val="仿宋_GB2312"/>
        <family val="3"/>
        <charset val="134"/>
      </rPr>
      <t>全部价款</t>
    </r>
    <phoneticPr fontId="8" type="noConversion"/>
  </si>
  <si>
    <r>
      <rPr>
        <sz val="10"/>
        <color indexed="8"/>
        <rFont val="宋体"/>
        <family val="3"/>
        <charset val="134"/>
      </rPr>
      <t>（</t>
    </r>
    <r>
      <rPr>
        <sz val="10"/>
        <color indexed="8"/>
        <rFont val="Arial"/>
        <family val="2"/>
      </rPr>
      <t>2</t>
    </r>
    <r>
      <rPr>
        <sz val="10"/>
        <color indexed="8"/>
        <rFont val="宋体"/>
        <family val="3"/>
        <charset val="134"/>
      </rPr>
      <t>）</t>
    </r>
    <phoneticPr fontId="8" type="noConversion"/>
  </si>
  <si>
    <r>
      <rPr>
        <sz val="10"/>
        <rFont val="仿宋_GB2312"/>
        <family val="3"/>
        <charset val="134"/>
      </rPr>
      <t>价外费用</t>
    </r>
    <phoneticPr fontId="8" type="noConversion"/>
  </si>
  <si>
    <t>其他处置费用</t>
  </si>
  <si>
    <t>律师费</t>
  </si>
  <si>
    <t>2.</t>
    <phoneticPr fontId="8" type="noConversion"/>
  </si>
  <si>
    <r>
      <rPr>
        <b/>
        <sz val="10"/>
        <rFont val="仿宋_GB2312"/>
        <family val="3"/>
        <charset val="134"/>
      </rPr>
      <t>原购房价</t>
    </r>
    <r>
      <rPr>
        <b/>
        <sz val="10"/>
        <rFont val="Arial"/>
        <family val="2"/>
      </rPr>
      <t>/</t>
    </r>
    <r>
      <rPr>
        <b/>
        <sz val="10"/>
        <rFont val="仿宋_GB2312"/>
        <family val="3"/>
        <charset val="134"/>
      </rPr>
      <t>作价</t>
    </r>
    <phoneticPr fontId="8"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</si>
  <si>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</si>
  <si>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</si>
  <si>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</si>
  <si>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t>3.</t>
    <phoneticPr fontId="8" type="noConversion"/>
  </si>
  <si>
    <r>
      <rPr>
        <b/>
        <sz val="10"/>
        <rFont val="仿宋_GB2312"/>
        <family val="3"/>
        <charset val="134"/>
      </rPr>
      <t>纳税基数</t>
    </r>
    <phoneticPr fontId="8" type="noConversion"/>
  </si>
  <si>
    <t>执行费</t>
  </si>
  <si>
    <t>4.</t>
    <phoneticPr fontId="8" type="noConversion"/>
  </si>
  <si>
    <r>
      <rPr>
        <b/>
        <sz val="10"/>
        <rFont val="仿宋_GB2312"/>
        <family val="3"/>
        <charset val="134"/>
      </rPr>
      <t>纳税额</t>
    </r>
    <phoneticPr fontId="8" type="noConversion"/>
  </si>
  <si>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</si>
  <si>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</si>
  <si>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t>评估费</t>
  </si>
  <si>
    <r>
      <rPr>
        <b/>
        <sz val="10"/>
        <rFont val="仿宋_GB2312"/>
        <family val="3"/>
        <charset val="134"/>
      </rPr>
      <t>土地增值税（转让取得）</t>
    </r>
    <phoneticPr fontId="8" type="noConversion"/>
  </si>
  <si>
    <t>拍卖费</t>
  </si>
  <si>
    <t>小计</t>
  </si>
  <si>
    <r>
      <rPr>
        <b/>
        <sz val="10"/>
        <rFont val="仿宋_GB2312"/>
        <family val="3"/>
        <charset val="134"/>
      </rPr>
      <t>转让收入</t>
    </r>
    <phoneticPr fontId="8" type="noConversion"/>
  </si>
  <si>
    <r>
      <rPr>
        <b/>
        <sz val="10"/>
        <color indexed="8"/>
        <rFont val="仿宋_GB2312"/>
        <family val="3"/>
        <charset val="134"/>
      </rPr>
      <t>扣除项合计</t>
    </r>
    <phoneticPr fontId="8" type="noConversion"/>
  </si>
  <si>
    <r>
      <rPr>
        <sz val="10"/>
        <rFont val="仿宋_GB2312"/>
        <family val="3"/>
        <charset val="134"/>
      </rPr>
      <t>原购房价及相关税费</t>
    </r>
    <phoneticPr fontId="8" type="noConversion"/>
  </si>
  <si>
    <r>
      <t>1</t>
    </r>
    <r>
      <rPr>
        <sz val="10"/>
        <color indexed="8"/>
        <rFont val="宋体"/>
        <family val="3"/>
        <charset val="134"/>
      </rPr>
      <t>）</t>
    </r>
    <phoneticPr fontId="8" type="noConversion"/>
  </si>
  <si>
    <r>
      <rPr>
        <sz val="10"/>
        <rFont val="仿宋_GB2312"/>
        <family val="3"/>
        <charset val="134"/>
      </rPr>
      <t>原购房价</t>
    </r>
    <phoneticPr fontId="8" type="noConversion"/>
  </si>
  <si>
    <r>
      <rPr>
        <sz val="11"/>
        <color indexed="8"/>
        <rFont val="仿宋_GB2312"/>
        <family val="3"/>
        <charset val="134"/>
      </rPr>
      <t>原购房价依据</t>
    </r>
    <phoneticPr fontId="8" type="noConversion"/>
  </si>
  <si>
    <r>
      <rPr>
        <sz val="11"/>
        <color indexed="8"/>
        <rFont val="仿宋_GB2312"/>
        <family val="3"/>
        <charset val="134"/>
      </rPr>
      <t>购房发票</t>
    </r>
  </si>
  <si>
    <r>
      <rPr>
        <sz val="11"/>
        <color indexed="8"/>
        <rFont val="仿宋_GB2312"/>
        <family val="3"/>
        <charset val="134"/>
      </rPr>
      <t>已购年限</t>
    </r>
    <phoneticPr fontId="8" type="noConversion"/>
  </si>
  <si>
    <r>
      <t>2</t>
    </r>
    <r>
      <rPr>
        <sz val="10"/>
        <color indexed="8"/>
        <rFont val="宋体"/>
        <family val="3"/>
        <charset val="134"/>
      </rPr>
      <t>）</t>
    </r>
    <phoneticPr fontId="8" type="noConversion"/>
  </si>
  <si>
    <r>
      <rPr>
        <sz val="10"/>
        <rFont val="仿宋_GB2312"/>
        <family val="3"/>
        <charset val="134"/>
      </rPr>
      <t>加计扣减项</t>
    </r>
    <phoneticPr fontId="8"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</si>
  <si>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8" type="noConversion"/>
  </si>
  <si>
    <r>
      <t>3</t>
    </r>
    <r>
      <rPr>
        <sz val="10"/>
        <color indexed="8"/>
        <rFont val="宋体"/>
        <family val="3"/>
        <charset val="134"/>
      </rPr>
      <t>）</t>
    </r>
    <phoneticPr fontId="8" type="noConversion"/>
  </si>
  <si>
    <r>
      <rPr>
        <sz val="10"/>
        <rFont val="仿宋_GB2312"/>
        <family val="3"/>
        <charset val="134"/>
      </rPr>
      <t>相关税费</t>
    </r>
    <phoneticPr fontId="8" type="noConversion"/>
  </si>
  <si>
    <r>
      <rPr>
        <sz val="10"/>
        <color indexed="8"/>
        <rFont val="仿宋_GB2312"/>
        <family val="3"/>
        <charset val="134"/>
      </rPr>
      <t>含契税及印花税</t>
    </r>
    <phoneticPr fontId="8" type="noConversion"/>
  </si>
  <si>
    <t>2016年5月1日前购买</t>
  </si>
  <si>
    <r>
      <rPr>
        <sz val="10"/>
        <rFont val="仿宋_GB2312"/>
        <family val="3"/>
        <charset val="134"/>
      </rPr>
      <t>转让税金支出</t>
    </r>
    <phoneticPr fontId="8" type="noConversion"/>
  </si>
  <si>
    <t>不含增值税，仅附加税</t>
    <phoneticPr fontId="8" type="noConversion"/>
  </si>
  <si>
    <r>
      <rPr>
        <b/>
        <sz val="10"/>
        <rFont val="仿宋_GB2312"/>
        <family val="3"/>
        <charset val="134"/>
      </rPr>
      <t>增值额</t>
    </r>
    <phoneticPr fontId="8" type="noConversion"/>
  </si>
  <si>
    <r>
      <rPr>
        <b/>
        <sz val="10"/>
        <rFont val="仿宋_GB2312"/>
        <family val="3"/>
        <charset val="134"/>
      </rPr>
      <t>增值额与扣除项比率</t>
    </r>
    <phoneticPr fontId="8" type="noConversion"/>
  </si>
  <si>
    <t>5.</t>
    <phoneticPr fontId="8" type="noConversion"/>
  </si>
  <si>
    <r>
      <rPr>
        <b/>
        <sz val="10"/>
        <rFont val="仿宋_GB2312"/>
        <family val="3"/>
        <charset val="134"/>
      </rPr>
      <t>应纳增值税税额</t>
    </r>
    <phoneticPr fontId="8" type="noConversion"/>
  </si>
  <si>
    <r>
      <rPr>
        <b/>
        <sz val="10"/>
        <rFont val="仿宋_GB2312"/>
        <family val="3"/>
        <charset val="134"/>
      </rPr>
      <t>土地增值税（自行开发建设）</t>
    </r>
    <phoneticPr fontId="8" type="noConversion"/>
  </si>
  <si>
    <r>
      <rPr>
        <sz val="10"/>
        <rFont val="仿宋_GB2312"/>
        <family val="3"/>
        <charset val="134"/>
      </rPr>
      <t>土地取得成本</t>
    </r>
    <phoneticPr fontId="8" type="noConversion"/>
  </si>
  <si>
    <r>
      <rPr>
        <sz val="10"/>
        <rFont val="仿宋_GB2312"/>
        <family val="3"/>
        <charset val="134"/>
      </rPr>
      <t>土地取得费用</t>
    </r>
    <phoneticPr fontId="8" type="noConversion"/>
  </si>
  <si>
    <r>
      <rPr>
        <sz val="10"/>
        <color indexed="8"/>
        <rFont val="仿宋_GB2312"/>
        <family val="3"/>
        <charset val="134"/>
      </rPr>
      <t>依据出让合同</t>
    </r>
    <phoneticPr fontId="8" type="noConversion"/>
  </si>
  <si>
    <r>
      <rPr>
        <sz val="9"/>
        <color indexed="8"/>
        <rFont val="仿宋_GB2312"/>
        <family val="3"/>
        <charset val="134"/>
      </rPr>
      <t>出让价款内涵：</t>
    </r>
    <phoneticPr fontId="8" type="noConversion"/>
  </si>
  <si>
    <t>出让金+开发费</t>
  </si>
  <si>
    <r>
      <rPr>
        <sz val="10"/>
        <color indexed="8"/>
        <rFont val="仿宋_GB2312"/>
        <family val="3"/>
        <charset val="134"/>
      </rPr>
      <t>契税及印花税</t>
    </r>
    <phoneticPr fontId="8" type="noConversion"/>
  </si>
  <si>
    <r>
      <rPr>
        <sz val="10"/>
        <rFont val="仿宋_GB2312"/>
        <family val="3"/>
        <charset val="134"/>
      </rPr>
      <t>土地开发费</t>
    </r>
    <phoneticPr fontId="8" type="noConversion"/>
  </si>
  <si>
    <t>（3）</t>
    <phoneticPr fontId="8" type="noConversion"/>
  </si>
  <si>
    <r>
      <rPr>
        <sz val="10"/>
        <rFont val="仿宋_GB2312"/>
        <family val="3"/>
        <charset val="134"/>
      </rPr>
      <t>建造成本</t>
    </r>
    <phoneticPr fontId="8" type="noConversion"/>
  </si>
  <si>
    <r>
      <rPr>
        <sz val="10"/>
        <color indexed="8"/>
        <rFont val="仿宋_GB2312"/>
        <family val="3"/>
        <charset val="134"/>
      </rPr>
      <t>包括前期工程费、建筑安装工程费、基础设施费和公共配套费等</t>
    </r>
    <phoneticPr fontId="8" type="noConversion"/>
  </si>
  <si>
    <t>企业提供(在右侧录入)</t>
  </si>
  <si>
    <t>（4）</t>
    <phoneticPr fontId="8" type="noConversion"/>
  </si>
  <si>
    <r>
      <rPr>
        <sz val="10"/>
        <rFont val="仿宋_GB2312"/>
        <family val="3"/>
        <charset val="134"/>
      </rPr>
      <t>开发费用扣除</t>
    </r>
    <phoneticPr fontId="8"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</si>
  <si>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8" type="noConversion"/>
  </si>
  <si>
    <t>（5）</t>
    <phoneticPr fontId="8" type="noConversion"/>
  </si>
  <si>
    <t>（6）</t>
    <phoneticPr fontId="8" type="noConversion"/>
  </si>
  <si>
    <r>
      <rPr>
        <sz val="10"/>
        <rFont val="仿宋_GB2312"/>
        <family val="3"/>
        <charset val="134"/>
      </rPr>
      <t>加计扣除金额</t>
    </r>
    <phoneticPr fontId="8"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</si>
  <si>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8" type="noConversion"/>
  </si>
  <si>
    <r>
      <rPr>
        <sz val="10"/>
        <color theme="1"/>
        <rFont val="华文细黑"/>
        <family val="3"/>
        <charset val="134"/>
      </rPr>
      <t>证号</t>
    </r>
    <phoneticPr fontId="3" type="noConversion"/>
  </si>
  <si>
    <r>
      <rPr>
        <sz val="10"/>
        <color theme="1"/>
        <rFont val="华文细黑"/>
        <family val="3"/>
        <charset val="134"/>
      </rPr>
      <t>位于地块</t>
    </r>
    <phoneticPr fontId="3" type="noConversion"/>
  </si>
  <si>
    <r>
      <rPr>
        <sz val="10"/>
        <color theme="1"/>
        <rFont val="华文细黑"/>
        <family val="3"/>
        <charset val="134"/>
      </rPr>
      <t>地块总土地面积</t>
    </r>
    <phoneticPr fontId="3" type="noConversion"/>
  </si>
  <si>
    <r>
      <rPr>
        <sz val="10"/>
        <color theme="1"/>
        <rFont val="华文细黑"/>
        <family val="3"/>
        <charset val="134"/>
      </rPr>
      <t>估价对象于该地块上的土地面积</t>
    </r>
    <phoneticPr fontId="3" type="noConversion"/>
  </si>
  <si>
    <r>
      <rPr>
        <sz val="10"/>
        <color theme="1"/>
        <rFont val="华文细黑"/>
        <family val="3"/>
        <charset val="134"/>
      </rPr>
      <t>规划容积率</t>
    </r>
    <phoneticPr fontId="3" type="noConversion"/>
  </si>
  <si>
    <r>
      <rPr>
        <sz val="10"/>
        <color theme="1"/>
        <rFont val="华文细黑"/>
        <family val="3"/>
        <charset val="134"/>
      </rPr>
      <t>地块总规划面积</t>
    </r>
    <phoneticPr fontId="3" type="noConversion"/>
  </si>
  <si>
    <r>
      <rPr>
        <sz val="10"/>
        <color theme="1"/>
        <rFont val="华文细黑"/>
        <family val="3"/>
        <charset val="134"/>
      </rPr>
      <t>估价对象规划面积</t>
    </r>
    <phoneticPr fontId="3" type="noConversion"/>
  </si>
  <si>
    <r>
      <t>A3</t>
    </r>
    <r>
      <rPr>
        <sz val="10"/>
        <color theme="1"/>
        <rFont val="宋体"/>
        <family val="3"/>
        <charset val="134"/>
      </rPr>
      <t>剩余土地面积</t>
    </r>
    <phoneticPr fontId="3" type="noConversion"/>
  </si>
  <si>
    <t>地面单价</t>
    <phoneticPr fontId="3" type="noConversion"/>
  </si>
  <si>
    <t>总价</t>
    <phoneticPr fontId="3" type="noConversion"/>
  </si>
  <si>
    <t>建筑面积</t>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</si>
  <si>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00466</t>
    </r>
    <r>
      <rPr>
        <sz val="10"/>
        <color theme="1"/>
        <rFont val="华文细黑"/>
        <family val="3"/>
        <charset val="134"/>
      </rPr>
      <t>号</t>
    </r>
    <phoneticPr fontId="3" type="noConversion"/>
  </si>
  <si>
    <t>A3</t>
    <phoneticPr fontId="3" type="noConversion"/>
  </si>
  <si>
    <r>
      <rPr>
        <sz val="10"/>
        <color theme="1"/>
        <rFont val="华文细黑"/>
        <family val="3"/>
        <charset val="134"/>
      </rPr>
      <t>地上</t>
    </r>
    <phoneticPr fontId="3" type="noConversion"/>
  </si>
  <si>
    <r>
      <rPr>
        <sz val="10"/>
        <color theme="1"/>
        <rFont val="华文细黑"/>
        <family val="3"/>
        <charset val="134"/>
      </rPr>
      <t>住宅</t>
    </r>
    <phoneticPr fontId="3" type="noConversion"/>
  </si>
  <si>
    <r>
      <rPr>
        <sz val="10"/>
        <color theme="1"/>
        <rFont val="华文细黑"/>
        <family val="3"/>
        <charset val="134"/>
      </rPr>
      <t>公共配套</t>
    </r>
    <phoneticPr fontId="3" type="noConversion"/>
  </si>
  <si>
    <r>
      <t>F</t>
    </r>
    <r>
      <rPr>
        <sz val="10"/>
        <color theme="1"/>
        <rFont val="宋体"/>
        <family val="3"/>
        <charset val="134"/>
      </rPr>
      <t>剩余</t>
    </r>
    <phoneticPr fontId="3" type="noConversion"/>
  </si>
  <si>
    <r>
      <rPr>
        <sz val="10"/>
        <color theme="1"/>
        <rFont val="华文细黑"/>
        <family val="3"/>
        <charset val="134"/>
      </rPr>
      <t>物业用房</t>
    </r>
    <phoneticPr fontId="3" type="noConversion"/>
  </si>
  <si>
    <r>
      <rPr>
        <sz val="10"/>
        <color theme="1"/>
        <rFont val="华文细黑"/>
        <family val="3"/>
        <charset val="134"/>
      </rPr>
      <t>设备</t>
    </r>
    <phoneticPr fontId="3" type="noConversion"/>
  </si>
  <si>
    <r>
      <t>C</t>
    </r>
    <r>
      <rPr>
        <sz val="10"/>
        <color theme="1"/>
        <rFont val="宋体"/>
        <family val="3"/>
        <charset val="134"/>
      </rPr>
      <t>剩余</t>
    </r>
    <phoneticPr fontId="3" type="noConversion"/>
  </si>
  <si>
    <r>
      <rPr>
        <b/>
        <sz val="10"/>
        <color theme="1"/>
        <rFont val="华文细黑"/>
        <family val="3"/>
        <charset val="134"/>
      </rPr>
      <t>小计</t>
    </r>
    <phoneticPr fontId="3" type="noConversion"/>
  </si>
  <si>
    <r>
      <rPr>
        <sz val="10"/>
        <color theme="1"/>
        <rFont val="华文细黑"/>
        <family val="3"/>
        <charset val="134"/>
      </rPr>
      <t>地下</t>
    </r>
    <phoneticPr fontId="3" type="noConversion"/>
  </si>
  <si>
    <r>
      <rPr>
        <sz val="10"/>
        <color theme="1"/>
        <rFont val="华文细黑"/>
        <family val="3"/>
        <charset val="134"/>
      </rPr>
      <t>车库</t>
    </r>
    <phoneticPr fontId="3" type="noConversion"/>
  </si>
  <si>
    <r>
      <t>E2</t>
    </r>
    <r>
      <rPr>
        <sz val="10"/>
        <color theme="1"/>
        <rFont val="宋体"/>
        <family val="3"/>
        <charset val="134"/>
      </rPr>
      <t>剩余</t>
    </r>
    <phoneticPr fontId="3" type="noConversion"/>
  </si>
  <si>
    <t>慈云寺剩余</t>
    <phoneticPr fontId="3" type="noConversion"/>
  </si>
  <si>
    <r>
      <rPr>
        <b/>
        <sz val="10"/>
        <color theme="1"/>
        <rFont val="华文细黑"/>
        <family val="3"/>
        <charset val="134"/>
      </rPr>
      <t>合计</t>
    </r>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</si>
  <si>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00463</t>
    </r>
    <r>
      <rPr>
        <sz val="10"/>
        <color theme="1"/>
        <rFont val="华文细黑"/>
        <family val="3"/>
        <charset val="134"/>
      </rPr>
      <t>号</t>
    </r>
    <phoneticPr fontId="3" type="noConversion"/>
  </si>
  <si>
    <t>F</t>
    <phoneticPr fontId="3" type="noConversion"/>
  </si>
  <si>
    <r>
      <rPr>
        <sz val="10"/>
        <color theme="1"/>
        <rFont val="华文细黑"/>
        <family val="3"/>
        <charset val="134"/>
      </rPr>
      <t>地上</t>
    </r>
    <phoneticPr fontId="3" type="noConversion"/>
  </si>
  <si>
    <r>
      <rPr>
        <sz val="10"/>
        <color theme="1"/>
        <rFont val="华文细黑"/>
        <family val="3"/>
        <charset val="134"/>
      </rPr>
      <t>住宅</t>
    </r>
    <phoneticPr fontId="3" type="noConversion"/>
  </si>
  <si>
    <r>
      <rPr>
        <sz val="10"/>
        <color theme="1"/>
        <rFont val="华文细黑"/>
        <family val="3"/>
        <charset val="134"/>
      </rPr>
      <t>商业</t>
    </r>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</si>
  <si>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00464</t>
    </r>
    <r>
      <rPr>
        <sz val="10"/>
        <color theme="1"/>
        <rFont val="华文细黑"/>
        <family val="3"/>
        <charset val="134"/>
      </rPr>
      <t>号</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</si>
  <si>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001114507</t>
    </r>
    <r>
      <rPr>
        <sz val="10"/>
        <color theme="1"/>
        <rFont val="华文细黑"/>
        <family val="3"/>
        <charset val="134"/>
      </rPr>
      <t>号</t>
    </r>
    <phoneticPr fontId="3" type="noConversion"/>
  </si>
  <si>
    <t>C</t>
    <phoneticPr fontId="3" type="noConversion"/>
  </si>
  <si>
    <r>
      <rPr>
        <sz val="10"/>
        <color theme="1"/>
        <rFont val="华文细黑"/>
        <family val="3"/>
        <charset val="134"/>
      </rPr>
      <t>设备</t>
    </r>
    <phoneticPr fontId="3" type="noConversion"/>
  </si>
  <si>
    <r>
      <rPr>
        <b/>
        <sz val="10"/>
        <color theme="1"/>
        <rFont val="华文细黑"/>
        <family val="3"/>
        <charset val="134"/>
      </rPr>
      <t>小计</t>
    </r>
    <phoneticPr fontId="3" type="noConversion"/>
  </si>
  <si>
    <r>
      <rPr>
        <sz val="10"/>
        <color theme="1"/>
        <rFont val="华文细黑"/>
        <family val="3"/>
        <charset val="134"/>
      </rPr>
      <t>小计</t>
    </r>
    <phoneticPr fontId="3" type="noConversion"/>
  </si>
  <si>
    <r>
      <rPr>
        <sz val="10"/>
        <color theme="1"/>
        <rFont val="华文细黑"/>
        <family val="3"/>
        <charset val="134"/>
      </rPr>
      <t>地下</t>
    </r>
    <phoneticPr fontId="3" type="noConversion"/>
  </si>
  <si>
    <r>
      <rPr>
        <sz val="10"/>
        <color theme="1"/>
        <rFont val="华文细黑"/>
        <family val="3"/>
        <charset val="134"/>
      </rPr>
      <t>车库</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</si>
  <si>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000175651</t>
    </r>
    <r>
      <rPr>
        <sz val="10"/>
        <color theme="1"/>
        <rFont val="华文细黑"/>
        <family val="3"/>
        <charset val="134"/>
      </rPr>
      <t>号</t>
    </r>
    <phoneticPr fontId="3" type="noConversion"/>
  </si>
  <si>
    <t>E2</t>
    <phoneticPr fontId="3" type="noConversion"/>
  </si>
  <si>
    <r>
      <t>106D</t>
    </r>
    <r>
      <rPr>
        <sz val="10"/>
        <color theme="1"/>
        <rFont val="华文细黑"/>
        <family val="3"/>
        <charset val="134"/>
      </rPr>
      <t>房地证</t>
    </r>
    <r>
      <rPr>
        <sz val="10"/>
        <color theme="1"/>
        <rFont val="Arial"/>
        <family val="2"/>
      </rPr>
      <t>2015</t>
    </r>
    <r>
      <rPr>
        <sz val="10"/>
        <color theme="1"/>
        <rFont val="华文细黑"/>
        <family val="3"/>
        <charset val="134"/>
      </rPr>
      <t>字第</t>
    </r>
    <r>
      <rPr>
        <sz val="10"/>
        <color theme="1"/>
        <rFont val="Arial"/>
        <family val="2"/>
      </rPr>
      <t>00462</t>
    </r>
    <r>
      <rPr>
        <sz val="10"/>
        <color theme="1"/>
        <rFont val="华文细黑"/>
        <family val="3"/>
        <charset val="134"/>
      </rPr>
      <t>号</t>
    </r>
    <phoneticPr fontId="3" type="noConversion"/>
  </si>
  <si>
    <r>
      <t>B</t>
    </r>
    <r>
      <rPr>
        <sz val="10"/>
        <color theme="1"/>
        <rFont val="华文细黑"/>
        <family val="3"/>
        <charset val="134"/>
      </rPr>
      <t>、</t>
    </r>
    <r>
      <rPr>
        <sz val="10"/>
        <color theme="1"/>
        <rFont val="Arial"/>
        <family val="2"/>
      </rPr>
      <t>G</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</si>
  <si>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000175436</t>
    </r>
    <r>
      <rPr>
        <sz val="10"/>
        <color theme="1"/>
        <rFont val="华文细黑"/>
        <family val="3"/>
        <charset val="134"/>
      </rPr>
      <t>号</t>
    </r>
    <phoneticPr fontId="3" type="noConversion"/>
  </si>
  <si>
    <r>
      <rPr>
        <sz val="10"/>
        <color theme="1"/>
        <rFont val="华文细黑"/>
        <family val="3"/>
        <charset val="134"/>
      </rPr>
      <t>渝（</t>
    </r>
    <r>
      <rPr>
        <sz val="10"/>
        <color theme="1"/>
        <rFont val="Arial"/>
        <family val="2"/>
      </rPr>
      <t>2016</t>
    </r>
    <r>
      <rPr>
        <sz val="10"/>
        <color theme="1"/>
        <rFont val="华文细黑"/>
        <family val="3"/>
        <charset val="134"/>
      </rPr>
      <t>）南岸区不动产权第</t>
    </r>
    <r>
      <rPr>
        <sz val="10"/>
        <color theme="1"/>
        <rFont val="Arial"/>
        <family val="2"/>
      </rPr>
      <t>000722446</t>
    </r>
    <r>
      <rPr>
        <sz val="10"/>
        <color theme="1"/>
        <rFont val="华文细黑"/>
        <family val="3"/>
        <charset val="134"/>
      </rPr>
      <t>号</t>
    </r>
    <phoneticPr fontId="3" type="noConversion"/>
  </si>
  <si>
    <t>渝（2017）南岸区不动产权第000794174号</t>
    <phoneticPr fontId="3" type="noConversion"/>
  </si>
  <si>
    <r>
      <rPr>
        <sz val="10"/>
        <color theme="1"/>
        <rFont val="华文细黑"/>
        <family val="3"/>
        <charset val="134"/>
      </rPr>
      <t>慈云寺老街</t>
    </r>
    <phoneticPr fontId="3" type="noConversion"/>
  </si>
  <si>
    <t>——</t>
    <phoneticPr fontId="3" type="noConversion"/>
  </si>
  <si>
    <r>
      <rPr>
        <sz val="10"/>
        <color theme="1"/>
        <rFont val="华文细黑"/>
        <family val="3"/>
        <charset val="134"/>
      </rPr>
      <t>开发完成后售价</t>
    </r>
    <phoneticPr fontId="3" type="noConversion"/>
  </si>
  <si>
    <r>
      <rPr>
        <sz val="10"/>
        <color theme="1"/>
        <rFont val="华文细黑"/>
        <family val="3"/>
        <charset val="134"/>
      </rPr>
      <t>约</t>
    </r>
    <r>
      <rPr>
        <sz val="10"/>
        <color theme="1"/>
        <rFont val="Arial"/>
        <family val="2"/>
      </rPr>
      <t>23000</t>
    </r>
    <r>
      <rPr>
        <sz val="10"/>
        <color theme="1"/>
        <rFont val="华文细黑"/>
        <family val="3"/>
        <charset val="134"/>
      </rPr>
      <t>元</t>
    </r>
    <r>
      <rPr>
        <sz val="10"/>
        <color theme="1"/>
        <rFont val="Arial"/>
        <family val="2"/>
      </rPr>
      <t>/</t>
    </r>
    <r>
      <rPr>
        <sz val="10"/>
        <color theme="1"/>
        <rFont val="华文细黑"/>
        <family val="3"/>
        <charset val="134"/>
      </rPr>
      <t>平方米</t>
    </r>
    <phoneticPr fontId="3" type="noConversion"/>
  </si>
  <si>
    <r>
      <t>1</t>
    </r>
    <r>
      <rPr>
        <sz val="10"/>
        <color theme="1"/>
        <rFont val="华文细黑"/>
        <family val="3"/>
        <charset val="134"/>
      </rPr>
      <t>层约</t>
    </r>
    <r>
      <rPr>
        <sz val="10"/>
        <color theme="1"/>
        <rFont val="Arial"/>
        <family val="2"/>
      </rPr>
      <t>27000-30000</t>
    </r>
    <r>
      <rPr>
        <sz val="10"/>
        <color theme="1"/>
        <rFont val="华文细黑"/>
        <family val="3"/>
        <charset val="134"/>
      </rPr>
      <t>元</t>
    </r>
    <r>
      <rPr>
        <sz val="10"/>
        <color theme="1"/>
        <rFont val="Arial"/>
        <family val="2"/>
      </rPr>
      <t>/</t>
    </r>
    <r>
      <rPr>
        <sz val="10"/>
        <color theme="1"/>
        <rFont val="华文细黑"/>
        <family val="3"/>
        <charset val="134"/>
      </rPr>
      <t>平方米</t>
    </r>
    <phoneticPr fontId="3" type="noConversion"/>
  </si>
  <si>
    <r>
      <rPr>
        <sz val="10"/>
        <color theme="1"/>
        <rFont val="华文细黑"/>
        <family val="3"/>
        <charset val="134"/>
      </rPr>
      <t>车位</t>
    </r>
    <phoneticPr fontId="3" type="noConversion"/>
  </si>
  <si>
    <r>
      <rPr>
        <sz val="10"/>
        <color theme="1"/>
        <rFont val="华文细黑"/>
        <family val="3"/>
        <charset val="134"/>
      </rPr>
      <t>约</t>
    </r>
    <r>
      <rPr>
        <sz val="10"/>
        <color theme="1"/>
        <rFont val="Arial"/>
        <family val="2"/>
      </rPr>
      <t>150000-180000/</t>
    </r>
    <r>
      <rPr>
        <sz val="10"/>
        <color theme="1"/>
        <rFont val="华文细黑"/>
        <family val="3"/>
        <charset val="134"/>
      </rPr>
      <t>个</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</si>
</sst>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
    <numFmt numFmtId="178" formatCode="[$-F800]dddd\,\ mmmm\ dd\,\ yyyy"/>
    <numFmt numFmtId="179" formatCode="0_ "/>
    <numFmt numFmtId="180" formatCode="0;_쐀"/>
  </numFmts>
  <fonts count="75" x14ac:knownFonts="1">
    <font>
      <sz val="11"/>
      <color theme="1"/>
      <name val="宋体"/>
      <family val="2"/>
      <scheme val="minor"/>
    </font>
    <font>
      <sz val="11"/>
      <color theme="1"/>
      <name val="宋体"/>
      <family val="2"/>
      <scheme val="minor"/>
    </font>
    <font>
      <sz val="11"/>
      <color rgb="FF666666"/>
      <name val="微软雅黑"/>
      <family val="2"/>
      <charset val="134"/>
    </font>
    <font>
      <sz val="9"/>
      <name val="宋体"/>
      <family val="3"/>
      <charset val="134"/>
      <scheme val="minor"/>
    </font>
    <font>
      <sz val="11"/>
      <color theme="1"/>
      <name val="宋体"/>
      <family val="3"/>
      <charset val="134"/>
      <scheme val="minor"/>
    </font>
    <font>
      <sz val="12"/>
      <name val="宋体"/>
      <family val="3"/>
      <charset val="134"/>
    </font>
    <font>
      <sz val="12"/>
      <color theme="1"/>
      <name val="楷体_GB2312"/>
      <family val="2"/>
      <charset val="134"/>
    </font>
    <font>
      <b/>
      <sz val="14"/>
      <color rgb="FFFF0000"/>
      <name val="楷体_GB2312"/>
      <family val="3"/>
      <charset val="134"/>
    </font>
    <font>
      <sz val="9"/>
      <name val="宋体"/>
      <family val="3"/>
      <charset val="134"/>
    </font>
    <font>
      <sz val="10"/>
      <color indexed="8"/>
      <name val="楷体_GB2312"/>
      <family val="3"/>
      <charset val="134"/>
    </font>
    <font>
      <sz val="12"/>
      <color indexed="8"/>
      <name val="楷体_GB2312"/>
      <family val="3"/>
      <charset val="134"/>
    </font>
    <font>
      <sz val="10"/>
      <color indexed="8"/>
      <name val="Arial"/>
      <family val="2"/>
    </font>
    <font>
      <sz val="11"/>
      <color rgb="FFFF0000"/>
      <name val="Arial"/>
      <family val="2"/>
    </font>
    <font>
      <sz val="10"/>
      <color indexed="8"/>
      <name val="仿宋_GB2312"/>
      <family val="3"/>
      <charset val="134"/>
    </font>
    <font>
      <sz val="11"/>
      <color indexed="8"/>
      <name val="Arial"/>
      <family val="2"/>
    </font>
    <font>
      <sz val="11"/>
      <color indexed="8"/>
      <name val="仿宋_GB2312"/>
      <family val="3"/>
      <charset val="134"/>
    </font>
    <font>
      <sz val="11"/>
      <color theme="1"/>
      <name val="Arial"/>
      <family val="2"/>
    </font>
    <font>
      <b/>
      <sz val="10"/>
      <color indexed="8"/>
      <name val="仿宋_GB2312"/>
      <family val="3"/>
      <charset val="134"/>
    </font>
    <font>
      <b/>
      <sz val="10"/>
      <color indexed="8"/>
      <name val="Arial"/>
      <family val="2"/>
    </font>
    <font>
      <b/>
      <sz val="11"/>
      <color indexed="8"/>
      <name val="Arial"/>
      <family val="2"/>
    </font>
    <font>
      <b/>
      <sz val="11"/>
      <color indexed="8"/>
      <name val="仿宋_GB2312"/>
      <family val="3"/>
      <charset val="134"/>
    </font>
    <font>
      <u/>
      <sz val="10"/>
      <color indexed="8"/>
      <name val="Arial"/>
      <family val="2"/>
    </font>
    <font>
      <sz val="14"/>
      <color theme="1"/>
      <name val="Arial"/>
      <family val="2"/>
    </font>
    <font>
      <sz val="11"/>
      <color indexed="10"/>
      <name val="仿宋_GB2312"/>
      <family val="3"/>
      <charset val="134"/>
    </font>
    <font>
      <sz val="10"/>
      <color rgb="FFFF0000"/>
      <name val="Arial"/>
      <family val="2"/>
    </font>
    <font>
      <sz val="10"/>
      <color rgb="FFFF0000"/>
      <name val="宋体"/>
      <family val="3"/>
      <charset val="134"/>
    </font>
    <font>
      <sz val="14"/>
      <color indexed="8"/>
      <name val="Arial"/>
      <family val="2"/>
    </font>
    <font>
      <b/>
      <sz val="8"/>
      <color indexed="8"/>
      <name val="Arial"/>
      <family val="2"/>
    </font>
    <font>
      <b/>
      <sz val="8"/>
      <color indexed="8"/>
      <name val="仿宋_GB2312"/>
      <family val="3"/>
      <charset val="134"/>
    </font>
    <font>
      <b/>
      <sz val="9"/>
      <color indexed="8"/>
      <name val="Arial"/>
      <family val="2"/>
    </font>
    <font>
      <sz val="9"/>
      <color theme="1"/>
      <name val="Arial"/>
      <family val="2"/>
    </font>
    <font>
      <sz val="9"/>
      <color indexed="8"/>
      <name val="仿宋_GB2312"/>
      <family val="3"/>
      <charset val="134"/>
    </font>
    <font>
      <sz val="9"/>
      <color indexed="8"/>
      <name val="Arial"/>
      <family val="2"/>
    </font>
    <font>
      <sz val="9"/>
      <color rgb="FFE36C0A"/>
      <name val="Arial"/>
      <family val="2"/>
    </font>
    <font>
      <b/>
      <sz val="9"/>
      <color theme="1"/>
      <name val="Arial"/>
      <family val="2"/>
    </font>
    <font>
      <b/>
      <u/>
      <sz val="9"/>
      <color rgb="FFE36C0A"/>
      <name val="Arial"/>
      <family val="2"/>
    </font>
    <font>
      <b/>
      <sz val="14"/>
      <color rgb="FFFF0000"/>
      <name val="Arial"/>
      <family val="2"/>
    </font>
    <font>
      <b/>
      <sz val="14"/>
      <color indexed="10"/>
      <name val="仿宋_GB2312"/>
      <family val="3"/>
      <charset val="134"/>
    </font>
    <font>
      <b/>
      <sz val="12"/>
      <color indexed="8"/>
      <name val="Arial"/>
      <family val="2"/>
    </font>
    <font>
      <b/>
      <sz val="12"/>
      <color indexed="8"/>
      <name val="仿宋_GB2312"/>
      <family val="3"/>
      <charset val="134"/>
    </font>
    <font>
      <b/>
      <sz val="12"/>
      <color theme="1"/>
      <name val="Arial"/>
      <family val="2"/>
    </font>
    <font>
      <sz val="12"/>
      <color theme="1"/>
      <name val="Arial"/>
      <family val="2"/>
    </font>
    <font>
      <sz val="12"/>
      <color indexed="8"/>
      <name val="仿宋_GB2312"/>
      <family val="3"/>
      <charset val="134"/>
    </font>
    <font>
      <sz val="12"/>
      <color indexed="8"/>
      <name val="Arial"/>
      <family val="2"/>
    </font>
    <font>
      <sz val="12"/>
      <color rgb="FF000000"/>
      <name val="Arial"/>
      <family val="2"/>
    </font>
    <font>
      <b/>
      <u/>
      <sz val="12"/>
      <color theme="1"/>
      <name val="Arial"/>
      <family val="2"/>
    </font>
    <font>
      <b/>
      <u/>
      <sz val="12"/>
      <color indexed="8"/>
      <name val="仿宋_GB2312"/>
      <family val="3"/>
      <charset val="134"/>
    </font>
    <font>
      <u/>
      <sz val="12"/>
      <color indexed="8"/>
      <name val="Arial"/>
      <family val="2"/>
    </font>
    <font>
      <b/>
      <u/>
      <sz val="12"/>
      <color indexed="8"/>
      <name val="Arial"/>
      <family val="2"/>
    </font>
    <font>
      <b/>
      <sz val="14"/>
      <color indexed="8"/>
      <name val="Arial"/>
      <family val="2"/>
    </font>
    <font>
      <b/>
      <sz val="10"/>
      <color theme="1"/>
      <name val="Arial"/>
      <family val="2"/>
    </font>
    <font>
      <sz val="10"/>
      <color indexed="10"/>
      <name val="Arial"/>
      <family val="2"/>
    </font>
    <font>
      <sz val="10"/>
      <color indexed="10"/>
      <name val="仿宋_GB2312"/>
      <family val="3"/>
      <charset val="134"/>
    </font>
    <font>
      <sz val="10"/>
      <color theme="1"/>
      <name val="Arial"/>
      <family val="2"/>
    </font>
    <font>
      <b/>
      <sz val="10"/>
      <color rgb="FFE36C0A"/>
      <name val="Arial"/>
      <family val="2"/>
    </font>
    <font>
      <b/>
      <sz val="10"/>
      <color theme="1"/>
      <name val="仿宋_GB2312"/>
      <family val="3"/>
      <charset val="134"/>
    </font>
    <font>
      <sz val="10"/>
      <color theme="1"/>
      <name val="仿宋_GB2312"/>
      <family val="3"/>
      <charset val="134"/>
    </font>
    <font>
      <sz val="10"/>
      <color rgb="FFE36C0A"/>
      <name val="Arial"/>
      <family val="2"/>
    </font>
    <font>
      <b/>
      <sz val="10"/>
      <name val="Arial"/>
      <family val="2"/>
    </font>
    <font>
      <b/>
      <sz val="10"/>
      <name val="仿宋_GB2312"/>
      <family val="3"/>
      <charset val="134"/>
    </font>
    <font>
      <sz val="10"/>
      <color indexed="8"/>
      <name val="宋体"/>
      <family val="3"/>
      <charset val="134"/>
    </font>
    <font>
      <sz val="10"/>
      <name val="Arial"/>
      <family val="2"/>
    </font>
    <font>
      <sz val="10"/>
      <name val="仿宋_GB2312"/>
      <family val="3"/>
      <charset val="134"/>
    </font>
    <font>
      <sz val="10"/>
      <color rgb="FF000000"/>
      <name val="仿宋_GB2312"/>
      <family val="3"/>
      <charset val="134"/>
    </font>
    <font>
      <sz val="10"/>
      <color rgb="FF000000"/>
      <name val="Arial"/>
      <family val="2"/>
    </font>
    <font>
      <sz val="10"/>
      <color rgb="FF000000"/>
      <name val="宋体"/>
      <family val="3"/>
      <charset val="134"/>
    </font>
    <font>
      <b/>
      <sz val="10"/>
      <color indexed="8"/>
      <name val="宋体"/>
      <family val="3"/>
      <charset val="134"/>
    </font>
    <font>
      <sz val="11"/>
      <color theme="1"/>
      <name val="楷体_GB2312"/>
      <family val="3"/>
      <charset val="134"/>
    </font>
    <font>
      <sz val="10"/>
      <color rgb="FFFF0000"/>
      <name val="仿宋_GB2312"/>
      <family val="3"/>
      <charset val="134"/>
    </font>
    <font>
      <sz val="11"/>
      <color indexed="81"/>
      <name val="宋体"/>
      <family val="3"/>
      <charset val="134"/>
    </font>
    <font>
      <sz val="9"/>
      <color indexed="81"/>
      <name val="宋体"/>
      <family val="3"/>
      <charset val="134"/>
    </font>
    <font>
      <b/>
      <sz val="9"/>
      <color indexed="81"/>
      <name val="宋体"/>
      <family val="3"/>
      <charset val="134"/>
    </font>
    <font>
      <sz val="10"/>
      <color theme="1"/>
      <name val="华文细黑"/>
      <family val="3"/>
      <charset val="134"/>
    </font>
    <font>
      <sz val="10"/>
      <color theme="1"/>
      <name val="宋体"/>
      <family val="3"/>
      <charset val="134"/>
    </font>
    <font>
      <b/>
      <sz val="10"/>
      <color theme="1"/>
      <name val="华文细黑"/>
      <family val="3"/>
      <charset val="134"/>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indexed="13"/>
        <bgColor indexed="64"/>
      </patternFill>
    </fill>
    <fill>
      <patternFill patternType="solid">
        <fgColor rgb="FF00B0F0"/>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7">
    <xf numFmtId="0" fontId="0" fillId="0" borderId="0"/>
    <xf numFmtId="0" fontId="1" fillId="0" borderId="0"/>
    <xf numFmtId="0" fontId="4" fillId="0" borderId="0">
      <alignment vertical="center"/>
    </xf>
    <xf numFmtId="9"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xf numFmtId="0" fontId="4" fillId="0" borderId="0">
      <alignment vertical="center"/>
    </xf>
    <xf numFmtId="0" fontId="4" fillId="0" borderId="0"/>
    <xf numFmtId="0" fontId="6" fillId="0" borderId="0">
      <alignment vertical="center"/>
    </xf>
    <xf numFmtId="0" fontId="6" fillId="0" borderId="0">
      <alignment vertical="center"/>
    </xf>
    <xf numFmtId="0" fontId="4" fillId="0" borderId="0">
      <alignment vertical="center"/>
    </xf>
    <xf numFmtId="0" fontId="6" fillId="0" borderId="0">
      <alignment vertical="center"/>
    </xf>
  </cellStyleXfs>
  <cellXfs count="458">
    <xf numFmtId="0" fontId="0" fillId="0" borderId="0" xfId="0"/>
    <xf numFmtId="0" fontId="2" fillId="2" borderId="1" xfId="1" applyFont="1" applyFill="1" applyBorder="1" applyAlignment="1">
      <alignment horizontal="center" vertical="center" wrapText="1"/>
    </xf>
    <xf numFmtId="0" fontId="2" fillId="0" borderId="0" xfId="1" applyFont="1" applyBorder="1" applyAlignment="1">
      <alignment horizontal="left" vertical="center" wrapText="1"/>
    </xf>
    <xf numFmtId="0" fontId="4" fillId="0" borderId="0" xfId="2">
      <alignment vertical="center"/>
    </xf>
    <xf numFmtId="14" fontId="2" fillId="2" borderId="1" xfId="1" applyNumberFormat="1" applyFont="1" applyFill="1" applyBorder="1" applyAlignment="1">
      <alignment horizontal="center" vertical="center" wrapText="1"/>
    </xf>
    <xf numFmtId="0" fontId="2" fillId="3" borderId="1" xfId="1" applyFont="1" applyFill="1" applyBorder="1" applyAlignment="1" applyProtection="1">
      <alignment horizontal="center" vertical="center" wrapText="1"/>
      <protection locked="0"/>
    </xf>
    <xf numFmtId="0" fontId="1" fillId="2" borderId="1" xfId="1" applyFill="1" applyBorder="1" applyAlignment="1">
      <alignment vertical="center"/>
    </xf>
    <xf numFmtId="0" fontId="2" fillId="2" borderId="2" xfId="1" applyFont="1" applyFill="1" applyBorder="1" applyAlignment="1">
      <alignment horizontal="center" vertical="center" wrapText="1"/>
    </xf>
    <xf numFmtId="0" fontId="4" fillId="2" borderId="1" xfId="1" applyFont="1" applyFill="1" applyBorder="1" applyAlignment="1">
      <alignment vertical="center"/>
    </xf>
    <xf numFmtId="0" fontId="1" fillId="0" borderId="1" xfId="1" applyBorder="1" applyAlignment="1" applyProtection="1">
      <alignment vertical="center"/>
      <protection locked="0"/>
    </xf>
    <xf numFmtId="0" fontId="2" fillId="0" borderId="1" xfId="1" applyFont="1" applyBorder="1" applyAlignment="1" applyProtection="1">
      <alignment horizontal="left" vertical="center" wrapText="1"/>
      <protection locked="0"/>
    </xf>
    <xf numFmtId="0" fontId="7" fillId="2" borderId="0" xfId="4" applyFont="1" applyFill="1" applyProtection="1">
      <alignment vertical="center"/>
    </xf>
    <xf numFmtId="0" fontId="9" fillId="2" borderId="0" xfId="4" applyFont="1" applyFill="1" applyProtection="1">
      <alignment vertical="center"/>
    </xf>
    <xf numFmtId="0" fontId="10" fillId="2" borderId="1" xfId="4" applyFont="1" applyFill="1" applyBorder="1" applyProtection="1">
      <alignment vertical="center"/>
    </xf>
    <xf numFmtId="0" fontId="10" fillId="4" borderId="1" xfId="4" applyFont="1" applyFill="1" applyBorder="1" applyAlignment="1" applyProtection="1">
      <alignment horizontal="center" vertical="center"/>
      <protection locked="0"/>
    </xf>
    <xf numFmtId="0" fontId="10" fillId="4" borderId="1" xfId="4" applyFont="1" applyFill="1" applyBorder="1" applyAlignment="1" applyProtection="1">
      <alignment horizontal="center" vertical="center" wrapText="1"/>
      <protection locked="0"/>
    </xf>
    <xf numFmtId="0" fontId="11" fillId="2" borderId="0" xfId="4" applyFont="1" applyFill="1" applyProtection="1">
      <alignment vertical="center"/>
    </xf>
    <xf numFmtId="0" fontId="11" fillId="2" borderId="0" xfId="4" applyFont="1" applyFill="1" applyProtection="1">
      <alignment vertical="center"/>
      <protection locked="0"/>
    </xf>
    <xf numFmtId="0" fontId="11" fillId="0" borderId="0" xfId="4" applyFont="1" applyProtection="1">
      <alignment vertical="center"/>
      <protection locked="0"/>
    </xf>
    <xf numFmtId="0" fontId="12" fillId="0" borderId="3" xfId="4" applyFont="1" applyBorder="1" applyAlignment="1" applyProtection="1">
      <alignment horizontal="center" vertical="center"/>
      <protection locked="0"/>
    </xf>
    <xf numFmtId="0" fontId="12" fillId="0" borderId="4" xfId="4" applyFont="1" applyBorder="1" applyAlignment="1" applyProtection="1">
      <alignment horizontal="center" vertical="center"/>
      <protection locked="0"/>
    </xf>
    <xf numFmtId="0" fontId="12" fillId="0" borderId="5"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2" fillId="2" borderId="0" xfId="4" applyFont="1" applyFill="1" applyAlignment="1" applyProtection="1">
      <alignment horizontal="center" vertical="center"/>
      <protection locked="0"/>
    </xf>
    <xf numFmtId="0" fontId="11" fillId="2" borderId="7" xfId="4" applyFont="1" applyFill="1" applyBorder="1" applyAlignment="1" applyProtection="1">
      <alignment horizontal="center" vertical="center"/>
    </xf>
    <xf numFmtId="0" fontId="11" fillId="2" borderId="8" xfId="4" applyFont="1" applyFill="1" applyBorder="1" applyAlignment="1" applyProtection="1">
      <alignment horizontal="center" vertical="center"/>
    </xf>
    <xf numFmtId="0" fontId="14" fillId="2" borderId="2" xfId="4" applyFont="1" applyFill="1" applyBorder="1" applyAlignment="1" applyProtection="1">
      <alignment vertical="center" wrapText="1"/>
    </xf>
    <xf numFmtId="0" fontId="14" fillId="2" borderId="2" xfId="4" applyFont="1" applyFill="1" applyBorder="1" applyAlignment="1" applyProtection="1">
      <alignment horizontal="center" vertical="center" wrapText="1"/>
    </xf>
    <xf numFmtId="0" fontId="16" fillId="5" borderId="2" xfId="4" applyFont="1" applyFill="1" applyBorder="1" applyAlignment="1" applyProtection="1">
      <alignment horizontal="center" vertical="center"/>
      <protection locked="0"/>
    </xf>
    <xf numFmtId="0" fontId="11" fillId="2" borderId="9" xfId="4" applyFont="1" applyFill="1" applyBorder="1" applyAlignment="1" applyProtection="1">
      <alignment horizontal="center" vertical="center" wrapText="1"/>
    </xf>
    <xf numFmtId="0" fontId="11" fillId="2" borderId="10" xfId="4" applyFont="1" applyFill="1" applyBorder="1" applyAlignment="1" applyProtection="1">
      <alignment horizontal="center" vertical="center" wrapText="1"/>
    </xf>
    <xf numFmtId="0" fontId="11" fillId="2" borderId="11" xfId="4" applyFont="1" applyFill="1" applyBorder="1" applyAlignment="1" applyProtection="1">
      <alignment horizontal="center" vertical="center" wrapText="1"/>
    </xf>
    <xf numFmtId="0" fontId="11" fillId="2" borderId="0" xfId="4" applyFont="1" applyFill="1" applyAlignment="1" applyProtection="1">
      <alignment horizontal="center" vertical="center"/>
    </xf>
    <xf numFmtId="0" fontId="14" fillId="2" borderId="1" xfId="4" applyFont="1" applyFill="1" applyBorder="1" applyAlignment="1" applyProtection="1">
      <alignment horizontal="left" vertical="center" wrapText="1"/>
    </xf>
    <xf numFmtId="0" fontId="14" fillId="2" borderId="1" xfId="4" applyFont="1" applyFill="1" applyBorder="1" applyAlignment="1" applyProtection="1">
      <alignment horizontal="center" vertical="center" wrapText="1"/>
    </xf>
    <xf numFmtId="0" fontId="14" fillId="0" borderId="2" xfId="4" applyFont="1" applyBorder="1" applyAlignment="1" applyProtection="1">
      <alignment horizontal="center" vertical="center"/>
      <protection locked="0"/>
    </xf>
    <xf numFmtId="0" fontId="14" fillId="0" borderId="1" xfId="4" applyFont="1" applyBorder="1" applyAlignment="1" applyProtection="1">
      <alignment horizontal="center" vertical="center"/>
      <protection locked="0"/>
    </xf>
    <xf numFmtId="0" fontId="11" fillId="2" borderId="9" xfId="4" applyFont="1" applyFill="1" applyBorder="1" applyAlignment="1" applyProtection="1">
      <alignment vertical="center"/>
    </xf>
    <xf numFmtId="0" fontId="11" fillId="2" borderId="10" xfId="4" applyFont="1" applyFill="1" applyBorder="1" applyAlignment="1" applyProtection="1">
      <alignment vertical="center" wrapText="1"/>
    </xf>
    <xf numFmtId="0" fontId="11" fillId="2" borderId="11" xfId="4" applyFont="1" applyFill="1" applyBorder="1" applyAlignment="1" applyProtection="1">
      <alignment vertical="center" wrapText="1"/>
    </xf>
    <xf numFmtId="0" fontId="14" fillId="0" borderId="12" xfId="4" applyFont="1" applyBorder="1" applyAlignment="1" applyProtection="1">
      <alignment horizontal="center" vertical="center"/>
      <protection locked="0"/>
    </xf>
    <xf numFmtId="0" fontId="14" fillId="0" borderId="13" xfId="4" applyFont="1" applyBorder="1" applyAlignment="1" applyProtection="1">
      <alignment horizontal="center" vertical="center"/>
      <protection locked="0"/>
    </xf>
    <xf numFmtId="0" fontId="14" fillId="6" borderId="2" xfId="4" applyFont="1" applyFill="1" applyBorder="1" applyAlignment="1" applyProtection="1">
      <alignment horizontal="center" vertical="center"/>
      <protection locked="0"/>
    </xf>
    <xf numFmtId="0" fontId="14" fillId="6" borderId="1" xfId="4" applyFont="1" applyFill="1" applyBorder="1" applyAlignment="1" applyProtection="1">
      <alignment horizontal="center" vertical="center"/>
      <protection locked="0"/>
    </xf>
    <xf numFmtId="0" fontId="14" fillId="6" borderId="12" xfId="4" applyFont="1" applyFill="1" applyBorder="1" applyAlignment="1" applyProtection="1">
      <alignment horizontal="center" vertical="center"/>
      <protection locked="0"/>
    </xf>
    <xf numFmtId="0" fontId="14" fillId="6" borderId="13" xfId="4" applyFont="1" applyFill="1" applyBorder="1" applyAlignment="1" applyProtection="1">
      <alignment horizontal="center" vertical="center"/>
      <protection locked="0"/>
    </xf>
    <xf numFmtId="0" fontId="19" fillId="2" borderId="9" xfId="4" applyFont="1" applyFill="1" applyBorder="1" applyAlignment="1" applyProtection="1">
      <alignment horizontal="right" vertical="center"/>
    </xf>
    <xf numFmtId="0" fontId="14" fillId="2" borderId="11" xfId="4" applyFont="1" applyFill="1" applyBorder="1" applyProtection="1">
      <alignment vertical="center"/>
    </xf>
    <xf numFmtId="0" fontId="14" fillId="2" borderId="13" xfId="4" applyFont="1" applyFill="1" applyBorder="1" applyAlignment="1" applyProtection="1">
      <alignment horizontal="center" vertical="center"/>
    </xf>
    <xf numFmtId="0" fontId="11" fillId="0" borderId="0" xfId="4" applyFont="1" applyProtection="1">
      <alignment vertical="center"/>
    </xf>
    <xf numFmtId="0" fontId="19" fillId="2" borderId="14" xfId="4" applyFont="1" applyFill="1" applyBorder="1" applyAlignment="1" applyProtection="1">
      <alignment horizontal="right" vertical="center"/>
    </xf>
    <xf numFmtId="0" fontId="14" fillId="2" borderId="0" xfId="4" applyFont="1" applyFill="1" applyProtection="1">
      <alignment vertical="center"/>
    </xf>
    <xf numFmtId="176" fontId="14" fillId="2" borderId="2" xfId="4" applyNumberFormat="1" applyFont="1" applyFill="1" applyBorder="1" applyAlignment="1" applyProtection="1">
      <alignment horizontal="center" vertical="center"/>
    </xf>
    <xf numFmtId="0" fontId="19" fillId="2" borderId="15" xfId="4" applyFont="1" applyFill="1" applyBorder="1" applyAlignment="1" applyProtection="1">
      <alignment vertical="center"/>
    </xf>
    <xf numFmtId="0" fontId="14" fillId="2" borderId="16" xfId="4" applyFont="1" applyFill="1" applyBorder="1" applyAlignment="1" applyProtection="1">
      <alignment vertical="center"/>
    </xf>
    <xf numFmtId="0" fontId="16" fillId="2" borderId="16" xfId="4" applyFont="1" applyFill="1" applyBorder="1" applyAlignment="1" applyProtection="1">
      <alignment horizontal="center" vertical="center"/>
    </xf>
    <xf numFmtId="0" fontId="16" fillId="2" borderId="17" xfId="4" applyFont="1" applyFill="1" applyBorder="1" applyAlignment="1" applyProtection="1">
      <alignment horizontal="center" vertical="center"/>
    </xf>
    <xf numFmtId="0" fontId="14" fillId="2" borderId="18" xfId="4" applyFont="1" applyFill="1" applyBorder="1" applyAlignment="1" applyProtection="1">
      <alignment horizontal="right" vertical="center"/>
    </xf>
    <xf numFmtId="0" fontId="11" fillId="2" borderId="19" xfId="4" applyFont="1" applyFill="1" applyBorder="1" applyAlignment="1" applyProtection="1">
      <alignment vertical="center"/>
    </xf>
    <xf numFmtId="0" fontId="19" fillId="2" borderId="20" xfId="4" applyFont="1" applyFill="1" applyBorder="1" applyAlignment="1" applyProtection="1">
      <alignment vertical="center"/>
    </xf>
    <xf numFmtId="0" fontId="14" fillId="2" borderId="1" xfId="4" applyFont="1" applyFill="1" applyBorder="1" applyProtection="1">
      <alignment vertical="center"/>
    </xf>
    <xf numFmtId="0" fontId="16" fillId="2" borderId="1" xfId="4" applyFont="1" applyFill="1" applyBorder="1" applyAlignment="1" applyProtection="1">
      <alignment horizontal="center" vertical="center"/>
    </xf>
    <xf numFmtId="0" fontId="16" fillId="2" borderId="9" xfId="4" applyFont="1" applyFill="1" applyBorder="1" applyAlignment="1" applyProtection="1">
      <alignment horizontal="center" vertical="center"/>
    </xf>
    <xf numFmtId="0" fontId="14" fillId="2" borderId="9" xfId="4" applyFont="1" applyFill="1" applyBorder="1" applyAlignment="1" applyProtection="1">
      <alignment horizontal="right" vertical="center"/>
    </xf>
    <xf numFmtId="0" fontId="11" fillId="2" borderId="21" xfId="4" applyFont="1" applyFill="1" applyBorder="1" applyAlignment="1" applyProtection="1">
      <alignment vertical="center"/>
    </xf>
    <xf numFmtId="0" fontId="14" fillId="2" borderId="2" xfId="4" applyFont="1" applyFill="1" applyBorder="1" applyProtection="1">
      <alignment vertical="center"/>
    </xf>
    <xf numFmtId="0" fontId="14" fillId="2" borderId="2" xfId="4" applyFont="1" applyFill="1" applyBorder="1" applyAlignment="1" applyProtection="1">
      <alignment horizontal="center" vertical="center"/>
    </xf>
    <xf numFmtId="0" fontId="14" fillId="2" borderId="22" xfId="4" applyFont="1" applyFill="1" applyBorder="1" applyAlignment="1" applyProtection="1">
      <alignment horizontal="center" vertical="center"/>
    </xf>
    <xf numFmtId="0" fontId="14" fillId="2" borderId="10" xfId="4" applyFont="1" applyFill="1" applyBorder="1" applyAlignment="1" applyProtection="1">
      <alignment horizontal="right" vertical="center"/>
    </xf>
    <xf numFmtId="0" fontId="11" fillId="2" borderId="21" xfId="4" applyFont="1" applyFill="1" applyBorder="1" applyProtection="1">
      <alignment vertical="center"/>
    </xf>
    <xf numFmtId="0" fontId="19" fillId="2" borderId="9" xfId="4" applyFont="1" applyFill="1" applyBorder="1" applyAlignment="1" applyProtection="1">
      <alignment horizontal="left" vertical="center"/>
    </xf>
    <xf numFmtId="0" fontId="11" fillId="2" borderId="10" xfId="4" applyFont="1" applyFill="1" applyBorder="1" applyProtection="1">
      <alignment vertical="center"/>
    </xf>
    <xf numFmtId="0" fontId="11" fillId="2" borderId="9" xfId="4" applyFont="1" applyFill="1" applyBorder="1" applyProtection="1">
      <alignment vertical="center"/>
    </xf>
    <xf numFmtId="177" fontId="21" fillId="2" borderId="10" xfId="4" applyNumberFormat="1" applyFont="1" applyFill="1" applyBorder="1" applyAlignment="1" applyProtection="1">
      <alignment horizontal="center" vertical="center"/>
    </xf>
    <xf numFmtId="0" fontId="19" fillId="2" borderId="23" xfId="4" applyFont="1" applyFill="1" applyBorder="1" applyAlignment="1" applyProtection="1">
      <alignment vertical="center"/>
    </xf>
    <xf numFmtId="0" fontId="14" fillId="2" borderId="24" xfId="4" applyFont="1" applyFill="1" applyBorder="1" applyProtection="1">
      <alignment vertical="center"/>
    </xf>
    <xf numFmtId="0" fontId="11" fillId="2" borderId="25" xfId="4" applyFont="1" applyFill="1" applyBorder="1" applyAlignment="1" applyProtection="1">
      <alignment horizontal="right" vertical="center"/>
    </xf>
    <xf numFmtId="0" fontId="11" fillId="2" borderId="26" xfId="4" applyFont="1" applyFill="1" applyBorder="1" applyAlignment="1" applyProtection="1">
      <alignment horizontal="left" vertical="center"/>
    </xf>
    <xf numFmtId="0" fontId="19" fillId="2" borderId="27" xfId="4" applyFont="1" applyFill="1" applyBorder="1" applyAlignment="1" applyProtection="1">
      <alignment horizontal="left" vertical="center" wrapText="1"/>
    </xf>
    <xf numFmtId="0" fontId="14" fillId="2" borderId="17" xfId="4" applyFont="1" applyFill="1" applyBorder="1" applyAlignment="1" applyProtection="1">
      <alignment horizontal="right" vertical="center"/>
    </xf>
    <xf numFmtId="0" fontId="14" fillId="2" borderId="28" xfId="4" applyFont="1" applyFill="1" applyBorder="1" applyAlignment="1" applyProtection="1">
      <alignment horizontal="center" vertical="center"/>
    </xf>
    <xf numFmtId="0" fontId="19" fillId="2" borderId="29" xfId="4" applyFont="1" applyFill="1" applyBorder="1" applyAlignment="1" applyProtection="1">
      <alignment horizontal="left" vertical="center" wrapText="1"/>
    </xf>
    <xf numFmtId="0" fontId="14" fillId="4" borderId="1" xfId="4" applyFont="1" applyFill="1" applyBorder="1" applyProtection="1">
      <alignment vertical="center"/>
      <protection locked="0"/>
    </xf>
    <xf numFmtId="0" fontId="14" fillId="2" borderId="30" xfId="4" applyFont="1" applyFill="1" applyBorder="1" applyAlignment="1" applyProtection="1">
      <alignment horizontal="right" vertical="center"/>
    </xf>
    <xf numFmtId="0" fontId="14" fillId="2" borderId="21" xfId="4" applyFont="1" applyFill="1" applyBorder="1" applyAlignment="1" applyProtection="1">
      <alignment horizontal="center" vertical="center"/>
    </xf>
    <xf numFmtId="0" fontId="22" fillId="2" borderId="31" xfId="4" applyFont="1" applyFill="1" applyBorder="1" applyAlignment="1" applyProtection="1">
      <alignment horizontal="left" vertical="center"/>
    </xf>
    <xf numFmtId="0" fontId="11" fillId="2" borderId="32" xfId="4" applyFont="1" applyFill="1" applyBorder="1" applyProtection="1">
      <alignment vertical="center"/>
    </xf>
    <xf numFmtId="0" fontId="11" fillId="2" borderId="28" xfId="4" applyFont="1" applyFill="1" applyBorder="1" applyProtection="1">
      <alignment vertical="center"/>
    </xf>
    <xf numFmtId="0" fontId="12" fillId="0" borderId="33" xfId="4" applyFont="1" applyBorder="1" applyAlignment="1" applyProtection="1">
      <alignment horizontal="center" vertical="center"/>
      <protection locked="0"/>
    </xf>
    <xf numFmtId="0" fontId="12" fillId="0" borderId="1" xfId="4" applyFont="1" applyFill="1" applyBorder="1" applyAlignment="1" applyProtection="1">
      <alignment horizontal="center" vertical="center"/>
      <protection locked="0"/>
    </xf>
    <xf numFmtId="0" fontId="12" fillId="0" borderId="34" xfId="4" applyFont="1" applyFill="1" applyBorder="1" applyAlignment="1" applyProtection="1">
      <alignment horizontal="center" vertical="center"/>
      <protection locked="0"/>
    </xf>
    <xf numFmtId="0" fontId="22" fillId="2" borderId="35" xfId="4" applyFont="1" applyFill="1" applyBorder="1" applyAlignment="1" applyProtection="1">
      <alignment horizontal="left" vertical="center"/>
    </xf>
    <xf numFmtId="0" fontId="11" fillId="0" borderId="0" xfId="4" applyFont="1" applyFill="1" applyProtection="1">
      <alignment vertical="center"/>
      <protection locked="0"/>
    </xf>
    <xf numFmtId="0" fontId="11" fillId="0" borderId="0" xfId="4" applyFont="1" applyFill="1" applyProtection="1">
      <alignment vertical="center"/>
    </xf>
    <xf numFmtId="0" fontId="12" fillId="0" borderId="36" xfId="4" applyFont="1" applyFill="1" applyBorder="1" applyAlignment="1" applyProtection="1">
      <alignment horizontal="center" vertical="center"/>
    </xf>
    <xf numFmtId="0" fontId="12" fillId="0" borderId="37" xfId="4" applyFont="1" applyFill="1" applyBorder="1" applyAlignment="1" applyProtection="1">
      <alignment horizontal="center" vertical="center"/>
      <protection locked="0"/>
    </xf>
    <xf numFmtId="0" fontId="12" fillId="0" borderId="38" xfId="4" applyFont="1" applyFill="1" applyBorder="1" applyAlignment="1" applyProtection="1">
      <alignment horizontal="center" vertical="center"/>
      <protection locked="0"/>
    </xf>
    <xf numFmtId="0" fontId="24" fillId="2" borderId="0" xfId="4" applyFont="1" applyFill="1" applyProtection="1">
      <alignment vertical="center"/>
    </xf>
    <xf numFmtId="0" fontId="26" fillId="2" borderId="35" xfId="4" applyFont="1" applyFill="1" applyBorder="1" applyProtection="1">
      <alignment vertical="center"/>
      <protection locked="0"/>
    </xf>
    <xf numFmtId="0" fontId="11" fillId="2" borderId="10" xfId="4" applyFont="1" applyFill="1" applyBorder="1" applyProtection="1">
      <alignment vertical="center"/>
      <protection locked="0"/>
    </xf>
    <xf numFmtId="0" fontId="11" fillId="2" borderId="21" xfId="4" applyFont="1" applyFill="1" applyBorder="1" applyProtection="1">
      <alignment vertical="center"/>
      <protection locked="0"/>
    </xf>
    <xf numFmtId="0" fontId="19" fillId="2" borderId="16" xfId="4" applyFont="1" applyFill="1" applyBorder="1" applyAlignment="1" applyProtection="1">
      <alignment vertical="center"/>
    </xf>
    <xf numFmtId="0" fontId="19" fillId="2" borderId="18" xfId="4" applyFont="1" applyFill="1" applyBorder="1" applyAlignment="1" applyProtection="1">
      <alignment horizontal="right" vertical="center"/>
    </xf>
    <xf numFmtId="0" fontId="18" fillId="2" borderId="28" xfId="4" applyFont="1" applyFill="1" applyBorder="1" applyAlignment="1" applyProtection="1">
      <alignment vertical="center"/>
    </xf>
    <xf numFmtId="0" fontId="22" fillId="2" borderId="20" xfId="4" applyFont="1" applyFill="1" applyBorder="1" applyAlignment="1" applyProtection="1">
      <alignment horizontal="left" vertical="center"/>
    </xf>
    <xf numFmtId="0" fontId="11" fillId="2" borderId="0" xfId="4" applyFont="1" applyFill="1" applyBorder="1" applyProtection="1">
      <alignment vertical="center"/>
      <protection locked="0"/>
    </xf>
    <xf numFmtId="0" fontId="11" fillId="2" borderId="39" xfId="4" applyFont="1" applyFill="1" applyBorder="1" applyProtection="1">
      <alignment vertical="center"/>
      <protection locked="0"/>
    </xf>
    <xf numFmtId="0" fontId="27" fillId="2" borderId="20" xfId="4" applyFont="1" applyFill="1" applyBorder="1" applyAlignment="1" applyProtection="1">
      <alignment vertical="center"/>
    </xf>
    <xf numFmtId="0" fontId="19" fillId="2" borderId="1" xfId="4" applyFont="1" applyFill="1" applyBorder="1" applyProtection="1">
      <alignment vertical="center"/>
    </xf>
    <xf numFmtId="0" fontId="18" fillId="2" borderId="21" xfId="4" applyFont="1" applyFill="1" applyBorder="1" applyAlignment="1" applyProtection="1">
      <alignment vertical="center"/>
    </xf>
    <xf numFmtId="0" fontId="14" fillId="2" borderId="40" xfId="4" applyFont="1" applyFill="1" applyBorder="1" applyAlignment="1" applyProtection="1">
      <alignment horizontal="left" vertical="center"/>
    </xf>
    <xf numFmtId="0" fontId="19" fillId="0" borderId="41" xfId="4" applyFont="1" applyFill="1" applyBorder="1" applyAlignment="1" applyProtection="1">
      <alignment horizontal="center" vertical="center"/>
      <protection locked="0"/>
    </xf>
    <xf numFmtId="0" fontId="11" fillId="4" borderId="4" xfId="4" applyFont="1" applyFill="1" applyBorder="1" applyProtection="1">
      <alignment vertical="center"/>
      <protection locked="0"/>
    </xf>
    <xf numFmtId="0" fontId="11" fillId="2" borderId="6" xfId="4" applyFont="1" applyFill="1" applyBorder="1" applyProtection="1">
      <alignment vertical="center"/>
    </xf>
    <xf numFmtId="0" fontId="29" fillId="2" borderId="20" xfId="4" applyFont="1" applyFill="1" applyBorder="1" applyAlignment="1" applyProtection="1">
      <alignment horizontal="right" vertical="center"/>
    </xf>
    <xf numFmtId="0" fontId="19" fillId="2" borderId="2" xfId="4" applyFont="1" applyFill="1" applyBorder="1" applyProtection="1">
      <alignment vertical="center"/>
    </xf>
    <xf numFmtId="0" fontId="18" fillId="2" borderId="21" xfId="4" applyFont="1" applyFill="1" applyBorder="1" applyProtection="1">
      <alignment vertical="center"/>
    </xf>
    <xf numFmtId="0" fontId="19" fillId="2" borderId="42" xfId="4" applyFont="1" applyFill="1" applyBorder="1" applyAlignment="1" applyProtection="1">
      <alignment horizontal="left" vertical="center" wrapText="1"/>
    </xf>
    <xf numFmtId="0" fontId="14" fillId="2" borderId="11" xfId="4" applyFont="1" applyFill="1" applyBorder="1" applyAlignment="1" applyProtection="1">
      <alignment horizontal="left" vertical="center"/>
    </xf>
    <xf numFmtId="0" fontId="19" fillId="0" borderId="34" xfId="4" applyFont="1" applyFill="1" applyBorder="1" applyAlignment="1" applyProtection="1">
      <alignment horizontal="center" vertical="center"/>
      <protection locked="0"/>
    </xf>
    <xf numFmtId="0" fontId="22" fillId="2" borderId="23" xfId="4" applyFont="1" applyFill="1" applyBorder="1" applyAlignment="1" applyProtection="1">
      <alignment horizontal="left" vertical="center"/>
    </xf>
    <xf numFmtId="0" fontId="11" fillId="2" borderId="5" xfId="4" applyFont="1" applyFill="1" applyBorder="1" applyProtection="1">
      <alignment vertical="center"/>
    </xf>
    <xf numFmtId="0" fontId="11" fillId="2" borderId="43" xfId="4" applyFont="1" applyFill="1" applyBorder="1" applyProtection="1">
      <alignment vertical="center"/>
    </xf>
    <xf numFmtId="0" fontId="19" fillId="2" borderId="12" xfId="4" applyFont="1" applyFill="1" applyBorder="1" applyProtection="1">
      <alignment vertical="center"/>
    </xf>
    <xf numFmtId="0" fontId="18" fillId="2" borderId="44" xfId="4" applyFont="1" applyFill="1" applyBorder="1" applyAlignment="1" applyProtection="1">
      <alignment horizontal="right" vertical="center"/>
    </xf>
    <xf numFmtId="0" fontId="18" fillId="2" borderId="45" xfId="4" applyFont="1" applyFill="1" applyBorder="1" applyAlignment="1" applyProtection="1">
      <alignment horizontal="left" vertical="center"/>
    </xf>
    <xf numFmtId="0" fontId="19" fillId="2" borderId="46" xfId="4" applyFont="1" applyFill="1" applyBorder="1" applyAlignment="1" applyProtection="1">
      <alignment horizontal="left" vertical="center" wrapText="1"/>
    </xf>
    <xf numFmtId="0" fontId="14" fillId="2" borderId="47" xfId="4" applyFont="1" applyFill="1" applyBorder="1" applyAlignment="1" applyProtection="1">
      <alignment horizontal="left" vertical="center"/>
    </xf>
    <xf numFmtId="0" fontId="19" fillId="0" borderId="37" xfId="4" applyFont="1" applyFill="1" applyBorder="1" applyAlignment="1" applyProtection="1">
      <alignment horizontal="center" vertical="center"/>
      <protection locked="0"/>
    </xf>
    <xf numFmtId="0" fontId="14" fillId="0" borderId="6" xfId="4" applyFont="1" applyFill="1" applyBorder="1" applyProtection="1">
      <alignment vertical="center"/>
      <protection locked="0"/>
    </xf>
    <xf numFmtId="0" fontId="30" fillId="2" borderId="48" xfId="4" applyFont="1" applyFill="1" applyBorder="1" applyAlignment="1" applyProtection="1">
      <alignment horizontal="center" vertical="center" wrapText="1"/>
    </xf>
    <xf numFmtId="0" fontId="30" fillId="2" borderId="19" xfId="4" applyFont="1" applyFill="1" applyBorder="1" applyAlignment="1" applyProtection="1">
      <alignment horizontal="center" vertical="center" wrapText="1"/>
    </xf>
    <xf numFmtId="0" fontId="19" fillId="2" borderId="48" xfId="4" applyFont="1" applyFill="1" applyBorder="1" applyAlignment="1" applyProtection="1">
      <alignment vertical="center"/>
    </xf>
    <xf numFmtId="0" fontId="12" fillId="0" borderId="49" xfId="4" applyFont="1" applyFill="1" applyBorder="1" applyAlignment="1" applyProtection="1">
      <alignment horizontal="center" vertical="center"/>
      <protection locked="0"/>
    </xf>
    <xf numFmtId="0" fontId="12" fillId="0" borderId="16" xfId="4" applyFont="1" applyFill="1" applyBorder="1" applyAlignment="1" applyProtection="1">
      <alignment horizontal="center" vertical="center"/>
      <protection locked="0"/>
    </xf>
    <xf numFmtId="0" fontId="12" fillId="0" borderId="41" xfId="4" applyFont="1" applyFill="1" applyBorder="1" applyAlignment="1" applyProtection="1">
      <alignment horizontal="center" vertical="center"/>
      <protection locked="0"/>
    </xf>
    <xf numFmtId="0" fontId="24" fillId="2" borderId="0" xfId="4" applyFont="1" applyFill="1" applyBorder="1" applyAlignment="1" applyProtection="1">
      <alignment horizontal="center" vertical="center"/>
      <protection locked="0"/>
    </xf>
    <xf numFmtId="0" fontId="30" fillId="2" borderId="50" xfId="4" applyFont="1" applyFill="1" applyBorder="1" applyAlignment="1" applyProtection="1">
      <alignment horizontal="center" vertical="center" wrapText="1"/>
    </xf>
    <xf numFmtId="0" fontId="30" fillId="2" borderId="39" xfId="4" applyFont="1" applyFill="1" applyBorder="1" applyAlignment="1" applyProtection="1">
      <alignment horizontal="center" vertical="center" wrapText="1"/>
    </xf>
    <xf numFmtId="0" fontId="11" fillId="2" borderId="50" xfId="4" applyFont="1" applyFill="1" applyBorder="1" applyProtection="1">
      <alignment vertical="center"/>
    </xf>
    <xf numFmtId="0" fontId="12" fillId="0" borderId="33" xfId="4" applyFont="1" applyFill="1" applyBorder="1" applyAlignment="1" applyProtection="1">
      <alignment horizontal="center" vertical="center"/>
      <protection locked="0"/>
    </xf>
    <xf numFmtId="0" fontId="30" fillId="2" borderId="51" xfId="4" applyFont="1" applyFill="1" applyBorder="1" applyAlignment="1" applyProtection="1">
      <alignment horizontal="center" vertical="center" wrapText="1"/>
    </xf>
    <xf numFmtId="0" fontId="16" fillId="2" borderId="43" xfId="4" applyFont="1" applyFill="1" applyBorder="1" applyAlignment="1" applyProtection="1">
      <alignment vertical="center" wrapText="1"/>
    </xf>
    <xf numFmtId="0" fontId="30" fillId="2" borderId="52" xfId="4" applyFont="1" applyFill="1" applyBorder="1" applyAlignment="1" applyProtection="1">
      <alignment horizontal="center" vertical="center" wrapText="1"/>
    </xf>
    <xf numFmtId="0" fontId="30" fillId="2" borderId="6" xfId="4" applyFont="1" applyFill="1" applyBorder="1" applyAlignment="1" applyProtection="1">
      <alignment horizontal="center" vertical="center" wrapText="1"/>
    </xf>
    <xf numFmtId="0" fontId="33" fillId="2" borderId="6" xfId="4" applyFont="1" applyFill="1" applyBorder="1" applyAlignment="1" applyProtection="1">
      <alignment horizontal="center" vertical="center" wrapText="1"/>
    </xf>
    <xf numFmtId="0" fontId="11" fillId="2" borderId="51" xfId="4" applyFont="1" applyFill="1" applyBorder="1" applyProtection="1">
      <alignment vertical="center"/>
    </xf>
    <xf numFmtId="0" fontId="12" fillId="0" borderId="36" xfId="4" applyFont="1" applyFill="1" applyBorder="1" applyAlignment="1" applyProtection="1">
      <alignment horizontal="center" vertical="center"/>
      <protection locked="0"/>
    </xf>
    <xf numFmtId="0" fontId="34" fillId="2" borderId="3" xfId="4" applyFont="1" applyFill="1" applyBorder="1" applyAlignment="1" applyProtection="1">
      <alignment horizontal="center" vertical="center" wrapText="1"/>
    </xf>
    <xf numFmtId="0" fontId="34" fillId="2" borderId="4" xfId="4" applyFont="1" applyFill="1" applyBorder="1" applyAlignment="1" applyProtection="1">
      <alignment horizontal="center" vertical="center" wrapText="1"/>
    </xf>
    <xf numFmtId="0" fontId="34" fillId="2" borderId="6" xfId="4" applyFont="1" applyFill="1" applyBorder="1" applyAlignment="1" applyProtection="1">
      <alignment horizontal="center" vertical="center" wrapText="1"/>
    </xf>
    <xf numFmtId="0" fontId="35" fillId="2" borderId="43" xfId="4" applyFont="1" applyFill="1" applyBorder="1" applyAlignment="1" applyProtection="1">
      <alignment horizontal="center" vertical="center" wrapText="1"/>
    </xf>
    <xf numFmtId="0" fontId="36" fillId="2" borderId="0" xfId="4" applyFont="1" applyFill="1" applyProtection="1">
      <alignment vertical="center"/>
    </xf>
    <xf numFmtId="0" fontId="38" fillId="2" borderId="15" xfId="4" applyFont="1" applyFill="1" applyBorder="1" applyAlignment="1" applyProtection="1">
      <alignment horizontal="center" vertical="center"/>
    </xf>
    <xf numFmtId="0" fontId="38" fillId="2" borderId="53" xfId="4" applyFont="1" applyFill="1" applyBorder="1" applyAlignment="1" applyProtection="1">
      <alignment horizontal="center" vertical="center"/>
    </xf>
    <xf numFmtId="0" fontId="40" fillId="2" borderId="18" xfId="4" applyFont="1" applyFill="1" applyBorder="1" applyAlignment="1" applyProtection="1">
      <alignment horizontal="center" vertical="center" wrapText="1"/>
    </xf>
    <xf numFmtId="0" fontId="38" fillId="2" borderId="16" xfId="4" applyFont="1" applyFill="1" applyBorder="1" applyAlignment="1" applyProtection="1">
      <alignment horizontal="center" vertical="center"/>
    </xf>
    <xf numFmtId="0" fontId="38" fillId="2" borderId="41" xfId="4" applyFont="1" applyFill="1" applyBorder="1" applyAlignment="1" applyProtection="1">
      <alignment horizontal="center" vertical="center"/>
    </xf>
    <xf numFmtId="0" fontId="19" fillId="2" borderId="33" xfId="4" applyFont="1" applyFill="1" applyBorder="1" applyAlignment="1" applyProtection="1">
      <alignment horizontal="left" vertical="center"/>
    </xf>
    <xf numFmtId="0" fontId="19" fillId="2" borderId="1" xfId="4" applyFont="1" applyFill="1" applyBorder="1" applyAlignment="1" applyProtection="1">
      <alignment horizontal="left" vertical="center"/>
    </xf>
    <xf numFmtId="0" fontId="18" fillId="2" borderId="1" xfId="4" applyFont="1" applyFill="1" applyBorder="1" applyAlignment="1" applyProtection="1">
      <alignment horizontal="right" vertical="center"/>
    </xf>
    <xf numFmtId="0" fontId="18" fillId="2" borderId="34" xfId="4" applyFont="1" applyFill="1" applyBorder="1" applyAlignment="1" applyProtection="1">
      <alignment horizontal="right" vertical="center"/>
    </xf>
    <xf numFmtId="0" fontId="12" fillId="2" borderId="0" xfId="4" applyFont="1" applyFill="1" applyBorder="1" applyAlignment="1" applyProtection="1">
      <alignment horizontal="center" vertical="center"/>
    </xf>
    <xf numFmtId="0" fontId="41" fillId="2" borderId="27" xfId="4" applyFont="1" applyFill="1" applyBorder="1" applyAlignment="1" applyProtection="1">
      <alignment horizontal="justify" vertical="center" wrapText="1"/>
    </xf>
    <xf numFmtId="0" fontId="41" fillId="4" borderId="54" xfId="4" applyFont="1" applyFill="1" applyBorder="1" applyAlignment="1" applyProtection="1">
      <alignment horizontal="center" vertical="center" wrapText="1"/>
    </xf>
    <xf numFmtId="0" fontId="41" fillId="2" borderId="54" xfId="4" applyFont="1" applyFill="1" applyBorder="1" applyAlignment="1" applyProtection="1">
      <alignment horizontal="center" vertical="center" wrapText="1"/>
    </xf>
    <xf numFmtId="0" fontId="41" fillId="4" borderId="16" xfId="4" applyFont="1" applyFill="1" applyBorder="1" applyAlignment="1" applyProtection="1">
      <alignment horizontal="justify" vertical="center" wrapText="1"/>
    </xf>
    <xf numFmtId="0" fontId="41" fillId="4" borderId="41" xfId="4" applyFont="1" applyFill="1" applyBorder="1" applyAlignment="1" applyProtection="1">
      <alignment horizontal="justify" vertical="center" wrapText="1"/>
    </xf>
    <xf numFmtId="0" fontId="19" fillId="4" borderId="10" xfId="4" applyFont="1" applyFill="1" applyBorder="1" applyAlignment="1" applyProtection="1">
      <alignment vertical="center"/>
    </xf>
    <xf numFmtId="0" fontId="19" fillId="4" borderId="11" xfId="4" applyFont="1" applyFill="1" applyBorder="1" applyAlignment="1" applyProtection="1">
      <alignment vertical="center"/>
    </xf>
    <xf numFmtId="0" fontId="11" fillId="4" borderId="0" xfId="4" applyFont="1" applyFill="1" applyProtection="1">
      <alignment vertical="center"/>
      <protection locked="0"/>
    </xf>
    <xf numFmtId="0" fontId="44" fillId="2" borderId="33" xfId="4" applyFont="1" applyFill="1" applyBorder="1" applyAlignment="1" applyProtection="1">
      <alignment horizontal="center" vertical="center" wrapText="1"/>
    </xf>
    <xf numFmtId="0" fontId="44" fillId="2" borderId="1" xfId="4" applyFont="1" applyFill="1" applyBorder="1" applyAlignment="1" applyProtection="1">
      <alignment horizontal="center" vertical="center" wrapText="1"/>
    </xf>
    <xf numFmtId="176" fontId="22" fillId="2" borderId="1" xfId="4" applyNumberFormat="1" applyFont="1" applyFill="1" applyBorder="1" applyAlignment="1" applyProtection="1">
      <alignment horizontal="center" vertical="center" wrapText="1"/>
    </xf>
    <xf numFmtId="0" fontId="44" fillId="2" borderId="2" xfId="4" applyFont="1" applyFill="1" applyBorder="1" applyAlignment="1" applyProtection="1">
      <alignment horizontal="center" vertical="center" wrapText="1"/>
    </xf>
    <xf numFmtId="0" fontId="44" fillId="2" borderId="55" xfId="4" applyFont="1" applyFill="1" applyBorder="1" applyAlignment="1" applyProtection="1">
      <alignment horizontal="center" vertical="center" wrapText="1"/>
    </xf>
    <xf numFmtId="0" fontId="44" fillId="2" borderId="36" xfId="4" applyFont="1" applyFill="1" applyBorder="1" applyAlignment="1" applyProtection="1">
      <alignment horizontal="center" vertical="center" wrapText="1"/>
    </xf>
    <xf numFmtId="0" fontId="44" fillId="2" borderId="37" xfId="4" applyFont="1" applyFill="1" applyBorder="1" applyAlignment="1" applyProtection="1">
      <alignment horizontal="center" vertical="center" wrapText="1"/>
    </xf>
    <xf numFmtId="176" fontId="22" fillId="2" borderId="37" xfId="4" applyNumberFormat="1" applyFont="1" applyFill="1" applyBorder="1" applyAlignment="1" applyProtection="1">
      <alignment horizontal="center" vertical="center" wrapText="1"/>
    </xf>
    <xf numFmtId="0" fontId="11" fillId="2" borderId="24" xfId="4" applyFont="1" applyFill="1" applyBorder="1" applyProtection="1">
      <alignment vertical="center"/>
    </xf>
    <xf numFmtId="0" fontId="22" fillId="2" borderId="56" xfId="4" applyFont="1" applyFill="1" applyBorder="1" applyAlignment="1" applyProtection="1">
      <alignment horizontal="center" vertical="center" wrapText="1"/>
    </xf>
    <xf numFmtId="0" fontId="19" fillId="2" borderId="35" xfId="4" applyFont="1" applyFill="1" applyBorder="1" applyAlignment="1" applyProtection="1">
      <alignment horizontal="left" vertical="center"/>
    </xf>
    <xf numFmtId="0" fontId="19" fillId="2" borderId="11" xfId="4" applyFont="1" applyFill="1" applyBorder="1" applyAlignment="1" applyProtection="1">
      <alignment horizontal="left" vertical="center"/>
    </xf>
    <xf numFmtId="0" fontId="19" fillId="2" borderId="22" xfId="4" applyFont="1" applyFill="1" applyBorder="1" applyAlignment="1" applyProtection="1">
      <alignment horizontal="right" vertical="center"/>
    </xf>
    <xf numFmtId="0" fontId="19" fillId="2" borderId="36" xfId="4" applyFont="1" applyFill="1" applyBorder="1" applyAlignment="1" applyProtection="1">
      <alignment horizontal="left" vertical="center" wrapText="1"/>
      <protection locked="0"/>
    </xf>
    <xf numFmtId="0" fontId="19" fillId="2" borderId="37" xfId="4" applyFont="1" applyFill="1" applyBorder="1" applyAlignment="1" applyProtection="1">
      <alignment horizontal="left" vertical="center" wrapText="1"/>
      <protection locked="0"/>
    </xf>
    <xf numFmtId="0" fontId="19" fillId="2" borderId="57" xfId="4" applyFont="1" applyFill="1" applyBorder="1" applyAlignment="1" applyProtection="1">
      <alignment horizontal="right" vertical="center"/>
    </xf>
    <xf numFmtId="0" fontId="45" fillId="0" borderId="14" xfId="4" applyFont="1" applyBorder="1" applyAlignment="1" applyProtection="1">
      <alignment horizontal="left" vertical="center"/>
    </xf>
    <xf numFmtId="0" fontId="47" fillId="0" borderId="0" xfId="4" applyFont="1" applyBorder="1" applyAlignment="1" applyProtection="1">
      <alignment horizontal="left" vertical="center" wrapText="1"/>
    </xf>
    <xf numFmtId="0" fontId="48" fillId="4" borderId="0" xfId="4" applyFont="1" applyFill="1" applyBorder="1" applyAlignment="1" applyProtection="1">
      <alignment horizontal="left" vertical="center" wrapText="1"/>
      <protection locked="0"/>
    </xf>
    <xf numFmtId="0" fontId="11" fillId="0" borderId="0" xfId="4" applyFont="1" applyFill="1" applyBorder="1" applyAlignment="1" applyProtection="1">
      <alignment horizontal="center" vertical="center" wrapText="1"/>
      <protection locked="0"/>
    </xf>
    <xf numFmtId="0" fontId="11" fillId="0" borderId="44" xfId="4" applyFont="1" applyFill="1" applyBorder="1" applyAlignment="1" applyProtection="1">
      <alignment horizontal="center" vertical="center" wrapText="1"/>
      <protection locked="0"/>
    </xf>
    <xf numFmtId="0" fontId="11" fillId="0" borderId="44" xfId="4" applyFont="1" applyFill="1" applyBorder="1" applyAlignment="1" applyProtection="1">
      <alignment horizontal="center" vertical="center"/>
      <protection locked="0"/>
    </xf>
    <xf numFmtId="0" fontId="11" fillId="0" borderId="58" xfId="4" applyFont="1" applyBorder="1" applyProtection="1">
      <alignment vertical="center"/>
      <protection locked="0"/>
    </xf>
    <xf numFmtId="0" fontId="11" fillId="0" borderId="14" xfId="4" applyFont="1" applyBorder="1" applyAlignment="1" applyProtection="1">
      <alignment horizontal="left" vertical="center" wrapText="1"/>
      <protection locked="0"/>
    </xf>
    <xf numFmtId="0" fontId="11" fillId="0" borderId="0" xfId="4" applyFont="1" applyBorder="1" applyAlignment="1" applyProtection="1">
      <alignment horizontal="left" vertical="center" wrapText="1"/>
      <protection locked="0"/>
    </xf>
    <xf numFmtId="0" fontId="11" fillId="0" borderId="0" xfId="4" applyFont="1" applyFill="1" applyBorder="1" applyAlignment="1" applyProtection="1">
      <alignment horizontal="center" vertical="center"/>
      <protection locked="0"/>
    </xf>
    <xf numFmtId="0" fontId="11" fillId="0" borderId="59" xfId="4" applyFont="1" applyBorder="1" applyProtection="1">
      <alignment vertical="center"/>
      <protection locked="0"/>
    </xf>
    <xf numFmtId="0" fontId="24" fillId="2" borderId="0" xfId="4" applyFont="1" applyFill="1" applyProtection="1">
      <alignment vertical="center"/>
      <protection locked="0"/>
    </xf>
    <xf numFmtId="0" fontId="11" fillId="0" borderId="30" xfId="4" applyFont="1" applyBorder="1" applyAlignment="1" applyProtection="1">
      <alignment horizontal="left" vertical="center" wrapText="1"/>
      <protection locked="0"/>
    </xf>
    <xf numFmtId="0" fontId="11" fillId="0" borderId="8" xfId="4" applyFont="1" applyBorder="1" applyAlignment="1" applyProtection="1">
      <alignment horizontal="left" vertical="center" wrapText="1"/>
      <protection locked="0"/>
    </xf>
    <xf numFmtId="0" fontId="11" fillId="0" borderId="8" xfId="4" applyFont="1" applyFill="1" applyBorder="1" applyAlignment="1" applyProtection="1">
      <alignment horizontal="center" vertical="center" wrapText="1"/>
      <protection locked="0"/>
    </xf>
    <xf numFmtId="0" fontId="11" fillId="0" borderId="8" xfId="4" applyFont="1" applyFill="1" applyBorder="1" applyAlignment="1" applyProtection="1">
      <alignment horizontal="center" vertical="center"/>
      <protection locked="0"/>
    </xf>
    <xf numFmtId="0" fontId="11" fillId="0" borderId="60" xfId="4" applyFont="1" applyBorder="1" applyProtection="1">
      <alignment vertical="center"/>
      <protection locked="0"/>
    </xf>
    <xf numFmtId="0" fontId="18" fillId="0" borderId="8" xfId="4" applyFont="1" applyBorder="1" applyAlignment="1" applyProtection="1">
      <alignment horizontal="left" vertical="center"/>
      <protection locked="0"/>
    </xf>
    <xf numFmtId="0" fontId="11" fillId="0" borderId="8" xfId="4" applyFont="1" applyBorder="1" applyProtection="1">
      <alignment vertical="center"/>
      <protection locked="0"/>
    </xf>
    <xf numFmtId="0" fontId="11" fillId="0" borderId="8" xfId="4" applyFont="1" applyBorder="1" applyAlignment="1" applyProtection="1">
      <alignment horizontal="right" vertical="center"/>
      <protection locked="0"/>
    </xf>
    <xf numFmtId="0" fontId="18" fillId="0" borderId="0" xfId="4" applyFont="1" applyAlignment="1" applyProtection="1">
      <alignment horizontal="left" vertical="center"/>
      <protection locked="0"/>
    </xf>
    <xf numFmtId="2" fontId="11" fillId="0" borderId="0" xfId="4" applyNumberFormat="1" applyFont="1" applyAlignment="1" applyProtection="1">
      <alignment vertical="center" wrapText="1"/>
      <protection locked="0"/>
    </xf>
    <xf numFmtId="0" fontId="18" fillId="0" borderId="0" xfId="4" applyFont="1" applyAlignment="1" applyProtection="1">
      <alignment vertical="center" wrapText="1"/>
      <protection locked="0"/>
    </xf>
    <xf numFmtId="0" fontId="11" fillId="0" borderId="0" xfId="4" applyFont="1" applyAlignment="1" applyProtection="1">
      <alignment vertical="center" wrapText="1"/>
      <protection locked="0"/>
    </xf>
    <xf numFmtId="0" fontId="36" fillId="2" borderId="0" xfId="4" applyFont="1" applyFill="1" applyBorder="1" applyAlignment="1" applyProtection="1">
      <alignment horizontal="left" vertical="center"/>
    </xf>
    <xf numFmtId="0" fontId="49" fillId="2" borderId="0" xfId="4" applyFont="1" applyFill="1" applyBorder="1" applyAlignment="1" applyProtection="1">
      <alignment horizontal="left" vertical="center"/>
    </xf>
    <xf numFmtId="0" fontId="26" fillId="2" borderId="0" xfId="4" applyFont="1" applyFill="1" applyBorder="1" applyAlignment="1" applyProtection="1">
      <alignment vertical="center"/>
    </xf>
    <xf numFmtId="0" fontId="26" fillId="2" borderId="0" xfId="4" applyFont="1" applyFill="1" applyBorder="1" applyAlignment="1" applyProtection="1">
      <alignment horizontal="center" vertical="center"/>
    </xf>
    <xf numFmtId="0" fontId="26" fillId="2" borderId="0" xfId="4" applyFont="1" applyFill="1" applyBorder="1" applyAlignment="1" applyProtection="1">
      <alignment horizontal="center" vertical="center"/>
      <protection locked="0"/>
    </xf>
    <xf numFmtId="0" fontId="18" fillId="2" borderId="22" xfId="4" applyFont="1" applyFill="1" applyBorder="1" applyAlignment="1" applyProtection="1">
      <alignment horizontal="left" vertical="center" wrapText="1"/>
    </xf>
    <xf numFmtId="0" fontId="18" fillId="2" borderId="44" xfId="4" applyFont="1" applyFill="1" applyBorder="1" applyAlignment="1" applyProtection="1">
      <alignment horizontal="left" vertical="center" wrapText="1"/>
    </xf>
    <xf numFmtId="0" fontId="18" fillId="2" borderId="58" xfId="4" applyFont="1" applyFill="1" applyBorder="1" applyAlignment="1" applyProtection="1">
      <alignment horizontal="left" vertical="center" wrapText="1"/>
    </xf>
    <xf numFmtId="0" fontId="11" fillId="2" borderId="2" xfId="4" applyFont="1" applyFill="1" applyBorder="1" applyAlignment="1" applyProtection="1">
      <alignment vertical="center"/>
    </xf>
    <xf numFmtId="0" fontId="11" fillId="2" borderId="44" xfId="4" applyFont="1" applyFill="1" applyBorder="1" applyAlignment="1" applyProtection="1">
      <alignment horizontal="right" vertical="center"/>
    </xf>
    <xf numFmtId="9" fontId="11" fillId="4" borderId="44" xfId="4" applyNumberFormat="1" applyFont="1" applyFill="1" applyBorder="1" applyAlignment="1" applyProtection="1">
      <alignment horizontal="center" vertical="center"/>
      <protection locked="0"/>
    </xf>
    <xf numFmtId="0" fontId="11" fillId="2" borderId="58" xfId="4" applyFont="1" applyFill="1" applyBorder="1" applyProtection="1">
      <alignment vertical="center"/>
    </xf>
    <xf numFmtId="0" fontId="18" fillId="2" borderId="31" xfId="4" applyFont="1" applyFill="1" applyBorder="1" applyAlignment="1" applyProtection="1">
      <alignment horizontal="center" vertical="center" wrapText="1"/>
    </xf>
    <xf numFmtId="0" fontId="18" fillId="2" borderId="32" xfId="4" applyFont="1" applyFill="1" applyBorder="1" applyAlignment="1" applyProtection="1">
      <alignment horizontal="center" vertical="center" wrapText="1"/>
    </xf>
    <xf numFmtId="0" fontId="18" fillId="2" borderId="28" xfId="4" applyFont="1" applyFill="1" applyBorder="1" applyAlignment="1" applyProtection="1">
      <alignment horizontal="center" vertical="center" wrapText="1"/>
    </xf>
    <xf numFmtId="9" fontId="11" fillId="2" borderId="0" xfId="4" applyNumberFormat="1" applyFont="1" applyFill="1" applyAlignment="1" applyProtection="1">
      <alignment horizontal="center" vertical="center"/>
    </xf>
    <xf numFmtId="0" fontId="11" fillId="2" borderId="0" xfId="4" applyFont="1" applyFill="1" applyAlignment="1" applyProtection="1">
      <alignment horizontal="center" vertical="center"/>
      <protection locked="0"/>
    </xf>
    <xf numFmtId="0" fontId="50" fillId="2" borderId="0" xfId="4" applyFont="1" applyFill="1" applyAlignment="1" applyProtection="1">
      <alignment horizontal="left" vertical="center"/>
    </xf>
    <xf numFmtId="0" fontId="16" fillId="2" borderId="0" xfId="4" applyFont="1" applyFill="1" applyProtection="1">
      <alignment vertical="center"/>
    </xf>
    <xf numFmtId="0" fontId="18" fillId="2" borderId="20" xfId="4" applyFont="1" applyFill="1" applyBorder="1" applyAlignment="1" applyProtection="1">
      <alignment horizontal="left" vertical="center" wrapText="1"/>
    </xf>
    <xf numFmtId="0" fontId="18" fillId="2" borderId="8" xfId="4" applyFont="1" applyFill="1" applyBorder="1" applyAlignment="1" applyProtection="1">
      <alignment horizontal="left" vertical="center" wrapText="1"/>
    </xf>
    <xf numFmtId="0" fontId="18" fillId="2" borderId="60" xfId="4" applyFont="1" applyFill="1" applyBorder="1" applyAlignment="1" applyProtection="1">
      <alignment horizontal="left" vertical="center" wrapText="1"/>
    </xf>
    <xf numFmtId="0" fontId="11" fillId="2" borderId="30" xfId="4" applyFont="1" applyFill="1" applyBorder="1" applyAlignment="1" applyProtection="1">
      <alignment horizontal="center" vertical="center"/>
    </xf>
    <xf numFmtId="0" fontId="11" fillId="2" borderId="1" xfId="4" applyFont="1" applyFill="1" applyBorder="1" applyAlignment="1" applyProtection="1">
      <alignment horizontal="center" vertical="center"/>
    </xf>
    <xf numFmtId="0" fontId="18" fillId="2" borderId="1" xfId="4" applyFont="1" applyFill="1" applyBorder="1" applyAlignment="1" applyProtection="1">
      <alignment horizontal="left" vertical="center" wrapText="1"/>
    </xf>
    <xf numFmtId="9" fontId="11" fillId="2" borderId="34" xfId="4" applyNumberFormat="1" applyFont="1" applyFill="1" applyBorder="1" applyAlignment="1" applyProtection="1">
      <alignment horizontal="center" vertical="center"/>
    </xf>
    <xf numFmtId="0" fontId="50" fillId="2" borderId="9" xfId="4" applyFont="1" applyFill="1" applyBorder="1" applyAlignment="1" applyProtection="1">
      <alignment horizontal="center" vertical="center" wrapText="1"/>
    </xf>
    <xf numFmtId="0" fontId="50" fillId="2" borderId="10" xfId="4" applyFont="1" applyFill="1" applyBorder="1" applyAlignment="1" applyProtection="1">
      <alignment horizontal="center" vertical="center" wrapText="1"/>
    </xf>
    <xf numFmtId="0" fontId="50" fillId="2" borderId="44" xfId="4" applyFont="1" applyFill="1" applyBorder="1" applyAlignment="1" applyProtection="1">
      <alignment horizontal="left" vertical="center" wrapText="1"/>
    </xf>
    <xf numFmtId="0" fontId="50" fillId="2" borderId="44" xfId="4" applyFont="1" applyFill="1" applyBorder="1" applyAlignment="1" applyProtection="1">
      <alignment horizontal="center" vertical="center" wrapText="1"/>
    </xf>
    <xf numFmtId="0" fontId="50" fillId="2" borderId="58" xfId="4" applyFont="1" applyFill="1" applyBorder="1" applyAlignment="1" applyProtection="1">
      <alignment horizontal="center" vertical="center" wrapText="1"/>
    </xf>
    <xf numFmtId="0" fontId="11" fillId="2" borderId="61" xfId="4" applyFont="1" applyFill="1" applyBorder="1" applyAlignment="1" applyProtection="1">
      <alignment horizontal="left" vertical="center" wrapText="1"/>
    </xf>
    <xf numFmtId="0" fontId="11" fillId="2" borderId="1" xfId="4" applyFont="1" applyFill="1" applyBorder="1" applyAlignment="1" applyProtection="1">
      <alignment horizontal="left" vertical="center" wrapText="1"/>
    </xf>
    <xf numFmtId="0" fontId="11" fillId="2" borderId="1" xfId="4" applyFont="1" applyFill="1" applyBorder="1" applyAlignment="1" applyProtection="1">
      <alignment horizontal="left" vertical="center" wrapText="1"/>
    </xf>
    <xf numFmtId="10" fontId="11" fillId="2" borderId="13" xfId="4" applyNumberFormat="1" applyFont="1" applyFill="1" applyBorder="1" applyAlignment="1" applyProtection="1">
      <alignment horizontal="center" vertical="center"/>
    </xf>
    <xf numFmtId="0" fontId="51" fillId="0" borderId="34" xfId="4" applyFont="1" applyFill="1" applyBorder="1" applyAlignment="1" applyProtection="1">
      <alignment vertical="center" wrapText="1"/>
      <protection locked="0"/>
    </xf>
    <xf numFmtId="0" fontId="11" fillId="4" borderId="11" xfId="4" applyFont="1" applyFill="1" applyBorder="1" applyAlignment="1" applyProtection="1">
      <alignment horizontal="center" vertical="center"/>
      <protection locked="0"/>
    </xf>
    <xf numFmtId="9" fontId="11" fillId="2" borderId="0" xfId="4" applyNumberFormat="1" applyFont="1" applyFill="1" applyAlignment="1" applyProtection="1">
      <alignment horizontal="center" vertical="center"/>
      <protection locked="0"/>
    </xf>
    <xf numFmtId="0" fontId="53" fillId="2" borderId="13" xfId="4" applyFont="1" applyFill="1" applyBorder="1" applyAlignment="1" applyProtection="1">
      <alignment horizontal="center" vertical="center" wrapText="1"/>
    </xf>
    <xf numFmtId="0" fontId="50" fillId="2" borderId="13" xfId="4" applyFont="1" applyFill="1" applyBorder="1" applyAlignment="1" applyProtection="1">
      <alignment horizontal="center" vertical="center" wrapText="1"/>
    </xf>
    <xf numFmtId="0" fontId="50" fillId="2" borderId="30" xfId="4" applyFont="1" applyFill="1" applyBorder="1" applyAlignment="1" applyProtection="1">
      <alignment horizontal="center" vertical="center" wrapText="1"/>
    </xf>
    <xf numFmtId="0" fontId="54" fillId="0" borderId="9" xfId="4" applyFont="1" applyFill="1" applyBorder="1" applyAlignment="1" applyProtection="1">
      <alignment horizontal="center" vertical="center" wrapText="1"/>
      <protection locked="0"/>
    </xf>
    <xf numFmtId="0" fontId="54" fillId="0" borderId="10" xfId="4" applyFont="1" applyFill="1" applyBorder="1" applyAlignment="1" applyProtection="1">
      <alignment horizontal="center" vertical="center" wrapText="1"/>
      <protection locked="0"/>
    </xf>
    <xf numFmtId="0" fontId="54" fillId="0" borderId="11" xfId="4" applyFont="1" applyFill="1" applyBorder="1" applyAlignment="1" applyProtection="1">
      <alignment horizontal="center" vertical="center" wrapText="1"/>
      <protection locked="0"/>
    </xf>
    <xf numFmtId="0" fontId="11" fillId="2" borderId="61" xfId="4" applyFont="1" applyFill="1" applyBorder="1" applyAlignment="1" applyProtection="1">
      <alignment horizontal="right" vertical="center" wrapText="1"/>
    </xf>
    <xf numFmtId="0" fontId="11" fillId="2" borderId="10" xfId="4" applyFont="1" applyFill="1" applyBorder="1" applyAlignment="1" applyProtection="1">
      <alignment horizontal="left" vertical="center" wrapText="1"/>
    </xf>
    <xf numFmtId="0" fontId="11" fillId="2" borderId="22" xfId="4" applyFont="1" applyFill="1" applyBorder="1" applyAlignment="1" applyProtection="1">
      <alignment vertical="center"/>
    </xf>
    <xf numFmtId="0" fontId="11" fillId="2" borderId="2" xfId="4" applyFont="1" applyFill="1" applyBorder="1" applyAlignment="1" applyProtection="1">
      <alignment horizontal="center" vertical="center" wrapText="1"/>
    </xf>
    <xf numFmtId="0" fontId="11" fillId="2" borderId="59" xfId="4" applyFont="1" applyFill="1" applyBorder="1" applyAlignment="1" applyProtection="1">
      <alignment horizontal="center" vertical="center"/>
    </xf>
    <xf numFmtId="0" fontId="11" fillId="2" borderId="55" xfId="4" applyFont="1" applyFill="1" applyBorder="1" applyAlignment="1" applyProtection="1">
      <alignment horizontal="center" vertical="center"/>
    </xf>
    <xf numFmtId="10" fontId="11" fillId="2" borderId="0" xfId="4" applyNumberFormat="1" applyFont="1" applyFill="1" applyAlignment="1" applyProtection="1">
      <alignment horizontal="center" vertical="center"/>
    </xf>
    <xf numFmtId="10" fontId="11" fillId="2" borderId="0" xfId="4" applyNumberFormat="1" applyFont="1" applyFill="1" applyAlignment="1" applyProtection="1">
      <alignment horizontal="center" vertical="center"/>
      <protection locked="0"/>
    </xf>
    <xf numFmtId="0" fontId="53" fillId="2" borderId="1" xfId="4" applyFont="1" applyFill="1" applyBorder="1" applyAlignment="1" applyProtection="1">
      <alignment horizontal="center" vertical="center" wrapText="1"/>
    </xf>
    <xf numFmtId="0" fontId="50" fillId="2" borderId="1" xfId="4" applyFont="1" applyFill="1" applyBorder="1" applyAlignment="1" applyProtection="1">
      <alignment horizontal="center" vertical="center" wrapText="1"/>
    </xf>
    <xf numFmtId="178" fontId="54" fillId="2" borderId="13" xfId="4" applyNumberFormat="1" applyFont="1" applyFill="1" applyBorder="1" applyAlignment="1" applyProtection="1">
      <alignment horizontal="center" vertical="center" wrapText="1"/>
    </xf>
    <xf numFmtId="0" fontId="11" fillId="2" borderId="42" xfId="4" applyFont="1" applyFill="1" applyBorder="1" applyAlignment="1" applyProtection="1">
      <alignment horizontal="right" vertical="center" wrapText="1"/>
    </xf>
    <xf numFmtId="0" fontId="11" fillId="2" borderId="14" xfId="4" applyFont="1" applyFill="1" applyBorder="1" applyAlignment="1" applyProtection="1">
      <alignment vertical="center"/>
    </xf>
    <xf numFmtId="0" fontId="11" fillId="2" borderId="12" xfId="4" applyFont="1" applyFill="1" applyBorder="1" applyAlignment="1" applyProtection="1">
      <alignment horizontal="center" vertical="center" wrapText="1"/>
    </xf>
    <xf numFmtId="0" fontId="11" fillId="2" borderId="59" xfId="4" applyFont="1" applyFill="1" applyBorder="1" applyProtection="1">
      <alignment vertical="center"/>
    </xf>
    <xf numFmtId="0" fontId="11" fillId="2" borderId="62" xfId="4" applyFont="1" applyFill="1" applyBorder="1" applyAlignment="1" applyProtection="1">
      <alignment horizontal="center" vertical="center"/>
    </xf>
    <xf numFmtId="0" fontId="54" fillId="2" borderId="1" xfId="4" applyFont="1" applyFill="1" applyBorder="1" applyAlignment="1" applyProtection="1">
      <alignment horizontal="center" vertical="center" wrapText="1"/>
    </xf>
    <xf numFmtId="0" fontId="11" fillId="2" borderId="29" xfId="4" applyFont="1" applyFill="1" applyBorder="1" applyAlignment="1" applyProtection="1">
      <alignment horizontal="right" vertical="center" wrapText="1"/>
    </xf>
    <xf numFmtId="0" fontId="11" fillId="2" borderId="30" xfId="4" applyFont="1" applyFill="1" applyBorder="1" applyAlignment="1" applyProtection="1">
      <alignment vertical="center"/>
    </xf>
    <xf numFmtId="0" fontId="11" fillId="2" borderId="13" xfId="4" applyFont="1" applyFill="1" applyBorder="1" applyAlignment="1" applyProtection="1">
      <alignment horizontal="center" vertical="center" wrapText="1"/>
    </xf>
    <xf numFmtId="0" fontId="11" fillId="2" borderId="63" xfId="4" applyFont="1" applyFill="1" applyBorder="1" applyAlignment="1" applyProtection="1">
      <alignment horizontal="center" vertical="center"/>
    </xf>
    <xf numFmtId="0" fontId="53" fillId="2" borderId="2" xfId="4" applyFont="1" applyFill="1" applyBorder="1" applyAlignment="1" applyProtection="1">
      <alignment horizontal="center" vertical="center" wrapText="1"/>
    </xf>
    <xf numFmtId="0" fontId="17" fillId="2" borderId="2" xfId="4" applyFont="1" applyFill="1" applyBorder="1" applyAlignment="1" applyProtection="1">
      <alignment horizontal="center" vertical="center" wrapText="1"/>
    </xf>
    <xf numFmtId="0" fontId="50" fillId="2" borderId="2" xfId="4" applyFont="1" applyFill="1" applyBorder="1" applyAlignment="1" applyProtection="1">
      <alignment horizontal="center" vertical="center" wrapText="1"/>
    </xf>
    <xf numFmtId="0" fontId="54" fillId="2" borderId="2" xfId="4" applyFont="1" applyFill="1" applyBorder="1" applyAlignment="1" applyProtection="1">
      <alignment horizontal="center" vertical="center" wrapText="1"/>
    </xf>
    <xf numFmtId="0" fontId="11" fillId="2" borderId="33" xfId="4" applyFont="1" applyFill="1" applyBorder="1" applyAlignment="1" applyProtection="1">
      <alignment horizontal="right" vertical="center" wrapText="1"/>
    </xf>
    <xf numFmtId="0" fontId="11" fillId="2" borderId="1" xfId="4" applyFont="1" applyFill="1" applyBorder="1" applyAlignment="1" applyProtection="1">
      <alignment horizontal="center" vertical="center" wrapText="1"/>
    </xf>
    <xf numFmtId="10" fontId="11" fillId="2" borderId="1" xfId="4" applyNumberFormat="1" applyFont="1" applyFill="1" applyBorder="1" applyAlignment="1" applyProtection="1">
      <alignment horizontal="center" vertical="center"/>
    </xf>
    <xf numFmtId="0" fontId="11" fillId="2" borderId="34" xfId="4" applyFont="1" applyFill="1" applyBorder="1" applyProtection="1">
      <alignment vertical="center"/>
    </xf>
    <xf numFmtId="0" fontId="55" fillId="2" borderId="9" xfId="4" applyFont="1" applyFill="1" applyBorder="1" applyAlignment="1" applyProtection="1">
      <alignment horizontal="center" vertical="center" wrapText="1"/>
    </xf>
    <xf numFmtId="0" fontId="55" fillId="2" borderId="10" xfId="4" applyFont="1" applyFill="1" applyBorder="1" applyAlignment="1" applyProtection="1">
      <alignment horizontal="center" vertical="center" wrapText="1"/>
    </xf>
    <xf numFmtId="0" fontId="55" fillId="2" borderId="10" xfId="4" applyFont="1" applyFill="1" applyBorder="1" applyAlignment="1" applyProtection="1">
      <alignment horizontal="center" vertical="center"/>
    </xf>
    <xf numFmtId="0" fontId="55" fillId="2" borderId="11" xfId="4" applyFont="1" applyFill="1" applyBorder="1" applyAlignment="1" applyProtection="1">
      <alignment horizontal="center" vertical="center" wrapText="1"/>
    </xf>
    <xf numFmtId="0" fontId="11" fillId="2" borderId="9" xfId="4" applyFont="1" applyFill="1" applyBorder="1" applyAlignment="1" applyProtection="1">
      <alignment horizontal="left" vertical="center" wrapText="1"/>
    </xf>
    <xf numFmtId="0" fontId="11" fillId="2" borderId="11" xfId="4" applyFont="1" applyFill="1" applyBorder="1" applyAlignment="1" applyProtection="1">
      <alignment horizontal="left" vertical="center" wrapText="1"/>
    </xf>
    <xf numFmtId="0" fontId="55" fillId="2" borderId="13" xfId="4" applyFont="1" applyFill="1" applyBorder="1" applyAlignment="1" applyProtection="1">
      <alignment horizontal="center" vertical="center" wrapText="1"/>
    </xf>
    <xf numFmtId="0" fontId="55" fillId="2" borderId="13" xfId="4" applyFont="1" applyFill="1" applyBorder="1" applyAlignment="1" applyProtection="1">
      <alignment horizontal="center" vertical="center" wrapText="1"/>
    </xf>
    <xf numFmtId="0" fontId="51" fillId="2" borderId="0" xfId="4" applyFont="1" applyFill="1" applyProtection="1">
      <alignment vertical="center"/>
    </xf>
    <xf numFmtId="0" fontId="56" fillId="2" borderId="1" xfId="4" applyFont="1" applyFill="1" applyBorder="1" applyAlignment="1" applyProtection="1">
      <alignment horizontal="center" vertical="center" wrapText="1"/>
    </xf>
    <xf numFmtId="0" fontId="57" fillId="2" borderId="1" xfId="4" applyFont="1" applyFill="1" applyBorder="1" applyAlignment="1" applyProtection="1">
      <alignment horizontal="center" vertical="center" wrapText="1"/>
    </xf>
    <xf numFmtId="0" fontId="56" fillId="2" borderId="1" xfId="4" applyFont="1" applyFill="1" applyBorder="1" applyAlignment="1" applyProtection="1">
      <alignment horizontal="center" vertical="center" wrapText="1"/>
    </xf>
    <xf numFmtId="10" fontId="57" fillId="2" borderId="1" xfId="4" applyNumberFormat="1" applyFont="1" applyFill="1" applyBorder="1" applyAlignment="1" applyProtection="1">
      <alignment horizontal="center" vertical="center"/>
    </xf>
    <xf numFmtId="0" fontId="11" fillId="2" borderId="33" xfId="4" applyFont="1" applyFill="1" applyBorder="1" applyAlignment="1" applyProtection="1">
      <alignment horizontal="left" vertical="center" wrapText="1"/>
    </xf>
    <xf numFmtId="0" fontId="11" fillId="2" borderId="9" xfId="4" applyFont="1" applyFill="1" applyBorder="1" applyAlignment="1" applyProtection="1">
      <alignment horizontal="right" vertical="center"/>
    </xf>
    <xf numFmtId="0" fontId="24" fillId="0" borderId="34" xfId="4" applyFont="1" applyFill="1" applyBorder="1" applyAlignment="1" applyProtection="1">
      <alignment vertical="center" wrapText="1"/>
      <protection locked="0"/>
    </xf>
    <xf numFmtId="0" fontId="11" fillId="5" borderId="11" xfId="4" applyFont="1" applyFill="1" applyBorder="1" applyAlignment="1" applyProtection="1">
      <alignment horizontal="center" vertical="center" wrapText="1"/>
      <protection locked="0"/>
    </xf>
    <xf numFmtId="0" fontId="11" fillId="2" borderId="0" xfId="4" applyFont="1" applyFill="1" applyBorder="1" applyAlignment="1" applyProtection="1">
      <alignment horizontal="center" vertical="center" wrapText="1"/>
    </xf>
    <xf numFmtId="9" fontId="57" fillId="2" borderId="1" xfId="4" applyNumberFormat="1" applyFont="1" applyFill="1" applyBorder="1" applyAlignment="1" applyProtection="1">
      <alignment horizontal="center" vertical="center"/>
    </xf>
    <xf numFmtId="0" fontId="11" fillId="2" borderId="22" xfId="4" applyFont="1" applyFill="1" applyBorder="1" applyAlignment="1" applyProtection="1">
      <alignment horizontal="right" vertical="center"/>
    </xf>
    <xf numFmtId="0" fontId="11" fillId="2" borderId="1" xfId="4" applyFont="1" applyFill="1" applyBorder="1" applyProtection="1">
      <alignment vertical="center"/>
    </xf>
    <xf numFmtId="0" fontId="57" fillId="2" borderId="2" xfId="4" applyFont="1" applyFill="1" applyBorder="1" applyAlignment="1" applyProtection="1">
      <alignment horizontal="center" vertical="center" wrapText="1"/>
    </xf>
    <xf numFmtId="0" fontId="56" fillId="2" borderId="2" xfId="4" applyFont="1" applyFill="1" applyBorder="1" applyAlignment="1" applyProtection="1">
      <alignment horizontal="center" vertical="center" wrapText="1"/>
    </xf>
    <xf numFmtId="9" fontId="57" fillId="2" borderId="2" xfId="4" applyNumberFormat="1" applyFont="1" applyFill="1" applyBorder="1" applyAlignment="1" applyProtection="1">
      <alignment horizontal="center" vertical="center"/>
    </xf>
    <xf numFmtId="0" fontId="13" fillId="2" borderId="9" xfId="4" applyFont="1" applyFill="1" applyBorder="1" applyAlignment="1" applyProtection="1">
      <alignment horizontal="center" vertical="center"/>
    </xf>
    <xf numFmtId="0" fontId="13" fillId="2" borderId="10" xfId="4" applyFont="1" applyFill="1" applyBorder="1" applyAlignment="1" applyProtection="1">
      <alignment horizontal="center" vertical="center"/>
    </xf>
    <xf numFmtId="0" fontId="13" fillId="2" borderId="9" xfId="4" applyFont="1" applyFill="1" applyBorder="1" applyAlignment="1" applyProtection="1">
      <alignment horizontal="left" vertical="center"/>
    </xf>
    <xf numFmtId="0" fontId="13" fillId="2" borderId="11" xfId="4" applyFont="1" applyFill="1" applyBorder="1" applyAlignment="1" applyProtection="1">
      <alignment horizontal="left" vertical="center"/>
    </xf>
    <xf numFmtId="0" fontId="11" fillId="2" borderId="36" xfId="4" applyFont="1" applyFill="1" applyBorder="1" applyAlignment="1" applyProtection="1">
      <alignment horizontal="left" vertical="center" wrapText="1"/>
    </xf>
    <xf numFmtId="0" fontId="11" fillId="2" borderId="37" xfId="4" applyFont="1" applyFill="1" applyBorder="1" applyAlignment="1" applyProtection="1">
      <alignment horizontal="left" vertical="center" wrapText="1"/>
    </xf>
    <xf numFmtId="0" fontId="11" fillId="2" borderId="57" xfId="4" applyFont="1" applyFill="1" applyBorder="1" applyAlignment="1" applyProtection="1">
      <alignment horizontal="right" vertical="center"/>
    </xf>
    <xf numFmtId="0" fontId="11" fillId="2" borderId="37" xfId="4" applyFont="1" applyFill="1" applyBorder="1" applyAlignment="1" applyProtection="1">
      <alignment horizontal="center" vertical="center" wrapText="1"/>
    </xf>
    <xf numFmtId="10" fontId="11" fillId="2" borderId="37" xfId="4" applyNumberFormat="1" applyFont="1" applyFill="1" applyBorder="1" applyAlignment="1" applyProtection="1">
      <alignment horizontal="center" vertical="center"/>
    </xf>
    <xf numFmtId="0" fontId="24" fillId="0" borderId="38" xfId="4" applyFont="1" applyFill="1" applyBorder="1" applyAlignment="1" applyProtection="1">
      <alignment vertical="center" wrapText="1"/>
      <protection locked="0"/>
    </xf>
    <xf numFmtId="9" fontId="11" fillId="2" borderId="1" xfId="4" applyNumberFormat="1" applyFont="1" applyFill="1" applyBorder="1" applyAlignment="1" applyProtection="1">
      <alignment horizontal="center" vertical="center" wrapText="1"/>
    </xf>
    <xf numFmtId="0" fontId="53" fillId="2" borderId="1" xfId="4" applyFont="1" applyFill="1" applyBorder="1" applyAlignment="1" applyProtection="1">
      <alignment horizontal="center" vertical="center" wrapText="1"/>
    </xf>
    <xf numFmtId="0" fontId="56" fillId="2" borderId="9" xfId="4" applyFont="1" applyFill="1" applyBorder="1" applyAlignment="1" applyProtection="1">
      <alignment horizontal="center" vertical="center" wrapText="1"/>
    </xf>
    <xf numFmtId="0" fontId="57" fillId="2" borderId="9" xfId="4" applyFont="1" applyFill="1" applyBorder="1" applyAlignment="1" applyProtection="1">
      <alignment vertical="center" wrapText="1"/>
    </xf>
    <xf numFmtId="0" fontId="57" fillId="2" borderId="10" xfId="4" applyFont="1" applyFill="1" applyBorder="1" applyAlignment="1" applyProtection="1">
      <alignment horizontal="center" vertical="center" wrapText="1"/>
    </xf>
    <xf numFmtId="0" fontId="57" fillId="2" borderId="11" xfId="4" applyFont="1" applyFill="1" applyBorder="1" applyAlignment="1" applyProtection="1">
      <alignment vertical="center" wrapText="1"/>
    </xf>
    <xf numFmtId="177" fontId="11" fillId="2" borderId="0" xfId="4" applyNumberFormat="1" applyFont="1" applyFill="1" applyProtection="1">
      <alignment vertical="center"/>
    </xf>
    <xf numFmtId="0" fontId="11" fillId="2" borderId="0" xfId="4" applyFont="1" applyFill="1" applyBorder="1" applyAlignment="1" applyProtection="1">
      <alignment horizontal="left" vertical="center" wrapText="1"/>
    </xf>
    <xf numFmtId="0" fontId="11" fillId="2" borderId="0" xfId="4" applyFont="1" applyFill="1" applyBorder="1" applyAlignment="1" applyProtection="1">
      <alignment horizontal="center" vertical="center"/>
    </xf>
    <xf numFmtId="0" fontId="18" fillId="2" borderId="5" xfId="4" applyFont="1" applyFill="1" applyBorder="1" applyAlignment="1" applyProtection="1">
      <alignment horizontal="center" vertical="center"/>
    </xf>
    <xf numFmtId="0" fontId="53" fillId="2" borderId="2" xfId="4" applyFont="1" applyFill="1" applyBorder="1" applyAlignment="1" applyProtection="1">
      <alignment horizontal="center" vertical="center" wrapText="1"/>
    </xf>
    <xf numFmtId="0" fontId="58" fillId="2" borderId="49" xfId="4" applyFont="1" applyFill="1" applyBorder="1" applyAlignment="1" applyProtection="1">
      <alignment horizontal="center" vertical="center" wrapText="1"/>
    </xf>
    <xf numFmtId="0" fontId="58" fillId="2" borderId="16" xfId="4" applyFont="1" applyFill="1" applyBorder="1" applyAlignment="1" applyProtection="1">
      <alignment horizontal="center" vertical="center" wrapText="1"/>
    </xf>
    <xf numFmtId="0" fontId="58" fillId="2" borderId="16" xfId="4" applyFont="1" applyFill="1" applyBorder="1" applyAlignment="1" applyProtection="1">
      <alignment horizontal="center" vertical="center" wrapText="1"/>
    </xf>
    <xf numFmtId="0" fontId="11" fillId="2" borderId="41" xfId="4" applyFont="1" applyFill="1" applyBorder="1" applyAlignment="1" applyProtection="1">
      <alignment horizontal="left" vertical="center" wrapText="1"/>
    </xf>
    <xf numFmtId="0" fontId="53" fillId="2" borderId="13" xfId="4" applyFont="1" applyFill="1" applyBorder="1" applyAlignment="1" applyProtection="1">
      <alignment horizontal="center" vertical="center" wrapText="1"/>
    </xf>
    <xf numFmtId="49" fontId="18" fillId="2" borderId="33" xfId="4" applyNumberFormat="1" applyFont="1" applyFill="1" applyBorder="1" applyAlignment="1" applyProtection="1">
      <alignment horizontal="left" vertical="center" wrapText="1"/>
    </xf>
    <xf numFmtId="0" fontId="58" fillId="2" borderId="13" xfId="4" applyFont="1" applyFill="1" applyBorder="1" applyAlignment="1" applyProtection="1">
      <alignment horizontal="left" vertical="center" wrapText="1"/>
    </xf>
    <xf numFmtId="179" fontId="58" fillId="2" borderId="13" xfId="4" applyNumberFormat="1" applyFont="1" applyFill="1" applyBorder="1" applyAlignment="1" applyProtection="1">
      <alignment horizontal="center" vertical="center" wrapText="1"/>
    </xf>
    <xf numFmtId="0" fontId="58" fillId="2" borderId="13" xfId="4" applyFont="1" applyFill="1" applyBorder="1" applyAlignment="1" applyProtection="1">
      <alignment horizontal="center" vertical="center" wrapText="1"/>
    </xf>
    <xf numFmtId="0" fontId="11" fillId="2" borderId="63" xfId="4" applyFont="1" applyFill="1" applyBorder="1" applyAlignment="1" applyProtection="1">
      <alignment horizontal="left" vertical="center" wrapText="1"/>
    </xf>
    <xf numFmtId="0" fontId="56" fillId="2" borderId="64" xfId="4" applyFont="1" applyFill="1" applyBorder="1" applyAlignment="1" applyProtection="1">
      <alignment horizontal="center" vertical="center" wrapText="1"/>
    </xf>
    <xf numFmtId="0" fontId="56" fillId="2" borderId="65" xfId="4" applyFont="1" applyFill="1" applyBorder="1" applyAlignment="1" applyProtection="1">
      <alignment horizontal="center" vertical="center" wrapText="1"/>
    </xf>
    <xf numFmtId="0" fontId="57" fillId="2" borderId="65" xfId="4" applyFont="1" applyFill="1" applyBorder="1" applyAlignment="1" applyProtection="1">
      <alignment vertical="center" wrapText="1"/>
    </xf>
    <xf numFmtId="0" fontId="57" fillId="2" borderId="66" xfId="4" applyFont="1" applyFill="1" applyBorder="1" applyAlignment="1" applyProtection="1">
      <alignment horizontal="center" vertical="center" wrapText="1"/>
    </xf>
    <xf numFmtId="0" fontId="57" fillId="2" borderId="67" xfId="4" applyFont="1" applyFill="1" applyBorder="1" applyAlignment="1" applyProtection="1">
      <alignment vertical="center" wrapText="1"/>
    </xf>
    <xf numFmtId="49" fontId="11" fillId="2" borderId="33" xfId="4" applyNumberFormat="1" applyFont="1" applyFill="1" applyBorder="1" applyAlignment="1" applyProtection="1">
      <alignment horizontal="left" vertical="center" wrapText="1"/>
    </xf>
    <xf numFmtId="0" fontId="61" fillId="2" borderId="1" xfId="4" applyFont="1" applyFill="1" applyBorder="1" applyAlignment="1" applyProtection="1">
      <alignment horizontal="left" vertical="center" wrapText="1"/>
    </xf>
    <xf numFmtId="179" fontId="61" fillId="2" borderId="1" xfId="4" applyNumberFormat="1" applyFont="1" applyFill="1" applyBorder="1" applyAlignment="1" applyProtection="1">
      <alignment horizontal="center" vertical="center" wrapText="1"/>
    </xf>
    <xf numFmtId="0" fontId="61" fillId="2" borderId="1" xfId="4" applyFont="1" applyFill="1" applyBorder="1" applyAlignment="1" applyProtection="1">
      <alignment horizontal="center" vertical="center" wrapText="1"/>
    </xf>
    <xf numFmtId="0" fontId="11" fillId="2" borderId="34" xfId="4" applyFont="1" applyFill="1" applyBorder="1" applyAlignment="1" applyProtection="1">
      <alignment horizontal="left" vertical="center" wrapText="1"/>
    </xf>
    <xf numFmtId="179" fontId="61" fillId="0" borderId="1" xfId="4" applyNumberFormat="1" applyFont="1" applyFill="1" applyBorder="1" applyAlignment="1" applyProtection="1">
      <alignment horizontal="center" vertical="center" wrapText="1"/>
      <protection locked="0"/>
    </xf>
    <xf numFmtId="0" fontId="63" fillId="2" borderId="1" xfId="4" applyFont="1" applyFill="1" applyBorder="1" applyAlignment="1">
      <alignment horizontal="center" vertical="center" wrapText="1"/>
    </xf>
    <xf numFmtId="0" fontId="63" fillId="2" borderId="1" xfId="4" applyFont="1" applyFill="1" applyBorder="1" applyAlignment="1">
      <alignment horizontal="center" vertical="center" wrapText="1"/>
    </xf>
    <xf numFmtId="0" fontId="64" fillId="2" borderId="1" xfId="4" applyFont="1" applyFill="1" applyBorder="1" applyAlignment="1">
      <alignment horizontal="left" vertical="center" wrapText="1"/>
    </xf>
    <xf numFmtId="0" fontId="9" fillId="2" borderId="0" xfId="4" applyFont="1" applyFill="1" applyProtection="1">
      <alignment vertical="center"/>
      <protection locked="0"/>
    </xf>
    <xf numFmtId="0" fontId="58" fillId="2" borderId="1" xfId="4" applyFont="1" applyFill="1" applyBorder="1" applyAlignment="1" applyProtection="1">
      <alignment horizontal="left" vertical="center" wrapText="1"/>
    </xf>
    <xf numFmtId="0" fontId="58" fillId="0" borderId="1" xfId="4" applyFont="1" applyFill="1" applyBorder="1" applyAlignment="1" applyProtection="1">
      <alignment horizontal="center" vertical="center" wrapText="1"/>
      <protection locked="0"/>
    </xf>
    <xf numFmtId="0" fontId="58" fillId="2" borderId="1" xfId="4" applyFont="1" applyFill="1" applyBorder="1" applyAlignment="1" applyProtection="1">
      <alignment horizontal="center" vertical="center" wrapText="1"/>
    </xf>
    <xf numFmtId="0" fontId="24" fillId="2" borderId="34" xfId="4" applyFont="1" applyFill="1" applyBorder="1" applyAlignment="1" applyProtection="1">
      <alignment horizontal="left" vertical="center"/>
    </xf>
    <xf numFmtId="179" fontId="58" fillId="2" borderId="1" xfId="4" applyNumberFormat="1" applyFont="1" applyFill="1" applyBorder="1" applyAlignment="1" applyProtection="1">
      <alignment horizontal="center" vertical="center" wrapText="1"/>
    </xf>
    <xf numFmtId="49" fontId="18" fillId="2" borderId="36" xfId="4" applyNumberFormat="1" applyFont="1" applyFill="1" applyBorder="1" applyAlignment="1" applyProtection="1">
      <alignment horizontal="left" vertical="center" wrapText="1"/>
    </xf>
    <xf numFmtId="0" fontId="58" fillId="2" borderId="37" xfId="4" applyFont="1" applyFill="1" applyBorder="1" applyAlignment="1" applyProtection="1">
      <alignment horizontal="left" vertical="center" wrapText="1"/>
    </xf>
    <xf numFmtId="179" fontId="58" fillId="2" borderId="37" xfId="4" applyNumberFormat="1" applyFont="1" applyFill="1" applyBorder="1" applyAlignment="1" applyProtection="1">
      <alignment horizontal="center" vertical="center" wrapText="1"/>
    </xf>
    <xf numFmtId="10" fontId="61" fillId="2" borderId="37" xfId="4" applyNumberFormat="1" applyFont="1" applyFill="1" applyBorder="1" applyAlignment="1" applyProtection="1">
      <alignment horizontal="center" vertical="center" wrapText="1"/>
    </xf>
    <xf numFmtId="0" fontId="11" fillId="2" borderId="38" xfId="4" applyFont="1" applyFill="1" applyBorder="1" applyAlignment="1" applyProtection="1">
      <alignment horizontal="left" vertical="center"/>
    </xf>
    <xf numFmtId="49" fontId="18" fillId="2" borderId="20" xfId="4" applyNumberFormat="1" applyFont="1" applyFill="1" applyBorder="1" applyAlignment="1" applyProtection="1">
      <alignment horizontal="left" vertical="center" wrapText="1"/>
    </xf>
    <xf numFmtId="0" fontId="58" fillId="2" borderId="0" xfId="4" applyFont="1" applyFill="1" applyBorder="1" applyAlignment="1" applyProtection="1">
      <alignment horizontal="left" vertical="center" wrapText="1"/>
    </xf>
    <xf numFmtId="179" fontId="58" fillId="2" borderId="0" xfId="4" applyNumberFormat="1" applyFont="1" applyFill="1" applyBorder="1" applyAlignment="1" applyProtection="1">
      <alignment horizontal="center" vertical="center" wrapText="1"/>
    </xf>
    <xf numFmtId="10" fontId="61" fillId="2" borderId="0" xfId="4" applyNumberFormat="1" applyFont="1" applyFill="1" applyBorder="1" applyAlignment="1" applyProtection="1">
      <alignment horizontal="center" vertical="center" wrapText="1"/>
    </xf>
    <xf numFmtId="0" fontId="11" fillId="2" borderId="0" xfId="4" applyFont="1" applyFill="1" applyBorder="1" applyAlignment="1" applyProtection="1">
      <alignment horizontal="left" vertical="center"/>
    </xf>
    <xf numFmtId="0" fontId="58" fillId="2" borderId="20" xfId="4" applyFont="1" applyFill="1" applyBorder="1" applyAlignment="1" applyProtection="1">
      <alignment horizontal="center" vertical="center" wrapText="1"/>
    </xf>
    <xf numFmtId="0" fontId="58" fillId="2" borderId="0" xfId="4" applyFont="1" applyFill="1" applyBorder="1" applyAlignment="1" applyProtection="1">
      <alignment horizontal="center" vertical="center" wrapText="1"/>
    </xf>
    <xf numFmtId="0" fontId="11" fillId="2" borderId="0" xfId="8" applyFont="1" applyFill="1" applyBorder="1" applyAlignment="1" applyProtection="1">
      <alignment horizontal="left" vertical="center" wrapText="1"/>
    </xf>
    <xf numFmtId="0" fontId="11" fillId="2" borderId="0" xfId="8" applyFont="1" applyFill="1" applyBorder="1" applyAlignment="1" applyProtection="1">
      <alignment horizontal="left" vertical="center" wrapText="1"/>
      <protection locked="0"/>
    </xf>
    <xf numFmtId="0" fontId="16" fillId="2" borderId="0" xfId="4" applyFont="1" applyFill="1" applyProtection="1">
      <alignment vertical="center"/>
      <protection locked="0"/>
    </xf>
    <xf numFmtId="0" fontId="16" fillId="0" borderId="0" xfId="4" applyFont="1" applyFill="1" applyProtection="1">
      <alignment vertical="center"/>
      <protection locked="0"/>
    </xf>
    <xf numFmtId="0" fontId="16" fillId="0" borderId="0" xfId="4" applyFont="1" applyFill="1" applyProtection="1">
      <alignment vertical="center"/>
    </xf>
    <xf numFmtId="0" fontId="11" fillId="2" borderId="17" xfId="4" applyFont="1" applyFill="1" applyBorder="1" applyAlignment="1" applyProtection="1">
      <alignment horizontal="left" vertical="center" wrapText="1"/>
    </xf>
    <xf numFmtId="0" fontId="11" fillId="2" borderId="32" xfId="4" applyFont="1" applyFill="1" applyBorder="1" applyAlignment="1" applyProtection="1">
      <alignment horizontal="left" vertical="center" wrapText="1"/>
    </xf>
    <xf numFmtId="0" fontId="14" fillId="2" borderId="28" xfId="8" applyFont="1" applyFill="1" applyBorder="1" applyAlignment="1" applyProtection="1">
      <alignment horizontal="left" vertical="center" wrapText="1"/>
    </xf>
    <xf numFmtId="0" fontId="16" fillId="2" borderId="0" xfId="8" applyFont="1" applyFill="1" applyAlignment="1" applyProtection="1">
      <alignment vertical="center" wrapText="1"/>
    </xf>
    <xf numFmtId="0" fontId="16" fillId="2" borderId="0" xfId="8" applyFont="1" applyFill="1" applyAlignment="1" applyProtection="1">
      <alignment vertical="center" wrapText="1"/>
      <protection locked="0"/>
    </xf>
    <xf numFmtId="0" fontId="65" fillId="2" borderId="1" xfId="4" applyFont="1" applyFill="1" applyBorder="1" applyAlignment="1">
      <alignment vertical="center" wrapText="1"/>
    </xf>
    <xf numFmtId="177" fontId="11" fillId="2" borderId="0" xfId="4" applyNumberFormat="1" applyFont="1" applyFill="1" applyAlignment="1" applyProtection="1">
      <alignment horizontal="left" vertical="center"/>
    </xf>
    <xf numFmtId="0" fontId="11" fillId="2" borderId="9" xfId="4" applyFont="1" applyFill="1" applyBorder="1" applyAlignment="1" applyProtection="1">
      <alignment horizontal="left" vertical="center" wrapText="1"/>
    </xf>
    <xf numFmtId="0" fontId="11" fillId="2" borderId="10" xfId="4" applyFont="1" applyFill="1" applyBorder="1" applyAlignment="1" applyProtection="1">
      <alignment horizontal="left" vertical="center" wrapText="1"/>
    </xf>
    <xf numFmtId="0" fontId="14" fillId="2" borderId="21" xfId="8" applyFont="1" applyFill="1" applyBorder="1" applyAlignment="1" applyProtection="1">
      <alignment horizontal="left" vertical="center" wrapText="1"/>
    </xf>
    <xf numFmtId="49" fontId="11" fillId="2" borderId="33" xfId="4" applyNumberFormat="1" applyFont="1" applyFill="1" applyBorder="1" applyAlignment="1" applyProtection="1">
      <alignment vertical="center" wrapText="1"/>
    </xf>
    <xf numFmtId="0" fontId="61" fillId="0" borderId="1" xfId="4" applyFont="1" applyFill="1" applyBorder="1" applyAlignment="1" applyProtection="1">
      <alignment horizontal="center" vertical="center" wrapText="1"/>
      <protection locked="0"/>
    </xf>
    <xf numFmtId="0" fontId="14" fillId="2" borderId="1" xfId="8" applyFont="1" applyFill="1" applyBorder="1" applyAlignment="1" applyProtection="1">
      <alignment horizontal="left" vertical="center" wrapText="1"/>
    </xf>
    <xf numFmtId="0" fontId="14" fillId="5" borderId="1" xfId="8" applyFont="1" applyFill="1" applyBorder="1" applyAlignment="1" applyProtection="1">
      <alignment horizontal="center" vertical="center" wrapText="1"/>
      <protection locked="0"/>
    </xf>
    <xf numFmtId="179" fontId="61" fillId="0" borderId="34" xfId="4" applyNumberFormat="1" applyFont="1" applyFill="1" applyBorder="1" applyAlignment="1" applyProtection="1">
      <alignment horizontal="center" vertical="center" wrapText="1"/>
      <protection locked="0"/>
    </xf>
    <xf numFmtId="0" fontId="61" fillId="2" borderId="13" xfId="4" applyFont="1" applyFill="1" applyBorder="1" applyAlignment="1" applyProtection="1">
      <alignment horizontal="left" vertical="center" wrapText="1"/>
    </xf>
    <xf numFmtId="9" fontId="14" fillId="2" borderId="0" xfId="4" applyNumberFormat="1" applyFont="1" applyFill="1" applyBorder="1" applyAlignment="1" applyProtection="1">
      <alignment horizontal="center" vertical="center"/>
    </xf>
    <xf numFmtId="0" fontId="11" fillId="2" borderId="21" xfId="4" applyFont="1" applyFill="1" applyBorder="1" applyAlignment="1" applyProtection="1">
      <alignment horizontal="left" vertical="center" wrapText="1"/>
    </xf>
    <xf numFmtId="10" fontId="61" fillId="2" borderId="1" xfId="4" applyNumberFormat="1" applyFont="1" applyFill="1" applyBorder="1" applyAlignment="1" applyProtection="1">
      <alignment horizontal="center" vertical="center" wrapText="1"/>
    </xf>
    <xf numFmtId="0" fontId="11" fillId="2" borderId="9" xfId="4" applyFont="1" applyFill="1" applyBorder="1" applyAlignment="1" applyProtection="1">
      <alignment horizontal="left" vertical="center"/>
    </xf>
    <xf numFmtId="0" fontId="14" fillId="2" borderId="10" xfId="4" applyFont="1" applyFill="1" applyBorder="1" applyAlignment="1" applyProtection="1">
      <alignment horizontal="left" vertical="center"/>
    </xf>
    <xf numFmtId="0" fontId="11" fillId="5" borderId="10" xfId="4" applyFont="1" applyFill="1" applyBorder="1" applyAlignment="1" applyProtection="1">
      <alignment horizontal="left" vertical="center" wrapText="1"/>
      <protection locked="0"/>
    </xf>
    <xf numFmtId="0" fontId="11" fillId="2" borderId="21" xfId="4" applyFont="1" applyFill="1" applyBorder="1" applyAlignment="1" applyProtection="1">
      <alignment horizontal="left" vertical="center" wrapText="1"/>
    </xf>
    <xf numFmtId="180" fontId="61" fillId="2" borderId="1" xfId="4" applyNumberFormat="1" applyFont="1" applyFill="1" applyBorder="1" applyAlignment="1" applyProtection="1">
      <alignment horizontal="center" vertical="center" wrapText="1"/>
    </xf>
    <xf numFmtId="10" fontId="18" fillId="2" borderId="9" xfId="4" applyNumberFormat="1" applyFont="1" applyFill="1" applyBorder="1" applyAlignment="1" applyProtection="1">
      <alignment horizontal="center" vertical="center" wrapText="1"/>
    </xf>
    <xf numFmtId="10" fontId="13" fillId="2" borderId="9" xfId="4" applyNumberFormat="1" applyFont="1" applyFill="1" applyBorder="1" applyAlignment="1" applyProtection="1">
      <alignment horizontal="left" vertical="center" wrapText="1"/>
    </xf>
    <xf numFmtId="10" fontId="11" fillId="2" borderId="10" xfId="4" applyNumberFormat="1" applyFont="1" applyFill="1" applyBorder="1" applyAlignment="1" applyProtection="1">
      <alignment horizontal="left" vertical="center" wrapText="1"/>
    </xf>
    <xf numFmtId="10" fontId="11" fillId="2" borderId="21" xfId="4" applyNumberFormat="1" applyFont="1" applyFill="1" applyBorder="1" applyAlignment="1" applyProtection="1">
      <alignment horizontal="left" vertical="center" wrapText="1"/>
    </xf>
    <xf numFmtId="0" fontId="16" fillId="2" borderId="0" xfId="8" applyFont="1" applyFill="1" applyProtection="1"/>
    <xf numFmtId="0" fontId="16" fillId="2" borderId="0" xfId="8" applyFont="1" applyFill="1" applyProtection="1">
      <protection locked="0"/>
    </xf>
    <xf numFmtId="49" fontId="66" fillId="2" borderId="33" xfId="4" applyNumberFormat="1" applyFont="1" applyFill="1" applyBorder="1" applyAlignment="1" applyProtection="1">
      <alignment vertical="center" wrapText="1"/>
    </xf>
    <xf numFmtId="177" fontId="58" fillId="2" borderId="1" xfId="4" applyNumberFormat="1" applyFont="1" applyFill="1" applyBorder="1" applyAlignment="1" applyProtection="1">
      <alignment horizontal="center" vertical="center" wrapText="1"/>
    </xf>
    <xf numFmtId="49" fontId="66" fillId="2" borderId="36" xfId="4" applyNumberFormat="1" applyFont="1" applyFill="1" applyBorder="1" applyAlignment="1" applyProtection="1">
      <alignment vertical="center" wrapText="1"/>
    </xf>
    <xf numFmtId="0" fontId="18" fillId="2" borderId="37" xfId="4" applyFont="1" applyFill="1" applyBorder="1" applyAlignment="1" applyProtection="1">
      <alignment horizontal="center" vertical="center" wrapText="1"/>
    </xf>
    <xf numFmtId="0" fontId="61" fillId="2" borderId="37" xfId="4" applyFont="1" applyFill="1" applyBorder="1" applyAlignment="1" applyProtection="1">
      <alignment horizontal="center" vertical="center" wrapText="1"/>
    </xf>
    <xf numFmtId="0" fontId="11" fillId="2" borderId="57" xfId="4" applyFont="1" applyFill="1" applyBorder="1" applyAlignment="1" applyProtection="1">
      <alignment horizontal="left" vertical="center"/>
    </xf>
    <xf numFmtId="0" fontId="11" fillId="2" borderId="25" xfId="4" applyFont="1" applyFill="1" applyBorder="1" applyAlignment="1" applyProtection="1">
      <alignment horizontal="left" vertical="center" wrapText="1"/>
    </xf>
    <xf numFmtId="0" fontId="14" fillId="2" borderId="26" xfId="8" applyFont="1" applyFill="1" applyBorder="1" applyAlignment="1" applyProtection="1">
      <alignment horizontal="left" vertical="center" wrapText="1"/>
    </xf>
    <xf numFmtId="0" fontId="16" fillId="2" borderId="0" xfId="4" applyFont="1" applyFill="1" applyAlignment="1" applyProtection="1">
      <alignment vertical="center"/>
    </xf>
    <xf numFmtId="0" fontId="16" fillId="2" borderId="0" xfId="4" applyFont="1" applyFill="1" applyAlignment="1" applyProtection="1">
      <alignment horizontal="left" vertical="center"/>
    </xf>
    <xf numFmtId="0" fontId="16" fillId="2" borderId="0" xfId="8" applyFont="1" applyFill="1" applyAlignment="1" applyProtection="1">
      <alignment horizontal="left"/>
    </xf>
    <xf numFmtId="0" fontId="11" fillId="2" borderId="28" xfId="8" applyFont="1" applyFill="1" applyBorder="1" applyAlignment="1" applyProtection="1">
      <alignment horizontal="left" vertical="center" wrapText="1"/>
    </xf>
    <xf numFmtId="0" fontId="11" fillId="2" borderId="21" xfId="8" applyFont="1" applyFill="1" applyBorder="1" applyAlignment="1" applyProtection="1">
      <alignment horizontal="left" vertical="center" wrapText="1"/>
    </xf>
    <xf numFmtId="0" fontId="61" fillId="2" borderId="9" xfId="4" applyFont="1" applyFill="1" applyBorder="1" applyAlignment="1" applyProtection="1">
      <alignment horizontal="center" vertical="center" wrapText="1"/>
    </xf>
    <xf numFmtId="10" fontId="11" fillId="2" borderId="9" xfId="4" applyNumberFormat="1" applyFont="1" applyFill="1" applyBorder="1" applyAlignment="1" applyProtection="1">
      <alignment horizontal="left" vertical="center" wrapText="1"/>
    </xf>
    <xf numFmtId="10" fontId="11" fillId="2" borderId="10" xfId="4" applyNumberFormat="1" applyFont="1" applyFill="1" applyBorder="1" applyAlignment="1" applyProtection="1">
      <alignment horizontal="left" vertical="center" wrapText="1"/>
    </xf>
    <xf numFmtId="10" fontId="11" fillId="2" borderId="21" xfId="4" applyNumberFormat="1" applyFont="1" applyFill="1" applyBorder="1" applyAlignment="1" applyProtection="1">
      <alignment horizontal="left" vertical="center" wrapText="1"/>
    </xf>
    <xf numFmtId="180" fontId="61" fillId="0" borderId="1" xfId="4" applyNumberFormat="1" applyFont="1" applyFill="1" applyBorder="1" applyAlignment="1" applyProtection="1">
      <alignment horizontal="center" vertical="center" wrapText="1"/>
      <protection locked="0"/>
    </xf>
    <xf numFmtId="10" fontId="11" fillId="2" borderId="9" xfId="4" applyNumberFormat="1" applyFont="1" applyFill="1" applyBorder="1" applyAlignment="1" applyProtection="1">
      <alignment horizontal="left" vertical="center"/>
    </xf>
    <xf numFmtId="0" fontId="32" fillId="2" borderId="0" xfId="4" applyFont="1" applyFill="1" applyBorder="1" applyAlignment="1" applyProtection="1">
      <alignment horizontal="left" vertical="center"/>
    </xf>
    <xf numFmtId="10" fontId="11" fillId="5" borderId="21" xfId="4" applyNumberFormat="1" applyFont="1" applyFill="1" applyBorder="1" applyAlignment="1" applyProtection="1">
      <alignment horizontal="left" vertical="center" wrapText="1"/>
      <protection locked="0"/>
    </xf>
    <xf numFmtId="49" fontId="60" fillId="2" borderId="33" xfId="4" applyNumberFormat="1" applyFont="1" applyFill="1" applyBorder="1" applyAlignment="1" applyProtection="1">
      <alignment vertical="center" wrapText="1"/>
    </xf>
    <xf numFmtId="10" fontId="11" fillId="2" borderId="9" xfId="4" applyNumberFormat="1" applyFont="1" applyFill="1" applyBorder="1" applyAlignment="1" applyProtection="1">
      <alignment horizontal="left" vertical="center" wrapText="1"/>
    </xf>
    <xf numFmtId="10" fontId="9" fillId="4" borderId="21" xfId="4" applyNumberFormat="1" applyFont="1" applyFill="1" applyBorder="1" applyAlignment="1" applyProtection="1">
      <alignment horizontal="left" vertical="center" wrapText="1"/>
      <protection locked="0"/>
    </xf>
    <xf numFmtId="0" fontId="67" fillId="0" borderId="33" xfId="4" applyFont="1" applyFill="1" applyBorder="1" applyProtection="1">
      <alignment vertical="center"/>
      <protection locked="0"/>
    </xf>
    <xf numFmtId="0" fontId="11" fillId="2" borderId="26" xfId="8" applyFont="1" applyFill="1" applyBorder="1" applyAlignment="1" applyProtection="1">
      <alignment horizontal="left" vertical="center" wrapText="1"/>
    </xf>
    <xf numFmtId="0" fontId="11" fillId="7" borderId="0" xfId="4" applyFont="1" applyFill="1" applyProtection="1">
      <alignment vertical="center"/>
      <protection locked="0"/>
    </xf>
    <xf numFmtId="0" fontId="11" fillId="7" borderId="0" xfId="4" applyFont="1" applyFill="1" applyBorder="1" applyProtection="1">
      <alignment vertical="center"/>
      <protection locked="0"/>
    </xf>
    <xf numFmtId="0" fontId="11" fillId="7" borderId="0" xfId="4" applyFont="1" applyFill="1" applyBorder="1" applyAlignment="1" applyProtection="1">
      <alignment horizontal="right" vertical="center"/>
      <protection locked="0"/>
    </xf>
    <xf numFmtId="0" fontId="18" fillId="7" borderId="0" xfId="4" applyFont="1" applyFill="1" applyAlignment="1" applyProtection="1">
      <alignment horizontal="left" vertical="center"/>
      <protection locked="0"/>
    </xf>
    <xf numFmtId="2" fontId="11" fillId="7" borderId="0" xfId="4" applyNumberFormat="1" applyFont="1" applyFill="1" applyAlignment="1" applyProtection="1">
      <alignment vertical="center" wrapText="1"/>
      <protection locked="0"/>
    </xf>
    <xf numFmtId="0" fontId="18" fillId="7" borderId="0" xfId="4" applyFont="1" applyFill="1" applyAlignment="1" applyProtection="1">
      <alignment vertical="center" wrapText="1"/>
      <protection locked="0"/>
    </xf>
    <xf numFmtId="0" fontId="11" fillId="7" borderId="0" xfId="4" applyFont="1" applyFill="1" applyAlignment="1" applyProtection="1">
      <alignment vertical="center" wrapText="1"/>
      <protection locked="0"/>
    </xf>
    <xf numFmtId="0" fontId="53" fillId="0" borderId="1" xfId="4" applyFont="1" applyBorder="1" applyAlignment="1">
      <alignment horizontal="left" vertical="center" wrapText="1"/>
    </xf>
    <xf numFmtId="0" fontId="53" fillId="0" borderId="9" xfId="4" applyFont="1" applyBorder="1" applyAlignment="1">
      <alignment horizontal="left" vertical="center" wrapText="1"/>
    </xf>
    <xf numFmtId="0" fontId="53" fillId="0" borderId="10" xfId="4" applyFont="1" applyBorder="1" applyAlignment="1">
      <alignment horizontal="left" vertical="center" wrapText="1"/>
    </xf>
    <xf numFmtId="0" fontId="53" fillId="0" borderId="11" xfId="4" applyFont="1" applyBorder="1" applyAlignment="1">
      <alignment horizontal="left" vertical="center" wrapText="1"/>
    </xf>
    <xf numFmtId="0" fontId="53" fillId="0" borderId="0" xfId="4" applyFont="1" applyAlignment="1">
      <alignment horizontal="left" vertical="center" wrapText="1"/>
    </xf>
    <xf numFmtId="0" fontId="73" fillId="0" borderId="0" xfId="4" applyFont="1" applyAlignment="1">
      <alignment horizontal="left" vertical="center" wrapText="1"/>
    </xf>
    <xf numFmtId="0" fontId="53" fillId="0" borderId="2" xfId="4" applyFont="1" applyBorder="1" applyAlignment="1">
      <alignment horizontal="left" vertical="center" wrapText="1"/>
    </xf>
    <xf numFmtId="0" fontId="53" fillId="0" borderId="12" xfId="4" applyFont="1" applyBorder="1" applyAlignment="1">
      <alignment horizontal="left" vertical="center" wrapText="1"/>
    </xf>
    <xf numFmtId="0" fontId="53" fillId="0" borderId="13" xfId="4" applyFont="1" applyBorder="1" applyAlignment="1">
      <alignment horizontal="left" vertical="center" wrapText="1"/>
    </xf>
    <xf numFmtId="0" fontId="50" fillId="0" borderId="9" xfId="4" applyFont="1" applyBorder="1" applyAlignment="1">
      <alignment horizontal="left" vertical="center" wrapText="1"/>
    </xf>
    <xf numFmtId="0" fontId="50" fillId="0" borderId="11" xfId="4" applyFont="1" applyBorder="1" applyAlignment="1">
      <alignment horizontal="left" vertical="center" wrapText="1"/>
    </xf>
    <xf numFmtId="0" fontId="50" fillId="0" borderId="1" xfId="4" applyFont="1" applyBorder="1" applyAlignment="1">
      <alignment horizontal="left" vertical="center" wrapText="1"/>
    </xf>
    <xf numFmtId="0" fontId="53" fillId="0" borderId="1" xfId="4" applyFont="1" applyBorder="1" applyAlignment="1">
      <alignment horizontal="left" vertical="center" wrapText="1"/>
    </xf>
    <xf numFmtId="0" fontId="50" fillId="0" borderId="22" xfId="4" applyFont="1" applyBorder="1" applyAlignment="1">
      <alignment vertical="center" wrapText="1"/>
    </xf>
    <xf numFmtId="0" fontId="50" fillId="0" borderId="58" xfId="4" applyFont="1" applyBorder="1" applyAlignment="1">
      <alignment vertical="center" wrapText="1"/>
    </xf>
    <xf numFmtId="0" fontId="50" fillId="0" borderId="2" xfId="4" applyFont="1" applyBorder="1" applyAlignment="1">
      <alignment vertical="center" wrapText="1"/>
    </xf>
    <xf numFmtId="0" fontId="50" fillId="0" borderId="1" xfId="4" applyFont="1" applyBorder="1" applyAlignment="1">
      <alignment horizontal="left" vertical="center" wrapText="1"/>
    </xf>
    <xf numFmtId="0" fontId="50" fillId="0" borderId="1" xfId="4" applyFont="1" applyBorder="1" applyAlignment="1">
      <alignment vertical="center" wrapText="1"/>
    </xf>
    <xf numFmtId="0" fontId="72" fillId="0" borderId="2" xfId="4" applyFont="1" applyBorder="1" applyAlignment="1">
      <alignment horizontal="left" vertical="center" wrapText="1"/>
    </xf>
  </cellXfs>
  <cellStyles count="17">
    <cellStyle name="百分比 2" xfId="3"/>
    <cellStyle name="常规" xfId="0" builtinId="0"/>
    <cellStyle name="常规 16" xfId="4"/>
    <cellStyle name="常规 2" xfId="2"/>
    <cellStyle name="常规 2 2" xfId="5"/>
    <cellStyle name="常规 2 2 2 2 3" xfId="6"/>
    <cellStyle name="常规 2 3" xfId="7"/>
    <cellStyle name="常规 3" xfId="8"/>
    <cellStyle name="常规 3 2" xfId="9"/>
    <cellStyle name="常规 4" xfId="10"/>
    <cellStyle name="常规 5" xfId="11"/>
    <cellStyle name="常规 6" xfId="12"/>
    <cellStyle name="常规 6 2" xfId="13"/>
    <cellStyle name="常规 6 2 2" xfId="14"/>
    <cellStyle name="常规 7" xfId="15"/>
    <cellStyle name="常规 8" xfId="16"/>
    <cellStyle name="常规 9" xfId="1"/>
  </cellStyles>
  <dxfs count="10">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3&#22320;&#22359;&#21097;&#20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土地案例"/>
      <sheetName val="剩余法-待开发"/>
      <sheetName val="不动产比较法-住宅"/>
      <sheetName val="不动产比较法-商业"/>
      <sheetName val="不动产收益法-车库"/>
      <sheetName val="酒店收入计算"/>
      <sheetName val="成本逼近法"/>
      <sheetName val="不动产比较法-办公"/>
      <sheetName val="不动产比较法-工业"/>
      <sheetName val="不动产比较法-车位"/>
      <sheetName val="不动产比较法-仓储"/>
      <sheetName val="典型户型修正"/>
      <sheetName val="存贷款利率"/>
      <sheetName val="地块分布情况"/>
      <sheetName val="A3总规划"/>
      <sheetName val="F总规划"/>
      <sheetName val="C总规划"/>
      <sheetName val="E2总规划"/>
      <sheetName val="B总规划"/>
      <sheetName val="G总规划"/>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李立</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4">
          <cell r="D14" t="str">
            <v>苏海</v>
          </cell>
        </row>
        <row r="15">
          <cell r="D15" t="str">
            <v>杨红英</v>
          </cell>
        </row>
        <row r="16">
          <cell r="D16" t="str">
            <v>刘梅</v>
          </cell>
        </row>
        <row r="17">
          <cell r="D17" t="str">
            <v>张津夷</v>
          </cell>
        </row>
        <row r="21">
          <cell r="D21" t="str">
            <v>赵雯</v>
          </cell>
        </row>
        <row r="22">
          <cell r="D22" t="str">
            <v>刘敬东</v>
          </cell>
        </row>
        <row r="24">
          <cell r="D24" t="str">
            <v>——</v>
          </cell>
        </row>
      </sheetData>
      <sheetData sheetId="8">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平层住宅</v>
          </cell>
          <cell r="B2" t="str">
            <v>剩余法-待开发</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LOFT住宅</v>
          </cell>
          <cell r="B3" t="str">
            <v>剩余法-现房</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普通住宅</v>
          </cell>
          <cell r="B4" t="str">
            <v>比较法-住宅、综合</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公寓</v>
          </cell>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洋房</v>
          </cell>
          <cell r="B6" t="str">
            <v>基准地价</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叠拼</v>
          </cell>
          <cell r="B7" t="str">
            <v>成本逼近法</v>
          </cell>
          <cell r="C7" t="str">
            <v>六级</v>
          </cell>
          <cell r="F7" t="str">
            <v>车库—商业</v>
          </cell>
          <cell r="H7" t="str">
            <v>工业</v>
          </cell>
          <cell r="I7" t="str">
            <v>10-20（含）</v>
          </cell>
        </row>
        <row r="8">
          <cell r="A8" t="str">
            <v>联排</v>
          </cell>
          <cell r="B8" t="str">
            <v>不动产收益法</v>
          </cell>
          <cell r="C8" t="str">
            <v>七级</v>
          </cell>
          <cell r="F8" t="str">
            <v>车库—办公</v>
          </cell>
          <cell r="I8" t="str">
            <v>0-10（含）</v>
          </cell>
        </row>
        <row r="9">
          <cell r="A9" t="str">
            <v>双拼</v>
          </cell>
          <cell r="B9" t="str">
            <v>不动产比较法-住宅</v>
          </cell>
          <cell r="C9" t="str">
            <v>八级</v>
          </cell>
          <cell r="F9" t="str">
            <v>仓储</v>
          </cell>
        </row>
        <row r="10">
          <cell r="A10" t="str">
            <v>独栋</v>
          </cell>
          <cell r="B10" t="str">
            <v>不动产比较法-商业</v>
          </cell>
          <cell r="C10" t="str">
            <v>九级</v>
          </cell>
          <cell r="F10" t="str">
            <v>——</v>
          </cell>
        </row>
        <row r="11">
          <cell r="A11" t="str">
            <v>底商</v>
          </cell>
          <cell r="B11" t="str">
            <v>不动产比较法-办公</v>
          </cell>
          <cell r="C11" t="str">
            <v>十级</v>
          </cell>
        </row>
        <row r="12">
          <cell r="A12" t="str">
            <v>独立商业</v>
          </cell>
          <cell r="B12" t="str">
            <v>不动产比较法-工业</v>
          </cell>
          <cell r="C12" t="str">
            <v>十一级</v>
          </cell>
        </row>
        <row r="13">
          <cell r="A13" t="str">
            <v>商业街</v>
          </cell>
          <cell r="B13" t="str">
            <v>不动产比较法-车位</v>
          </cell>
          <cell r="C13" t="str">
            <v>十二级</v>
          </cell>
        </row>
        <row r="14">
          <cell r="A14" t="str">
            <v>酒店</v>
          </cell>
          <cell r="B14" t="str">
            <v>不动产比较法-仓储</v>
          </cell>
          <cell r="C14" t="str">
            <v>——</v>
          </cell>
        </row>
        <row r="15">
          <cell r="A15" t="str">
            <v>标准厂房</v>
          </cell>
          <cell r="B15" t="str">
            <v>不动产收益法-商业</v>
          </cell>
        </row>
        <row r="16">
          <cell r="A16" t="str">
            <v>特殊厂房</v>
          </cell>
          <cell r="B16" t="str">
            <v>不动产收益法-办公</v>
          </cell>
        </row>
        <row r="17">
          <cell r="A17" t="str">
            <v>办公楼</v>
          </cell>
          <cell r="B17" t="str">
            <v>不动产收益法-车库</v>
          </cell>
        </row>
        <row r="18">
          <cell r="A18" t="str">
            <v>宿舍</v>
          </cell>
          <cell r="B18" t="str">
            <v>基准地价（汇总）</v>
          </cell>
        </row>
        <row r="19">
          <cell r="A19" t="str">
            <v>食堂</v>
          </cell>
          <cell r="B19" t="str">
            <v>收益还原法</v>
          </cell>
        </row>
        <row r="20">
          <cell r="A20" t="str">
            <v>车库</v>
          </cell>
          <cell r="B20" t="str">
            <v>不动产收益法-车库</v>
          </cell>
        </row>
        <row r="21">
          <cell r="A21" t="str">
            <v>戊类库房</v>
          </cell>
          <cell r="B21" t="str">
            <v>*</v>
          </cell>
        </row>
        <row r="22">
          <cell r="A22" t="str">
            <v>燃品库房</v>
          </cell>
          <cell r="B22" t="str">
            <v>*</v>
          </cell>
        </row>
        <row r="23">
          <cell r="A23" t="str">
            <v>非燃品库房</v>
          </cell>
          <cell r="B23" t="str">
            <v>*</v>
          </cell>
        </row>
        <row r="24">
          <cell r="A24" t="str">
            <v>——</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9">
        <row r="2">
          <cell r="K2" t="str">
            <v>重庆市南岸区涂山镇石溪路出让国有建设用地使用权</v>
          </cell>
        </row>
        <row r="3">
          <cell r="D3">
            <v>43602</v>
          </cell>
        </row>
        <row r="6">
          <cell r="K6" t="str">
            <v/>
          </cell>
        </row>
        <row r="8">
          <cell r="E8" t="str">
            <v>抵押价格</v>
          </cell>
        </row>
        <row r="9">
          <cell r="E9" t="str">
            <v>——</v>
          </cell>
        </row>
        <row r="16">
          <cell r="B16" t="str">
            <v>出让</v>
          </cell>
        </row>
      </sheetData>
      <sheetData sheetId="10"/>
      <sheetData sheetId="11"/>
      <sheetData sheetId="12"/>
      <sheetData sheetId="13">
        <row r="3">
          <cell r="D3">
            <v>6813</v>
          </cell>
          <cell r="E3">
            <v>29293.370000000003</v>
          </cell>
        </row>
        <row r="17">
          <cell r="C17" t="str">
            <v>项目类型</v>
          </cell>
        </row>
        <row r="19">
          <cell r="C19" t="str">
            <v>住宅</v>
          </cell>
        </row>
        <row r="20">
          <cell r="C20" t="str">
            <v>地下车库</v>
          </cell>
        </row>
        <row r="27">
          <cell r="F27">
            <v>10592.25</v>
          </cell>
        </row>
      </sheetData>
      <sheetData sheetId="14">
        <row r="2">
          <cell r="B2">
            <v>43602</v>
          </cell>
        </row>
        <row r="41">
          <cell r="B41">
            <v>5.6000000000000001E-2</v>
          </cell>
        </row>
        <row r="42">
          <cell r="C42">
            <v>0.05</v>
          </cell>
        </row>
        <row r="43">
          <cell r="B43">
            <v>6.000000000000001E-3</v>
          </cell>
        </row>
        <row r="48">
          <cell r="B48">
            <v>0.03</v>
          </cell>
        </row>
        <row r="49">
          <cell r="B49">
            <v>5.0000000000000001E-4</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row r="14">
          <cell r="F14">
            <v>29753</v>
          </cell>
        </row>
        <row r="15">
          <cell r="F15">
            <v>39102</v>
          </cell>
        </row>
        <row r="16">
          <cell r="F16">
            <v>38981</v>
          </cell>
        </row>
        <row r="17">
          <cell r="F17">
            <v>18641</v>
          </cell>
        </row>
        <row r="20">
          <cell r="F20">
            <v>15692</v>
          </cell>
        </row>
      </sheetData>
      <sheetData sheetId="17">
        <row r="44">
          <cell r="C44">
            <v>20271</v>
          </cell>
        </row>
        <row r="45">
          <cell r="C45" t="str">
            <v>——</v>
          </cell>
        </row>
        <row r="46">
          <cell r="C46" t="str">
            <v>——</v>
          </cell>
        </row>
      </sheetData>
      <sheetData sheetId="18">
        <row r="18">
          <cell r="C18">
            <v>7456</v>
          </cell>
        </row>
      </sheetData>
      <sheetData sheetId="19">
        <row r="75">
          <cell r="A75" t="str">
            <v>交易情况</v>
          </cell>
          <cell r="C75" t="str">
            <v>正常</v>
          </cell>
          <cell r="D75" t="str">
            <v>低溢价</v>
          </cell>
        </row>
        <row r="77">
          <cell r="B77" t="str">
            <v>用途</v>
          </cell>
          <cell r="C77" t="str">
            <v>住宅</v>
          </cell>
          <cell r="D77" t="str">
            <v>住宅、商业</v>
          </cell>
        </row>
        <row r="108">
          <cell r="B108" t="str">
            <v>毗邻道路的类型与等级</v>
          </cell>
          <cell r="C108" t="str">
            <v>高速</v>
          </cell>
          <cell r="D108" t="str">
            <v>快速</v>
          </cell>
          <cell r="E108" t="str">
            <v>主</v>
          </cell>
          <cell r="F108" t="str">
            <v>次</v>
          </cell>
          <cell r="G108" t="str">
            <v>支</v>
          </cell>
        </row>
        <row r="110">
          <cell r="B110" t="str">
            <v>土地级别</v>
          </cell>
        </row>
        <row r="121">
          <cell r="B121" t="str">
            <v>宗地形状</v>
          </cell>
          <cell r="C121" t="str">
            <v>规则</v>
          </cell>
          <cell r="D121" t="str">
            <v>较规则</v>
          </cell>
          <cell r="E121" t="str">
            <v>较不规则</v>
          </cell>
          <cell r="F121" t="str">
            <v>不规则</v>
          </cell>
        </row>
        <row r="123">
          <cell r="B123" t="str">
            <v>临街宽度及深度</v>
          </cell>
          <cell r="C123" t="str">
            <v>适宜</v>
          </cell>
          <cell r="D123" t="str">
            <v>较适宜</v>
          </cell>
          <cell r="E123" t="str">
            <v>较不适宜</v>
          </cell>
          <cell r="F123" t="str">
            <v>不适宜</v>
          </cell>
        </row>
        <row r="125">
          <cell r="B125" t="str">
            <v>宗地开发程度</v>
          </cell>
          <cell r="C125" t="str">
            <v>七通</v>
          </cell>
          <cell r="D125" t="str">
            <v>六通</v>
          </cell>
          <cell r="E125" t="str">
            <v>五通</v>
          </cell>
          <cell r="F125" t="str">
            <v>四通</v>
          </cell>
          <cell r="G125" t="str">
            <v>三通</v>
          </cell>
        </row>
        <row r="127">
          <cell r="B127" t="str">
            <v>工程地质条件</v>
          </cell>
          <cell r="C127" t="str">
            <v>好</v>
          </cell>
          <cell r="D127" t="str">
            <v>较好</v>
          </cell>
          <cell r="E127" t="str">
            <v>一般</v>
          </cell>
          <cell r="F127" t="str">
            <v>较差</v>
          </cell>
          <cell r="G127" t="str">
            <v>差</v>
          </cell>
        </row>
      </sheetData>
      <sheetData sheetId="20">
        <row r="72">
          <cell r="B72" t="str">
            <v>用途</v>
          </cell>
        </row>
        <row r="99">
          <cell r="B99" t="str">
            <v>毗邻道路的类型与等级</v>
          </cell>
        </row>
        <row r="101">
          <cell r="B101" t="str">
            <v>土地级别</v>
          </cell>
        </row>
        <row r="112">
          <cell r="B112" t="str">
            <v>宗地形状</v>
          </cell>
        </row>
        <row r="114">
          <cell r="B114" t="str">
            <v>宗地开发程度</v>
          </cell>
        </row>
        <row r="116">
          <cell r="B116" t="str">
            <v>工程地质条件</v>
          </cell>
        </row>
      </sheetData>
      <sheetData sheetId="21"/>
      <sheetData sheetId="2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3"/>
      <sheetData sheetId="24"/>
      <sheetData sheetId="25"/>
      <sheetData sheetId="26"/>
      <sheetData sheetId="27"/>
      <sheetData sheetId="28"/>
      <sheetData sheetId="29"/>
      <sheetData sheetId="30">
        <row r="18">
          <cell r="C18">
            <v>7456</v>
          </cell>
        </row>
      </sheetData>
      <sheetData sheetId="31">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联排</v>
          </cell>
          <cell r="D100" t="str">
            <v>洋房</v>
          </cell>
          <cell r="E100" t="str">
            <v>高层</v>
          </cell>
        </row>
        <row r="105">
          <cell r="B105" t="str">
            <v>建筑结构</v>
          </cell>
          <cell r="C105" t="str">
            <v>钢</v>
          </cell>
          <cell r="D105" t="str">
            <v>钢混</v>
          </cell>
          <cell r="E105" t="str">
            <v>砖混</v>
          </cell>
        </row>
        <row r="107">
          <cell r="B107" t="str">
            <v>建筑品质</v>
          </cell>
          <cell r="C107" t="str">
            <v>高档</v>
          </cell>
          <cell r="D107" t="str">
            <v>中档</v>
          </cell>
        </row>
        <row r="109">
          <cell r="B109" t="str">
            <v>公共部分装修</v>
          </cell>
          <cell r="C109" t="str">
            <v>精装修</v>
          </cell>
          <cell r="D109" t="str">
            <v>普通装修</v>
          </cell>
          <cell r="E109" t="str">
            <v>简单装修</v>
          </cell>
          <cell r="F109" t="str">
            <v>毛坯</v>
          </cell>
        </row>
        <row r="114">
          <cell r="B114" t="str">
            <v>物业管理</v>
          </cell>
          <cell r="C114" t="str">
            <v>专业</v>
          </cell>
          <cell r="D114" t="str">
            <v>普通</v>
          </cell>
        </row>
        <row r="116">
          <cell r="B116" t="str">
            <v>市政基础设施</v>
          </cell>
          <cell r="C116" t="str">
            <v>七通</v>
          </cell>
          <cell r="D116" t="str">
            <v>六通</v>
          </cell>
          <cell r="E116" t="str">
            <v>五通</v>
          </cell>
          <cell r="F116" t="str">
            <v>四通</v>
          </cell>
          <cell r="G116" t="str">
            <v>三通</v>
          </cell>
        </row>
        <row r="118">
          <cell r="B118" t="str">
            <v>房型</v>
          </cell>
        </row>
        <row r="122">
          <cell r="B122" t="str">
            <v>内部装修</v>
          </cell>
          <cell r="C122" t="str">
            <v>精装修</v>
          </cell>
          <cell r="D122" t="str">
            <v>普通装修</v>
          </cell>
          <cell r="E122" t="str">
            <v>简单装修</v>
          </cell>
          <cell r="F122" t="str">
            <v>毛坯</v>
          </cell>
        </row>
      </sheetData>
      <sheetData sheetId="3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3"/>
      <sheetData sheetId="34"/>
      <sheetData sheetId="35"/>
      <sheetData sheetId="36">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8">
        <row r="51">
          <cell r="A51" t="str">
            <v>交易情况</v>
          </cell>
          <cell r="C51" t="str">
            <v>正常</v>
          </cell>
        </row>
        <row r="53">
          <cell r="B53" t="str">
            <v>用途</v>
          </cell>
          <cell r="C53" t="str">
            <v>车库</v>
          </cell>
        </row>
        <row r="71">
          <cell r="B71" t="str">
            <v>楼层</v>
          </cell>
          <cell r="C71" t="str">
            <v>地下</v>
          </cell>
          <cell r="D71" t="str">
            <v>地上</v>
          </cell>
        </row>
        <row r="79">
          <cell r="B79" t="str">
            <v>配套类型（地上主用途）</v>
          </cell>
          <cell r="C79" t="str">
            <v>住宅</v>
          </cell>
        </row>
        <row r="83">
          <cell r="B83" t="str">
            <v>公共部分装修</v>
          </cell>
          <cell r="C83" t="str">
            <v>精装修</v>
          </cell>
          <cell r="D83" t="str">
            <v>普通装修</v>
          </cell>
          <cell r="E83" t="str">
            <v>简单装修</v>
          </cell>
          <cell r="F83" t="str">
            <v>毛坯</v>
          </cell>
        </row>
        <row r="88">
          <cell r="B88" t="str">
            <v>物业等级</v>
          </cell>
          <cell r="C88" t="str">
            <v>专业</v>
          </cell>
          <cell r="D88" t="str">
            <v>普通</v>
          </cell>
        </row>
        <row r="93">
          <cell r="B93" t="str">
            <v>车位类型</v>
          </cell>
        </row>
        <row r="95">
          <cell r="B95" t="str">
            <v>是否直接入户</v>
          </cell>
          <cell r="C95" t="str">
            <v>是</v>
          </cell>
          <cell r="D95" t="str">
            <v>否</v>
          </cell>
        </row>
      </sheetData>
      <sheetData sheetId="3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40">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1"/>
      <sheetData sheetId="42">
        <row r="6">
          <cell r="C6">
            <v>22838</v>
          </cell>
        </row>
        <row r="10">
          <cell r="C10">
            <v>38270.76</v>
          </cell>
        </row>
        <row r="12">
          <cell r="C12">
            <v>23925</v>
          </cell>
        </row>
        <row r="16">
          <cell r="C16">
            <v>9367</v>
          </cell>
        </row>
      </sheetData>
      <sheetData sheetId="43">
        <row r="12">
          <cell r="F12">
            <v>59500</v>
          </cell>
        </row>
        <row r="14">
          <cell r="F14">
            <v>3450</v>
          </cell>
        </row>
        <row r="17">
          <cell r="F17">
            <v>300</v>
          </cell>
        </row>
        <row r="18">
          <cell r="F18">
            <v>25</v>
          </cell>
        </row>
        <row r="25">
          <cell r="F25">
            <v>59700</v>
          </cell>
        </row>
        <row r="26">
          <cell r="F26">
            <v>300</v>
          </cell>
        </row>
        <row r="27">
          <cell r="F27">
            <v>1275</v>
          </cell>
        </row>
        <row r="28">
          <cell r="F28">
            <v>40000</v>
          </cell>
        </row>
      </sheetData>
      <sheetData sheetId="44">
        <row r="12">
          <cell r="F12">
            <v>51750</v>
          </cell>
        </row>
        <row r="16">
          <cell r="F16">
            <v>500</v>
          </cell>
        </row>
        <row r="17">
          <cell r="F17">
            <v>270</v>
          </cell>
        </row>
        <row r="18">
          <cell r="F18">
            <v>20</v>
          </cell>
        </row>
        <row r="19">
          <cell r="F19">
            <v>900</v>
          </cell>
        </row>
        <row r="24">
          <cell r="F24">
            <v>580</v>
          </cell>
        </row>
        <row r="25">
          <cell r="F25">
            <v>19600</v>
          </cell>
        </row>
        <row r="26">
          <cell r="F26">
            <v>400</v>
          </cell>
        </row>
        <row r="27">
          <cell r="F27">
            <v>1470</v>
          </cell>
        </row>
      </sheetData>
      <sheetData sheetId="45">
        <row r="12">
          <cell r="F12">
            <v>6512</v>
          </cell>
        </row>
        <row r="17">
          <cell r="F17">
            <v>50</v>
          </cell>
        </row>
        <row r="18">
          <cell r="F18">
            <v>20</v>
          </cell>
        </row>
        <row r="24">
          <cell r="F24">
            <v>3160</v>
          </cell>
        </row>
        <row r="25">
          <cell r="F25">
            <v>6000</v>
          </cell>
        </row>
        <row r="26">
          <cell r="F26">
            <v>300</v>
          </cell>
        </row>
      </sheetData>
      <sheetData sheetId="46">
        <row r="12">
          <cell r="F12">
            <v>66390</v>
          </cell>
        </row>
        <row r="14">
          <cell r="F14">
            <v>3450</v>
          </cell>
        </row>
        <row r="17">
          <cell r="F17">
            <v>350</v>
          </cell>
        </row>
        <row r="18">
          <cell r="F18">
            <v>20</v>
          </cell>
        </row>
        <row r="25">
          <cell r="F25">
            <v>52000</v>
          </cell>
        </row>
        <row r="26">
          <cell r="F26">
            <v>900</v>
          </cell>
        </row>
        <row r="27">
          <cell r="F27">
            <v>610</v>
          </cell>
        </row>
        <row r="28">
          <cell r="F28">
            <v>20000</v>
          </cell>
        </row>
      </sheetData>
      <sheetData sheetId="47">
        <row r="12">
          <cell r="F12">
            <v>177110</v>
          </cell>
        </row>
        <row r="17">
          <cell r="F17">
            <v>770</v>
          </cell>
        </row>
        <row r="18">
          <cell r="F18">
            <v>105</v>
          </cell>
        </row>
        <row r="24">
          <cell r="F24">
            <v>12665</v>
          </cell>
        </row>
        <row r="25">
          <cell r="F25">
            <v>93700</v>
          </cell>
        </row>
        <row r="26">
          <cell r="F26">
            <v>1250</v>
          </cell>
        </row>
        <row r="27">
          <cell r="F27">
            <v>3650</v>
          </cell>
        </row>
      </sheetData>
      <sheetData sheetId="48">
        <row r="12">
          <cell r="F12">
            <v>26525</v>
          </cell>
        </row>
        <row r="17">
          <cell r="F17">
            <v>465</v>
          </cell>
        </row>
        <row r="18">
          <cell r="F18">
            <v>60</v>
          </cell>
        </row>
        <row r="21">
          <cell r="F21">
            <v>100</v>
          </cell>
        </row>
        <row r="22">
          <cell r="F22">
            <v>500</v>
          </cell>
        </row>
        <row r="23">
          <cell r="F23">
            <v>560</v>
          </cell>
        </row>
        <row r="24">
          <cell r="F24">
            <v>62147</v>
          </cell>
        </row>
        <row r="25">
          <cell r="F25">
            <v>66100</v>
          </cell>
        </row>
        <row r="26">
          <cell r="F26">
            <v>1100</v>
          </cell>
        </row>
        <row r="27">
          <cell r="F27">
            <v>980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14" sqref="G14"/>
    </sheetView>
  </sheetViews>
  <sheetFormatPr defaultColWidth="14.625" defaultRowHeight="13.5" x14ac:dyDescent="0.15"/>
  <cols>
    <col min="1" max="1" width="24.375" style="3" customWidth="1"/>
    <col min="2" max="16384" width="14.625" style="3"/>
  </cols>
  <sheetData>
    <row r="1" spans="1:9" ht="16.5" x14ac:dyDescent="0.15">
      <c r="A1" s="1" t="s">
        <v>0</v>
      </c>
      <c r="B1" s="1">
        <f>SUM(B14:B23)</f>
        <v>332137.10000000003</v>
      </c>
      <c r="C1" s="2"/>
      <c r="D1" s="2"/>
      <c r="E1" s="2"/>
      <c r="F1" s="2"/>
    </row>
    <row r="2" spans="1:9" ht="16.5" x14ac:dyDescent="0.15">
      <c r="A2" s="1" t="s">
        <v>1</v>
      </c>
      <c r="B2" s="1">
        <f>SUM(C14:C23)</f>
        <v>93332.06</v>
      </c>
      <c r="C2" s="2"/>
      <c r="D2" s="2"/>
      <c r="E2" s="2"/>
      <c r="F2" s="2"/>
    </row>
    <row r="3" spans="1:9" ht="16.5" x14ac:dyDescent="0.15">
      <c r="A3" s="1" t="s">
        <v>2</v>
      </c>
      <c r="B3" s="4">
        <f>[1]项目基本情况!D3</f>
        <v>43602</v>
      </c>
      <c r="C3" s="2"/>
      <c r="D3" s="2"/>
      <c r="E3" s="2"/>
      <c r="F3" s="2"/>
    </row>
    <row r="4" spans="1:9" ht="33" x14ac:dyDescent="0.15">
      <c r="A4" s="1" t="s">
        <v>3</v>
      </c>
      <c r="B4" s="1" t="s">
        <v>4</v>
      </c>
      <c r="C4" s="1" t="s">
        <v>5</v>
      </c>
      <c r="D4" s="1" t="s">
        <v>6</v>
      </c>
      <c r="E4" s="2"/>
      <c r="F4" s="2"/>
    </row>
    <row r="5" spans="1:9" ht="16.5" x14ac:dyDescent="0.15">
      <c r="A5" s="1" t="s">
        <v>7</v>
      </c>
      <c r="B5" s="1">
        <f ca="1">SUM(D14:D23)</f>
        <v>218788</v>
      </c>
      <c r="C5" s="1">
        <f ca="1">ROUND(B5*10000/$B$1,0)</f>
        <v>6587</v>
      </c>
      <c r="D5" s="1">
        <f ca="1">ROUND(B5*10000/$B$2,0)</f>
        <v>23442</v>
      </c>
      <c r="E5" s="2"/>
      <c r="F5" s="2"/>
    </row>
    <row r="6" spans="1:9" ht="16.5" x14ac:dyDescent="0.15">
      <c r="A6" s="1" t="s">
        <v>8</v>
      </c>
      <c r="B6" s="1">
        <f ca="1">SUM(G14:G23)</f>
        <v>20271</v>
      </c>
      <c r="C6" s="1">
        <f t="shared" ref="C6:C8" ca="1" si="0">ROUND(B6*10000/$B$1,0)</f>
        <v>610</v>
      </c>
      <c r="D6" s="1">
        <f t="shared" ref="D6:D8" ca="1" si="1">ROUND(B6*10000/$B$2,0)</f>
        <v>2172</v>
      </c>
      <c r="E6" s="2"/>
      <c r="F6" s="2"/>
    </row>
    <row r="7" spans="1:9" ht="16.5" x14ac:dyDescent="0.15">
      <c r="A7" s="1" t="s">
        <v>9</v>
      </c>
      <c r="B7" s="1">
        <f>SUM(H14:H23)</f>
        <v>0</v>
      </c>
      <c r="C7" s="1">
        <f t="shared" si="0"/>
        <v>0</v>
      </c>
      <c r="D7" s="1">
        <f t="shared" si="1"/>
        <v>0</v>
      </c>
      <c r="E7" s="2"/>
      <c r="F7" s="2"/>
    </row>
    <row r="8" spans="1:9" ht="16.5" x14ac:dyDescent="0.15">
      <c r="A8" s="1" t="s">
        <v>10</v>
      </c>
      <c r="B8" s="1">
        <f>SUM(I14:I23)</f>
        <v>0</v>
      </c>
      <c r="C8" s="1">
        <f t="shared" si="0"/>
        <v>0</v>
      </c>
      <c r="D8" s="1">
        <f t="shared" si="1"/>
        <v>0</v>
      </c>
      <c r="E8" s="2"/>
      <c r="F8" s="2"/>
    </row>
    <row r="9" spans="1:9" ht="16.5" x14ac:dyDescent="0.15">
      <c r="A9" s="1" t="s">
        <v>11</v>
      </c>
      <c r="B9" s="5"/>
      <c r="C9" s="2"/>
      <c r="D9" s="2"/>
      <c r="E9" s="2"/>
      <c r="F9" s="2"/>
    </row>
    <row r="10" spans="1:9" ht="16.5" x14ac:dyDescent="0.15">
      <c r="A10" s="1" t="s">
        <v>12</v>
      </c>
      <c r="B10" s="5"/>
      <c r="C10" s="2"/>
      <c r="D10" s="2"/>
      <c r="E10" s="2"/>
      <c r="F10" s="2"/>
    </row>
    <row r="11" spans="1:9" ht="16.5" x14ac:dyDescent="0.15">
      <c r="A11" s="1" t="s">
        <v>13</v>
      </c>
      <c r="B11" s="5"/>
      <c r="C11" s="2"/>
      <c r="D11" s="2"/>
      <c r="E11" s="2"/>
      <c r="F11" s="2"/>
    </row>
    <row r="12" spans="1:9" ht="16.5" x14ac:dyDescent="0.15">
      <c r="A12" s="2"/>
      <c r="B12" s="2"/>
      <c r="C12" s="2"/>
      <c r="D12" s="2"/>
      <c r="E12" s="2"/>
      <c r="F12" s="2"/>
    </row>
    <row r="13" spans="1:9" ht="33" x14ac:dyDescent="0.15">
      <c r="A13" s="6" t="s">
        <v>14</v>
      </c>
      <c r="B13" s="7" t="s">
        <v>0</v>
      </c>
      <c r="C13" s="7" t="s">
        <v>1</v>
      </c>
      <c r="D13" s="7" t="s">
        <v>15</v>
      </c>
      <c r="E13" s="1" t="s">
        <v>16</v>
      </c>
      <c r="F13" s="1" t="s">
        <v>6</v>
      </c>
      <c r="G13" s="7" t="s">
        <v>17</v>
      </c>
      <c r="H13" s="7" t="s">
        <v>18</v>
      </c>
      <c r="I13" s="7" t="s">
        <v>19</v>
      </c>
    </row>
    <row r="14" spans="1:9" ht="16.5" x14ac:dyDescent="0.15">
      <c r="A14" s="8" t="s">
        <v>20</v>
      </c>
      <c r="B14" s="7">
        <f>面积表!Q11</f>
        <v>332137.10000000003</v>
      </c>
      <c r="C14" s="7">
        <f>面积表!N11</f>
        <v>93332.06</v>
      </c>
      <c r="D14" s="7">
        <f ca="1">结果表!G19</f>
        <v>218788</v>
      </c>
      <c r="E14" s="7">
        <f ca="1">ROUND(D14*10000/B14,0)</f>
        <v>6587</v>
      </c>
      <c r="F14" s="7">
        <f ca="1">ROUND(D14*10000/C14,0)</f>
        <v>23442</v>
      </c>
      <c r="G14" s="7">
        <f ca="1">[1]结果表!C44</f>
        <v>20271</v>
      </c>
      <c r="H14" s="7" t="str">
        <f>[1]结果表!C45</f>
        <v>——</v>
      </c>
      <c r="I14" s="7" t="str">
        <f>[1]结果表!C46</f>
        <v>——</v>
      </c>
    </row>
    <row r="15" spans="1:9" ht="16.5" x14ac:dyDescent="0.15">
      <c r="A15" s="8" t="s">
        <v>21</v>
      </c>
      <c r="B15" s="9"/>
      <c r="C15" s="9"/>
      <c r="D15" s="9"/>
      <c r="E15" s="7" t="e">
        <f t="shared" ref="E15:E23" si="2">ROUND(D15*10000/B15,0)</f>
        <v>#DIV/0!</v>
      </c>
      <c r="F15" s="7" t="e">
        <f t="shared" ref="F15:F23" si="3">ROUND(D15*10000/C15,0)</f>
        <v>#DIV/0!</v>
      </c>
      <c r="G15" s="10"/>
      <c r="H15" s="10"/>
      <c r="I15" s="9"/>
    </row>
    <row r="16" spans="1:9" ht="16.5" x14ac:dyDescent="0.15">
      <c r="A16" s="8" t="s">
        <v>22</v>
      </c>
      <c r="B16" s="9"/>
      <c r="C16" s="9"/>
      <c r="D16" s="9"/>
      <c r="E16" s="7" t="e">
        <f t="shared" si="2"/>
        <v>#DIV/0!</v>
      </c>
      <c r="F16" s="7" t="e">
        <f t="shared" si="3"/>
        <v>#DIV/0!</v>
      </c>
      <c r="G16" s="10"/>
      <c r="H16" s="10"/>
      <c r="I16" s="9"/>
    </row>
    <row r="17" spans="1:9" ht="16.5" x14ac:dyDescent="0.15">
      <c r="A17" s="8" t="s">
        <v>23</v>
      </c>
      <c r="B17" s="9"/>
      <c r="C17" s="9"/>
      <c r="D17" s="9"/>
      <c r="E17" s="7" t="e">
        <f t="shared" si="2"/>
        <v>#DIV/0!</v>
      </c>
      <c r="F17" s="7" t="e">
        <f t="shared" si="3"/>
        <v>#DIV/0!</v>
      </c>
      <c r="G17" s="10"/>
      <c r="H17" s="10"/>
      <c r="I17" s="9"/>
    </row>
    <row r="18" spans="1:9" ht="16.5" x14ac:dyDescent="0.15">
      <c r="A18" s="8" t="s">
        <v>24</v>
      </c>
      <c r="B18" s="9"/>
      <c r="C18" s="9"/>
      <c r="D18" s="9"/>
      <c r="E18" s="7" t="e">
        <f t="shared" si="2"/>
        <v>#DIV/0!</v>
      </c>
      <c r="F18" s="7" t="e">
        <f t="shared" si="3"/>
        <v>#DIV/0!</v>
      </c>
      <c r="G18" s="9"/>
      <c r="H18" s="9"/>
      <c r="I18" s="9"/>
    </row>
    <row r="19" spans="1:9" ht="16.5" x14ac:dyDescent="0.15">
      <c r="A19" s="8" t="s">
        <v>25</v>
      </c>
      <c r="B19" s="9"/>
      <c r="C19" s="9"/>
      <c r="D19" s="9"/>
      <c r="E19" s="7" t="e">
        <f t="shared" si="2"/>
        <v>#DIV/0!</v>
      </c>
      <c r="F19" s="7" t="e">
        <f t="shared" si="3"/>
        <v>#DIV/0!</v>
      </c>
      <c r="G19" s="9"/>
      <c r="H19" s="9"/>
      <c r="I19" s="9"/>
    </row>
    <row r="20" spans="1:9" ht="16.5" x14ac:dyDescent="0.15">
      <c r="A20" s="8" t="s">
        <v>26</v>
      </c>
      <c r="B20" s="9"/>
      <c r="C20" s="9"/>
      <c r="D20" s="9"/>
      <c r="E20" s="7" t="e">
        <f t="shared" si="2"/>
        <v>#DIV/0!</v>
      </c>
      <c r="F20" s="7" t="e">
        <f t="shared" si="3"/>
        <v>#DIV/0!</v>
      </c>
      <c r="G20" s="9"/>
      <c r="H20" s="9"/>
      <c r="I20" s="9"/>
    </row>
    <row r="21" spans="1:9" ht="16.5" x14ac:dyDescent="0.15">
      <c r="A21" s="8" t="s">
        <v>27</v>
      </c>
      <c r="B21" s="9"/>
      <c r="C21" s="9"/>
      <c r="D21" s="9"/>
      <c r="E21" s="7" t="e">
        <f t="shared" si="2"/>
        <v>#DIV/0!</v>
      </c>
      <c r="F21" s="7" t="e">
        <f t="shared" si="3"/>
        <v>#DIV/0!</v>
      </c>
      <c r="G21" s="9"/>
      <c r="H21" s="9"/>
      <c r="I21" s="9"/>
    </row>
    <row r="22" spans="1:9" ht="16.5" x14ac:dyDescent="0.15">
      <c r="A22" s="8" t="s">
        <v>28</v>
      </c>
      <c r="B22" s="9"/>
      <c r="C22" s="9"/>
      <c r="D22" s="9"/>
      <c r="E22" s="7" t="e">
        <f t="shared" si="2"/>
        <v>#DIV/0!</v>
      </c>
      <c r="F22" s="7" t="e">
        <f t="shared" si="3"/>
        <v>#DIV/0!</v>
      </c>
      <c r="G22" s="9"/>
      <c r="H22" s="9"/>
      <c r="I22" s="9"/>
    </row>
    <row r="23" spans="1:9" ht="16.5" x14ac:dyDescent="0.15">
      <c r="A23" s="8" t="s">
        <v>29</v>
      </c>
      <c r="B23" s="9"/>
      <c r="C23" s="9"/>
      <c r="D23" s="9"/>
      <c r="E23" s="1" t="e">
        <f t="shared" si="2"/>
        <v>#DIV/0!</v>
      </c>
      <c r="F23" s="1" t="e">
        <f t="shared" si="3"/>
        <v>#DIV/0!</v>
      </c>
      <c r="G23" s="9"/>
      <c r="H23" s="9"/>
      <c r="I23" s="9"/>
    </row>
  </sheetData>
  <sheetProtection formatCells="0" formatColumns="0" formatRows="0"/>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206"/>
  <sheetViews>
    <sheetView view="pageBreakPreview" zoomScaleNormal="100" zoomScaleSheetLayoutView="100" zoomScalePageLayoutView="80" workbookViewId="0">
      <selection activeCell="K38" sqref="K38"/>
    </sheetView>
  </sheetViews>
  <sheetFormatPr defaultColWidth="12.625" defaultRowHeight="21.75" customHeight="1" x14ac:dyDescent="0.15"/>
  <cols>
    <col min="1" max="2" width="12.75" style="49" bestFit="1" customWidth="1"/>
    <col min="3" max="4" width="12.625" style="49" customWidth="1"/>
    <col min="5" max="9" width="12.75" style="49" bestFit="1" customWidth="1"/>
    <col min="10" max="10" width="2.25" style="18" customWidth="1"/>
    <col min="11" max="12" width="12.625" style="18" customWidth="1"/>
    <col min="13" max="13" width="12.625" style="18"/>
    <col min="14" max="14" width="15.625" style="18" bestFit="1" customWidth="1"/>
    <col min="15" max="19" width="12.75" style="18" bestFit="1" customWidth="1"/>
    <col min="20" max="26" width="12.625" style="18"/>
    <col min="27" max="16384" width="12.625" style="49"/>
  </cols>
  <sheetData>
    <row r="1" spans="1:22" ht="21.75" customHeight="1" thickBot="1" x14ac:dyDescent="0.2">
      <c r="A1" s="11" t="s">
        <v>30</v>
      </c>
      <c r="B1" s="12"/>
      <c r="C1" s="13" t="s">
        <v>31</v>
      </c>
      <c r="D1" s="14" t="s">
        <v>32</v>
      </c>
      <c r="E1" s="13" t="s">
        <v>33</v>
      </c>
      <c r="F1" s="15"/>
      <c r="G1" s="16"/>
      <c r="H1" s="16"/>
      <c r="I1" s="16"/>
      <c r="J1" s="17"/>
      <c r="K1" s="17"/>
      <c r="L1" s="17"/>
      <c r="M1" s="17"/>
      <c r="N1" s="17"/>
      <c r="O1" s="17"/>
      <c r="P1" s="17"/>
      <c r="Q1" s="17"/>
      <c r="R1" s="17"/>
      <c r="S1" s="17"/>
      <c r="T1" s="17"/>
      <c r="U1" s="17"/>
      <c r="V1" s="17"/>
    </row>
    <row r="2" spans="1:22" ht="21.75" customHeight="1" thickBot="1" x14ac:dyDescent="0.2">
      <c r="A2" s="19" t="str">
        <f>[1]项目基本情况!K2</f>
        <v>重庆市南岸区涂山镇石溪路出让国有建设用地使用权</v>
      </c>
      <c r="B2" s="20"/>
      <c r="C2" s="21"/>
      <c r="D2" s="21"/>
      <c r="E2" s="21"/>
      <c r="F2" s="21"/>
      <c r="G2" s="20"/>
      <c r="H2" s="20"/>
      <c r="I2" s="22"/>
      <c r="J2" s="23"/>
      <c r="K2" s="17"/>
      <c r="L2" s="17"/>
      <c r="M2" s="17"/>
      <c r="N2" s="17"/>
      <c r="O2" s="17"/>
      <c r="P2" s="17"/>
      <c r="Q2" s="17"/>
      <c r="R2" s="17"/>
      <c r="S2" s="17"/>
      <c r="T2" s="17"/>
      <c r="U2" s="17"/>
      <c r="V2" s="17"/>
    </row>
    <row r="3" spans="1:22" ht="14.25" x14ac:dyDescent="0.15">
      <c r="A3" s="24" t="s">
        <v>34</v>
      </c>
      <c r="B3" s="25"/>
      <c r="C3" s="25"/>
      <c r="D3" s="25"/>
      <c r="E3" s="25"/>
      <c r="F3" s="25"/>
      <c r="G3" s="25"/>
      <c r="H3" s="25"/>
      <c r="I3" s="25"/>
      <c r="J3" s="23"/>
      <c r="K3" s="17"/>
      <c r="L3" s="17"/>
      <c r="M3" s="17"/>
      <c r="N3" s="17"/>
      <c r="O3" s="17"/>
      <c r="P3" s="17"/>
      <c r="Q3" s="17"/>
      <c r="R3" s="17"/>
      <c r="S3" s="17"/>
      <c r="T3" s="17"/>
      <c r="U3" s="17"/>
      <c r="V3" s="17"/>
    </row>
    <row r="4" spans="1:22" ht="14.25" x14ac:dyDescent="0.15">
      <c r="A4" s="26" t="s">
        <v>35</v>
      </c>
      <c r="B4" s="27" t="s">
        <v>36</v>
      </c>
      <c r="C4" s="28" t="s">
        <v>37</v>
      </c>
      <c r="D4" s="28" t="s">
        <v>38</v>
      </c>
      <c r="E4" s="29" t="s">
        <v>39</v>
      </c>
      <c r="F4" s="30"/>
      <c r="G4" s="30"/>
      <c r="H4" s="30"/>
      <c r="I4" s="31"/>
      <c r="J4" s="23"/>
      <c r="K4" s="17"/>
      <c r="L4" s="32" t="str">
        <f>IF(ISNUMBER(FIND("比较法",C4)),"比较法",IF(ISNUMBER(FIND("成本法",C4)),"成本法",IF(ISNUMBER(FIND("剩余法",C4)),"剩余法",IF(ISNUMBER(FIND("收益法",C4)),"收益法","基准地价系数修正法"))))</f>
        <v>剩余法</v>
      </c>
      <c r="M4" s="32" t="str">
        <f>IF(ISNUMBER(FIND("比较法",D4)),"比较法",IF(ISNUMBER(FIND("成本法",D4)),"成本法",IF(ISNUMBER(FIND("剩余法",D4)),"剩余法",IF(ISNUMBER(FIND("收益法",D4)),"收益法","基准地价系数修正法"))))</f>
        <v>比较法</v>
      </c>
      <c r="N4" s="17"/>
      <c r="O4" s="17"/>
      <c r="P4" s="17"/>
      <c r="Q4" s="17"/>
      <c r="R4" s="17"/>
      <c r="S4" s="17"/>
      <c r="T4" s="17"/>
      <c r="U4" s="17"/>
      <c r="V4" s="17"/>
    </row>
    <row r="5" spans="1:22" ht="14.25" x14ac:dyDescent="0.15">
      <c r="A5" s="33" t="s">
        <v>40</v>
      </c>
      <c r="B5" s="34">
        <v>25</v>
      </c>
      <c r="C5" s="35"/>
      <c r="D5" s="36"/>
      <c r="E5" s="37" t="s">
        <v>41</v>
      </c>
      <c r="F5" s="38"/>
      <c r="G5" s="38"/>
      <c r="H5" s="38"/>
      <c r="I5" s="39"/>
      <c r="J5" s="23"/>
      <c r="K5" s="17"/>
      <c r="L5" s="17"/>
      <c r="M5" s="17"/>
      <c r="N5" s="17"/>
      <c r="O5" s="17"/>
      <c r="P5" s="17"/>
      <c r="Q5" s="17"/>
      <c r="R5" s="17"/>
      <c r="S5" s="17"/>
      <c r="T5" s="17"/>
      <c r="U5" s="17"/>
      <c r="V5" s="17"/>
    </row>
    <row r="6" spans="1:22" ht="14.25" x14ac:dyDescent="0.15">
      <c r="A6" s="33"/>
      <c r="B6" s="34"/>
      <c r="C6" s="40"/>
      <c r="D6" s="36"/>
      <c r="E6" s="37" t="s">
        <v>42</v>
      </c>
      <c r="F6" s="38"/>
      <c r="G6" s="38"/>
      <c r="H6" s="38"/>
      <c r="I6" s="39"/>
      <c r="J6" s="23"/>
      <c r="K6" s="17"/>
      <c r="L6" s="17"/>
      <c r="M6" s="17"/>
      <c r="N6" s="17"/>
      <c r="O6" s="17"/>
      <c r="P6" s="17"/>
      <c r="Q6" s="17"/>
      <c r="R6" s="17"/>
      <c r="S6" s="17"/>
      <c r="T6" s="17"/>
      <c r="U6" s="17"/>
      <c r="V6" s="17"/>
    </row>
    <row r="7" spans="1:22" ht="14.25" x14ac:dyDescent="0.15">
      <c r="A7" s="33"/>
      <c r="B7" s="34"/>
      <c r="C7" s="41"/>
      <c r="D7" s="36"/>
      <c r="E7" s="37" t="s">
        <v>43</v>
      </c>
      <c r="F7" s="38"/>
      <c r="G7" s="38"/>
      <c r="H7" s="38"/>
      <c r="I7" s="39"/>
      <c r="J7" s="23"/>
      <c r="K7" s="17"/>
      <c r="L7" s="17"/>
      <c r="M7" s="17"/>
      <c r="N7" s="17"/>
      <c r="O7" s="17"/>
      <c r="P7" s="17"/>
      <c r="Q7" s="17"/>
      <c r="R7" s="17"/>
      <c r="S7" s="17"/>
      <c r="T7" s="17"/>
      <c r="U7" s="17"/>
      <c r="V7" s="17"/>
    </row>
    <row r="8" spans="1:22" ht="14.25" x14ac:dyDescent="0.15">
      <c r="A8" s="33" t="s">
        <v>44</v>
      </c>
      <c r="B8" s="34">
        <v>15</v>
      </c>
      <c r="C8" s="35"/>
      <c r="D8" s="36"/>
      <c r="E8" s="37" t="s">
        <v>45</v>
      </c>
      <c r="F8" s="38"/>
      <c r="G8" s="38"/>
      <c r="H8" s="38"/>
      <c r="I8" s="39"/>
      <c r="J8" s="23"/>
      <c r="K8" s="17"/>
      <c r="L8" s="17"/>
      <c r="M8" s="17"/>
      <c r="N8" s="17"/>
      <c r="O8" s="17"/>
      <c r="P8" s="17"/>
      <c r="Q8" s="17"/>
      <c r="R8" s="17"/>
      <c r="S8" s="17"/>
      <c r="T8" s="17"/>
      <c r="U8" s="17"/>
      <c r="V8" s="17"/>
    </row>
    <row r="9" spans="1:22" ht="14.25" x14ac:dyDescent="0.15">
      <c r="A9" s="33"/>
      <c r="B9" s="34"/>
      <c r="C9" s="41"/>
      <c r="D9" s="36"/>
      <c r="E9" s="37" t="s">
        <v>46</v>
      </c>
      <c r="F9" s="38"/>
      <c r="G9" s="38"/>
      <c r="H9" s="38"/>
      <c r="I9" s="39"/>
      <c r="J9" s="23"/>
      <c r="K9" s="17"/>
      <c r="L9" s="17"/>
      <c r="M9" s="17"/>
      <c r="N9" s="17"/>
      <c r="O9" s="17"/>
      <c r="P9" s="17"/>
      <c r="Q9" s="17"/>
      <c r="R9" s="17"/>
      <c r="S9" s="17"/>
      <c r="T9" s="17"/>
      <c r="U9" s="17"/>
      <c r="V9" s="17"/>
    </row>
    <row r="10" spans="1:22" ht="14.25" x14ac:dyDescent="0.15">
      <c r="A10" s="33" t="s">
        <v>47</v>
      </c>
      <c r="B10" s="34">
        <v>15</v>
      </c>
      <c r="C10" s="35"/>
      <c r="D10" s="36"/>
      <c r="E10" s="37" t="s">
        <v>48</v>
      </c>
      <c r="F10" s="38"/>
      <c r="G10" s="38"/>
      <c r="H10" s="38"/>
      <c r="I10" s="39"/>
      <c r="J10" s="23"/>
      <c r="K10" s="17"/>
      <c r="L10" s="17"/>
      <c r="M10" s="17"/>
      <c r="N10" s="17"/>
      <c r="O10" s="17"/>
      <c r="P10" s="17"/>
      <c r="Q10" s="17"/>
      <c r="R10" s="17"/>
      <c r="S10" s="17"/>
      <c r="T10" s="17"/>
      <c r="U10" s="17"/>
      <c r="V10" s="17"/>
    </row>
    <row r="11" spans="1:22" ht="14.25" x14ac:dyDescent="0.15">
      <c r="A11" s="33"/>
      <c r="B11" s="34"/>
      <c r="C11" s="41"/>
      <c r="D11" s="36"/>
      <c r="E11" s="37" t="s">
        <v>49</v>
      </c>
      <c r="F11" s="38"/>
      <c r="G11" s="38"/>
      <c r="H11" s="38"/>
      <c r="I11" s="39"/>
      <c r="J11" s="23"/>
      <c r="K11" s="17"/>
      <c r="L11" s="17"/>
      <c r="M11" s="17"/>
      <c r="N11" s="17"/>
      <c r="O11" s="17"/>
      <c r="P11" s="17"/>
      <c r="Q11" s="17"/>
      <c r="R11" s="17"/>
      <c r="S11" s="17"/>
      <c r="T11" s="17"/>
      <c r="U11" s="17"/>
      <c r="V11" s="17"/>
    </row>
    <row r="12" spans="1:22" ht="14.25" x14ac:dyDescent="0.15">
      <c r="A12" s="33" t="s">
        <v>50</v>
      </c>
      <c r="B12" s="34">
        <v>15</v>
      </c>
      <c r="C12" s="35"/>
      <c r="D12" s="36"/>
      <c r="E12" s="37" t="s">
        <v>51</v>
      </c>
      <c r="F12" s="38"/>
      <c r="G12" s="38"/>
      <c r="H12" s="38"/>
      <c r="I12" s="39"/>
      <c r="J12" s="23"/>
      <c r="K12" s="17"/>
      <c r="L12" s="17"/>
      <c r="M12" s="17"/>
      <c r="N12" s="17"/>
      <c r="O12" s="17"/>
      <c r="P12" s="17"/>
      <c r="Q12" s="17"/>
      <c r="R12" s="17"/>
      <c r="S12" s="17"/>
      <c r="T12" s="17"/>
      <c r="U12" s="17"/>
      <c r="V12" s="17"/>
    </row>
    <row r="13" spans="1:22" ht="14.25" x14ac:dyDescent="0.15">
      <c r="A13" s="33"/>
      <c r="B13" s="34"/>
      <c r="C13" s="41"/>
      <c r="D13" s="36"/>
      <c r="E13" s="37" t="s">
        <v>52</v>
      </c>
      <c r="F13" s="38"/>
      <c r="G13" s="38"/>
      <c r="H13" s="38"/>
      <c r="I13" s="39"/>
      <c r="J13" s="23"/>
      <c r="K13" s="17"/>
      <c r="L13" s="17"/>
      <c r="M13" s="17"/>
      <c r="N13" s="17"/>
      <c r="O13" s="17"/>
      <c r="P13" s="17"/>
      <c r="Q13" s="17"/>
      <c r="R13" s="17"/>
      <c r="S13" s="17"/>
      <c r="T13" s="17"/>
      <c r="U13" s="17"/>
      <c r="V13" s="17"/>
    </row>
    <row r="14" spans="1:22" ht="14.25" x14ac:dyDescent="0.15">
      <c r="A14" s="33" t="s">
        <v>53</v>
      </c>
      <c r="B14" s="34">
        <v>30</v>
      </c>
      <c r="C14" s="42">
        <v>6</v>
      </c>
      <c r="D14" s="43">
        <v>4</v>
      </c>
      <c r="E14" s="37" t="s">
        <v>54</v>
      </c>
      <c r="F14" s="38"/>
      <c r="G14" s="38"/>
      <c r="H14" s="38"/>
      <c r="I14" s="39"/>
      <c r="J14" s="23"/>
      <c r="K14" s="17"/>
      <c r="L14" s="17"/>
      <c r="M14" s="17"/>
      <c r="N14" s="17"/>
      <c r="O14" s="17"/>
      <c r="P14" s="17"/>
      <c r="Q14" s="17"/>
      <c r="R14" s="17"/>
      <c r="S14" s="17"/>
      <c r="T14" s="17"/>
      <c r="U14" s="17"/>
      <c r="V14" s="17"/>
    </row>
    <row r="15" spans="1:22" ht="14.25" x14ac:dyDescent="0.15">
      <c r="A15" s="33"/>
      <c r="B15" s="34"/>
      <c r="C15" s="44"/>
      <c r="D15" s="43"/>
      <c r="E15" s="37" t="s">
        <v>55</v>
      </c>
      <c r="F15" s="38"/>
      <c r="G15" s="38"/>
      <c r="H15" s="38"/>
      <c r="I15" s="39"/>
      <c r="J15" s="23"/>
      <c r="K15" s="17"/>
      <c r="L15" s="17"/>
      <c r="M15" s="17"/>
      <c r="N15" s="17"/>
      <c r="O15" s="17"/>
      <c r="P15" s="17"/>
      <c r="Q15" s="17"/>
      <c r="R15" s="17"/>
      <c r="S15" s="17"/>
      <c r="T15" s="17"/>
      <c r="U15" s="17"/>
      <c r="V15" s="17"/>
    </row>
    <row r="16" spans="1:22" ht="14.25" x14ac:dyDescent="0.15">
      <c r="A16" s="33"/>
      <c r="B16" s="34"/>
      <c r="C16" s="45"/>
      <c r="D16" s="43"/>
      <c r="E16" s="37" t="s">
        <v>56</v>
      </c>
      <c r="F16" s="38"/>
      <c r="G16" s="38"/>
      <c r="H16" s="38"/>
      <c r="I16" s="39"/>
      <c r="J16" s="23"/>
      <c r="K16" s="17"/>
      <c r="L16" s="17"/>
      <c r="M16" s="17"/>
      <c r="N16" s="17"/>
      <c r="O16" s="17"/>
      <c r="P16" s="17"/>
      <c r="Q16" s="17"/>
      <c r="R16" s="17"/>
      <c r="S16" s="17"/>
      <c r="T16" s="17"/>
      <c r="U16" s="17"/>
      <c r="V16" s="17"/>
    </row>
    <row r="17" spans="1:26" ht="15" x14ac:dyDescent="0.15">
      <c r="A17" s="46" t="s">
        <v>57</v>
      </c>
      <c r="B17" s="47"/>
      <c r="C17" s="48">
        <f>SUM(C5:C16)</f>
        <v>6</v>
      </c>
      <c r="D17" s="48">
        <f>SUM(D5:D16)</f>
        <v>4</v>
      </c>
      <c r="E17" s="16"/>
      <c r="F17" s="16"/>
      <c r="G17" s="16"/>
      <c r="H17" s="16"/>
      <c r="I17" s="16"/>
      <c r="J17" s="23"/>
      <c r="K17" s="17"/>
      <c r="L17" s="17"/>
      <c r="M17" s="17"/>
      <c r="N17" s="17"/>
      <c r="O17" s="17"/>
      <c r="P17" s="17"/>
      <c r="Q17" s="17"/>
      <c r="R17" s="17"/>
      <c r="S17" s="17"/>
      <c r="T17" s="17"/>
      <c r="U17" s="17"/>
      <c r="V17" s="17"/>
    </row>
    <row r="18" spans="1:26" ht="15.75" thickBot="1" x14ac:dyDescent="0.2">
      <c r="A18" s="50" t="s">
        <v>58</v>
      </c>
      <c r="B18" s="51"/>
      <c r="C18" s="52">
        <f>ROUND(C17/SUM(C17:D17),2)</f>
        <v>0.6</v>
      </c>
      <c r="D18" s="52">
        <f>1-C18</f>
        <v>0.4</v>
      </c>
      <c r="E18" s="16"/>
      <c r="F18" s="16"/>
      <c r="G18" s="16"/>
      <c r="H18" s="16"/>
      <c r="I18" s="16"/>
      <c r="J18" s="17"/>
      <c r="K18" s="17"/>
      <c r="L18" s="17"/>
      <c r="M18" s="17"/>
      <c r="N18" s="17"/>
      <c r="O18" s="17"/>
      <c r="P18" s="17"/>
      <c r="Q18" s="17"/>
      <c r="R18" s="17"/>
      <c r="S18" s="17"/>
      <c r="T18" s="17"/>
      <c r="U18" s="17"/>
      <c r="V18" s="17"/>
    </row>
    <row r="19" spans="1:26" ht="15" x14ac:dyDescent="0.15">
      <c r="A19" s="53" t="s">
        <v>59</v>
      </c>
      <c r="B19" s="54" t="s">
        <v>60</v>
      </c>
      <c r="C19" s="55" t="e">
        <f ca="1">SUMIF(INDIRECT("'"&amp;C4&amp;"'"&amp;"!A:A"),结果表!B19,INDIRECT("'"&amp;C4&amp;"'"&amp;"!B:B"))</f>
        <v>#REF!</v>
      </c>
      <c r="D19" s="56" t="e">
        <f ca="1">SUMIF(INDIRECT("'"&amp;D4&amp;"'"&amp;"!A:A"),结果表!B19,INDIRECT("'"&amp;D4&amp;"'"&amp;"!B:B"))</f>
        <v>#REF!</v>
      </c>
      <c r="E19" s="53" t="s">
        <v>61</v>
      </c>
      <c r="F19" s="54" t="s">
        <v>60</v>
      </c>
      <c r="G19" s="57">
        <f ca="1">面积表!P11</f>
        <v>218788</v>
      </c>
      <c r="H19" s="58" t="s">
        <v>62</v>
      </c>
      <c r="I19" s="16"/>
      <c r="J19" s="17"/>
      <c r="K19" s="17"/>
      <c r="L19" s="17"/>
      <c r="M19" s="17"/>
      <c r="N19" s="17"/>
      <c r="O19" s="17"/>
      <c r="P19" s="17"/>
      <c r="Q19" s="17"/>
      <c r="R19" s="17"/>
      <c r="S19" s="17"/>
      <c r="T19" s="17"/>
      <c r="U19" s="17"/>
      <c r="V19" s="17"/>
    </row>
    <row r="20" spans="1:26" ht="15" x14ac:dyDescent="0.15">
      <c r="A20" s="59"/>
      <c r="B20" s="60" t="s">
        <v>63</v>
      </c>
      <c r="C20" s="61" t="e">
        <f ca="1">SUMIF(INDIRECT("'"&amp;C4&amp;"'"&amp;"!A:A"),结果表!B20,INDIRECT("'"&amp;C4&amp;"'"&amp;"!B:B"))</f>
        <v>#REF!</v>
      </c>
      <c r="D20" s="62" t="e">
        <f ca="1">SUMIF(INDIRECT("'"&amp;D4&amp;"'"&amp;"!A:A"),结果表!B20,INDIRECT("'"&amp;D4&amp;"'"&amp;"!B:B"))</f>
        <v>#REF!</v>
      </c>
      <c r="E20" s="59"/>
      <c r="F20" s="60" t="s">
        <v>63</v>
      </c>
      <c r="G20" s="63" t="e">
        <f ca="1">ROUND(C20*$C$18+D20*$D$18,0)</f>
        <v>#REF!</v>
      </c>
      <c r="H20" s="64" t="s">
        <v>64</v>
      </c>
      <c r="I20" s="16"/>
      <c r="J20" s="17"/>
      <c r="K20" s="17"/>
      <c r="L20" s="17"/>
      <c r="M20" s="17"/>
      <c r="N20" s="17"/>
      <c r="O20" s="17"/>
      <c r="P20" s="17"/>
      <c r="Q20" s="17"/>
      <c r="R20" s="17"/>
      <c r="S20" s="17"/>
      <c r="T20" s="17"/>
      <c r="U20" s="17"/>
      <c r="V20" s="17"/>
    </row>
    <row r="21" spans="1:26" ht="15" customHeight="1" x14ac:dyDescent="0.15">
      <c r="A21" s="59"/>
      <c r="B21" s="65" t="s">
        <v>65</v>
      </c>
      <c r="C21" s="66" t="e">
        <f ca="1">SUMIF(INDIRECT("'"&amp;C4&amp;"'"&amp;"!A:A"),结果表!B21,INDIRECT("'"&amp;C4&amp;"'"&amp;"!B:B"))</f>
        <v>#REF!</v>
      </c>
      <c r="D21" s="67" t="e">
        <f ca="1">SUMIF(INDIRECT("'"&amp;D4&amp;"'"&amp;"!A:A"),结果表!B21,INDIRECT("'"&amp;D4&amp;"'"&amp;"!B:B"))</f>
        <v>#REF!</v>
      </c>
      <c r="E21" s="59"/>
      <c r="F21" s="65" t="s">
        <v>65</v>
      </c>
      <c r="G21" s="68" t="e">
        <f ca="1">ROUND(C21*$C$18+D21*$D$18,0)</f>
        <v>#REF!</v>
      </c>
      <c r="H21" s="69" t="s">
        <v>64</v>
      </c>
      <c r="I21" s="16"/>
      <c r="J21" s="17"/>
      <c r="K21" s="17"/>
      <c r="L21" s="17"/>
      <c r="M21" s="17"/>
      <c r="N21" s="17"/>
      <c r="O21" s="17"/>
      <c r="P21" s="17"/>
      <c r="Q21" s="17"/>
      <c r="R21" s="17"/>
      <c r="S21" s="17"/>
      <c r="T21" s="17"/>
      <c r="U21" s="17"/>
      <c r="V21" s="17"/>
    </row>
    <row r="22" spans="1:26" ht="15.75" thickBot="1" x14ac:dyDescent="0.2">
      <c r="A22" s="70" t="s">
        <v>66</v>
      </c>
      <c r="B22" s="71"/>
      <c r="C22" s="72"/>
      <c r="D22" s="73" t="e">
        <f ca="1">IF(C19&lt;D19,D19/C19-1,C19/D19-1)</f>
        <v>#REF!</v>
      </c>
      <c r="E22" s="74"/>
      <c r="F22" s="75"/>
      <c r="G22" s="76">
        <f ca="1">ROUND(G19/('[1]数据-汇总表'!D3/666.67),0)</f>
        <v>21409</v>
      </c>
      <c r="H22" s="77" t="s">
        <v>67</v>
      </c>
      <c r="I22" s="16"/>
      <c r="J22" s="17"/>
      <c r="K22" s="17"/>
      <c r="L22" s="17"/>
      <c r="M22" s="17"/>
      <c r="N22" s="17"/>
      <c r="O22" s="17"/>
      <c r="P22" s="17"/>
      <c r="Q22" s="17"/>
      <c r="R22" s="17"/>
      <c r="S22" s="17"/>
      <c r="T22" s="17"/>
      <c r="U22" s="17"/>
      <c r="V22" s="17"/>
    </row>
    <row r="23" spans="1:26" ht="13.5" thickBot="1" x14ac:dyDescent="0.2">
      <c r="A23" s="16"/>
      <c r="B23" s="16"/>
      <c r="C23" s="16"/>
      <c r="D23" s="16"/>
      <c r="E23" s="16"/>
      <c r="F23" s="16"/>
      <c r="G23" s="16"/>
      <c r="H23" s="16"/>
      <c r="I23" s="16"/>
      <c r="J23" s="17"/>
      <c r="K23" s="17"/>
      <c r="L23" s="17"/>
      <c r="M23" s="17"/>
      <c r="N23" s="17"/>
      <c r="O23" s="17"/>
      <c r="P23" s="17"/>
      <c r="Q23" s="17"/>
      <c r="R23" s="17"/>
      <c r="S23" s="17"/>
      <c r="T23" s="17"/>
      <c r="U23" s="17"/>
      <c r="V23" s="17"/>
    </row>
    <row r="24" spans="1:26" ht="15" thickBot="1" x14ac:dyDescent="0.2">
      <c r="A24" s="78" t="s">
        <v>68</v>
      </c>
      <c r="B24" s="54" t="s">
        <v>60</v>
      </c>
      <c r="C24" s="79">
        <f>IF(B30=0,0,D30)</f>
        <v>0</v>
      </c>
      <c r="D24" s="80"/>
      <c r="E24" s="16"/>
      <c r="F24" s="16"/>
      <c r="G24" s="16"/>
      <c r="H24" s="16"/>
      <c r="I24" s="16"/>
      <c r="J24" s="17"/>
      <c r="K24" s="17"/>
      <c r="L24" s="17"/>
      <c r="M24" s="17"/>
      <c r="N24" s="17"/>
      <c r="O24" s="17"/>
      <c r="P24" s="17"/>
      <c r="Q24" s="17"/>
      <c r="R24" s="17"/>
      <c r="S24" s="17"/>
      <c r="T24" s="17"/>
      <c r="U24" s="17"/>
      <c r="V24" s="17"/>
    </row>
    <row r="25" spans="1:26" ht="18" x14ac:dyDescent="0.15">
      <c r="A25" s="81"/>
      <c r="B25" s="82" t="s">
        <v>69</v>
      </c>
      <c r="C25" s="83">
        <f>IF(B30=0,0,C30)</f>
        <v>0</v>
      </c>
      <c r="D25" s="84"/>
      <c r="E25" s="16"/>
      <c r="F25" s="16"/>
      <c r="G25" s="16"/>
      <c r="H25" s="16"/>
      <c r="I25" s="16"/>
      <c r="J25" s="17"/>
      <c r="K25" s="85" t="str">
        <f ca="1">[1]项目基本情况!B16&amp;"国有建设用地使用权价格："&amp;O38&amp;"万元"</f>
        <v>出让国有建设用地使用权价格：218788万元</v>
      </c>
      <c r="L25" s="86"/>
      <c r="M25" s="86"/>
      <c r="N25" s="86"/>
      <c r="O25" s="87"/>
      <c r="P25" s="17"/>
      <c r="Q25" s="17"/>
      <c r="R25" s="17"/>
      <c r="S25" s="17"/>
      <c r="T25" s="17"/>
      <c r="U25" s="17"/>
      <c r="V25" s="17"/>
    </row>
    <row r="26" spans="1:26" s="93" customFormat="1" ht="18" x14ac:dyDescent="0.15">
      <c r="A26" s="88" t="s">
        <v>70</v>
      </c>
      <c r="B26" s="89" t="s">
        <v>71</v>
      </c>
      <c r="C26" s="89" t="s">
        <v>72</v>
      </c>
      <c r="D26" s="90" t="s">
        <v>73</v>
      </c>
      <c r="E26" s="16"/>
      <c r="F26" s="16"/>
      <c r="G26" s="16"/>
      <c r="H26" s="16"/>
      <c r="I26" s="16"/>
      <c r="J26" s="17"/>
      <c r="K26" s="91" t="str">
        <f ca="1">"大写金额：人民币"&amp;NUMBERSTRING(INT(O38*10000),2)&amp;"元整"</f>
        <v>大写金额：人民币贰拾壹亿捌仟柒佰捌拾捌万元整</v>
      </c>
      <c r="L26" s="71"/>
      <c r="M26" s="71"/>
      <c r="N26" s="71"/>
      <c r="O26" s="69"/>
      <c r="P26" s="17"/>
      <c r="Q26" s="17"/>
      <c r="R26" s="17"/>
      <c r="S26" s="17"/>
      <c r="T26" s="17"/>
      <c r="U26" s="17"/>
      <c r="V26" s="17"/>
      <c r="W26" s="92"/>
      <c r="X26" s="92"/>
      <c r="Y26" s="92"/>
      <c r="Z26" s="92"/>
    </row>
    <row r="27" spans="1:26" ht="18" x14ac:dyDescent="0.15">
      <c r="A27" s="88">
        <f ca="1">G19/'[1]数据-汇总表'!F27*10000</f>
        <v>206554.79241898557</v>
      </c>
      <c r="B27" s="89"/>
      <c r="C27" s="89"/>
      <c r="D27" s="90"/>
      <c r="E27" s="16"/>
      <c r="F27" s="16"/>
      <c r="G27" s="16"/>
      <c r="H27" s="16"/>
      <c r="I27" s="16"/>
      <c r="J27" s="17"/>
      <c r="K27" s="91" t="str">
        <f ca="1">"单位面积地价："&amp;M38&amp;"元/平方米"</f>
        <v>单位面积地价：321133元/平方米</v>
      </c>
      <c r="L27" s="71"/>
      <c r="M27" s="71"/>
      <c r="N27" s="71"/>
      <c r="O27" s="69"/>
      <c r="P27" s="17"/>
      <c r="Q27" s="17"/>
      <c r="R27" s="17"/>
      <c r="S27" s="17"/>
      <c r="T27" s="17"/>
      <c r="U27" s="17"/>
      <c r="V27" s="17"/>
    </row>
    <row r="28" spans="1:26" ht="18.75" customHeight="1" x14ac:dyDescent="0.15">
      <c r="A28" s="88"/>
      <c r="B28" s="89"/>
      <c r="C28" s="89"/>
      <c r="D28" s="90"/>
      <c r="E28" s="16"/>
      <c r="F28" s="16"/>
      <c r="G28" s="16"/>
      <c r="H28" s="16"/>
      <c r="I28" s="16"/>
      <c r="J28" s="17"/>
      <c r="K28" s="91" t="str">
        <f ca="1">"楼面地价："&amp;N38&amp;"元/平方米"</f>
        <v>楼面地价：74689元/平方米</v>
      </c>
      <c r="L28" s="71"/>
      <c r="M28" s="71"/>
      <c r="N28" s="71"/>
      <c r="O28" s="69"/>
      <c r="P28" s="17"/>
      <c r="V28" s="17"/>
    </row>
    <row r="29" spans="1:26" ht="18" x14ac:dyDescent="0.15">
      <c r="A29" s="88"/>
      <c r="B29" s="89"/>
      <c r="C29" s="89"/>
      <c r="D29" s="90"/>
      <c r="E29" s="16"/>
      <c r="F29" s="16"/>
      <c r="G29" s="16"/>
      <c r="H29" s="16"/>
      <c r="I29" s="16"/>
      <c r="J29" s="17"/>
      <c r="K29" s="91" t="str">
        <f ca="1">IF(OR([1]项目基本情况!E8="抵押价格",[1]项目基本情况!E8="已注销及未注销"),"抵押价格："&amp;O39&amp;"万元","——")</f>
        <v>抵押价格：218788万元</v>
      </c>
      <c r="L29" s="71"/>
      <c r="M29" s="71"/>
      <c r="N29" s="71"/>
      <c r="O29" s="69"/>
      <c r="P29" s="17"/>
      <c r="V29" s="17"/>
    </row>
    <row r="30" spans="1:26" ht="18.75" thickBot="1" x14ac:dyDescent="0.2">
      <c r="A30" s="94" t="s">
        <v>74</v>
      </c>
      <c r="B30" s="95"/>
      <c r="C30" s="95"/>
      <c r="D30" s="96"/>
      <c r="E30" s="97" t="s">
        <v>75</v>
      </c>
      <c r="F30" s="16"/>
      <c r="G30" s="16"/>
      <c r="H30" s="16"/>
      <c r="I30" s="16"/>
      <c r="J30" s="17"/>
      <c r="K30" s="91" t="str">
        <f ca="1">IF(K29="——","——","大写金额：人民币"&amp;NUMBERSTRING(INT(O39*10000),2)&amp;"元整")</f>
        <v>大写金额：人民币贰拾壹亿捌仟柒佰捌拾捌万元整</v>
      </c>
      <c r="L30" s="71"/>
      <c r="M30" s="71"/>
      <c r="N30" s="71"/>
      <c r="O30" s="69"/>
      <c r="P30" s="17"/>
      <c r="V30" s="17"/>
    </row>
    <row r="31" spans="1:26" ht="24" customHeight="1" thickBot="1" x14ac:dyDescent="0.2">
      <c r="A31" s="16"/>
      <c r="B31" s="16"/>
      <c r="C31" s="16"/>
      <c r="D31" s="16"/>
      <c r="E31" s="16"/>
      <c r="F31" s="16"/>
      <c r="G31" s="16"/>
      <c r="H31" s="16"/>
      <c r="I31" s="16"/>
      <c r="J31" s="17"/>
      <c r="K31" s="98" t="str">
        <f>IF([1]项目基本情况!E8="抵押价格","——","抵押担保权已注销时的抵押价格："&amp;O40&amp;"万元")</f>
        <v>——</v>
      </c>
      <c r="L31" s="99"/>
      <c r="M31" s="99"/>
      <c r="N31" s="99"/>
      <c r="O31" s="100"/>
      <c r="P31" s="17"/>
      <c r="V31" s="17"/>
    </row>
    <row r="32" spans="1:26" ht="18.75" thickBot="1" x14ac:dyDescent="0.2">
      <c r="A32" s="53" t="s">
        <v>76</v>
      </c>
      <c r="B32" s="101" t="s">
        <v>77</v>
      </c>
      <c r="C32" s="102">
        <f ca="1">G19-C24</f>
        <v>218788</v>
      </c>
      <c r="D32" s="103" t="s">
        <v>78</v>
      </c>
      <c r="E32" s="16"/>
      <c r="F32" s="16"/>
      <c r="G32" s="16"/>
      <c r="H32" s="16"/>
      <c r="I32" s="16"/>
      <c r="J32" s="17"/>
      <c r="K32" s="104" t="str">
        <f>IF(K31="——","——","大写金额：人民币"&amp;NUMBERSTRING(INT(O40*10000),2)&amp;"元整")</f>
        <v>——</v>
      </c>
      <c r="L32" s="105"/>
      <c r="M32" s="105"/>
      <c r="N32" s="105"/>
      <c r="O32" s="106"/>
      <c r="P32" s="17"/>
      <c r="V32" s="17"/>
    </row>
    <row r="33" spans="1:26" ht="18.75" thickBot="1" x14ac:dyDescent="0.2">
      <c r="A33" s="107" t="s">
        <v>79</v>
      </c>
      <c r="B33" s="108" t="s">
        <v>80</v>
      </c>
      <c r="C33" s="46">
        <f ca="1">ROUND(C32*10000/'[1]数据-汇总表'!E3,0)</f>
        <v>74689</v>
      </c>
      <c r="D33" s="109" t="s">
        <v>81</v>
      </c>
      <c r="E33" s="78" t="s">
        <v>82</v>
      </c>
      <c r="F33" s="110" t="s">
        <v>83</v>
      </c>
      <c r="G33" s="111"/>
      <c r="H33" s="112"/>
      <c r="I33" s="113"/>
      <c r="J33" s="17"/>
      <c r="K33" s="91" t="str">
        <f>IF([1]项目基本情况!E9="——","——","抵押净值："&amp;C46&amp;"万元")</f>
        <v>——</v>
      </c>
      <c r="L33" s="71"/>
      <c r="M33" s="71"/>
      <c r="N33" s="71"/>
      <c r="O33" s="69"/>
      <c r="P33" s="17"/>
      <c r="V33" s="17"/>
    </row>
    <row r="34" spans="1:26" s="93" customFormat="1" ht="18.75" thickBot="1" x14ac:dyDescent="0.2">
      <c r="A34" s="114"/>
      <c r="B34" s="115" t="s">
        <v>84</v>
      </c>
      <c r="C34" s="46">
        <f ca="1">ROUND(C32*10000/'[1]数据-汇总表'!D3,0)</f>
        <v>321133</v>
      </c>
      <c r="D34" s="116" t="s">
        <v>81</v>
      </c>
      <c r="E34" s="117"/>
      <c r="F34" s="118" t="s">
        <v>85</v>
      </c>
      <c r="G34" s="119"/>
      <c r="H34" s="51"/>
      <c r="I34" s="16"/>
      <c r="J34" s="17"/>
      <c r="K34" s="120" t="str">
        <f>IF(K33="——","——","大写金额：人民币"&amp;NUMBERSTRING(INT(O41*10000),2)&amp;"元整")</f>
        <v>——</v>
      </c>
      <c r="L34" s="121"/>
      <c r="M34" s="121"/>
      <c r="N34" s="121"/>
      <c r="O34" s="122"/>
      <c r="P34" s="17"/>
      <c r="Q34" s="92"/>
      <c r="R34" s="92"/>
      <c r="S34" s="92"/>
      <c r="T34" s="92"/>
      <c r="U34" s="92"/>
      <c r="V34" s="17"/>
      <c r="W34" s="92"/>
      <c r="X34" s="92"/>
      <c r="Y34" s="92"/>
      <c r="Z34" s="92"/>
    </row>
    <row r="35" spans="1:26" ht="15.75" thickBot="1" x14ac:dyDescent="0.2">
      <c r="A35" s="74"/>
      <c r="B35" s="123"/>
      <c r="C35" s="124">
        <f ca="1">ROUND(C32/('[1]数据-汇总表'!D3/666.67),0)</f>
        <v>21409</v>
      </c>
      <c r="D35" s="125" t="s">
        <v>86</v>
      </c>
      <c r="E35" s="126"/>
      <c r="F35" s="127" t="s">
        <v>87</v>
      </c>
      <c r="G35" s="128"/>
      <c r="H35" s="129" t="s">
        <v>88</v>
      </c>
      <c r="I35" s="16"/>
      <c r="J35" s="17"/>
      <c r="K35" s="130" t="s">
        <v>89</v>
      </c>
      <c r="L35" s="130" t="s">
        <v>90</v>
      </c>
      <c r="M35" s="131" t="s">
        <v>91</v>
      </c>
      <c r="N35" s="130" t="s">
        <v>92</v>
      </c>
      <c r="O35" s="130" t="s">
        <v>93</v>
      </c>
      <c r="P35" s="17"/>
      <c r="V35" s="17"/>
    </row>
    <row r="36" spans="1:26" ht="16.5" customHeight="1" x14ac:dyDescent="0.15">
      <c r="A36" s="132" t="s">
        <v>94</v>
      </c>
      <c r="B36" s="133" t="s">
        <v>71</v>
      </c>
      <c r="C36" s="134" t="s">
        <v>72</v>
      </c>
      <c r="D36" s="134" t="s">
        <v>95</v>
      </c>
      <c r="E36" s="135" t="s">
        <v>73</v>
      </c>
      <c r="F36" s="16"/>
      <c r="G36" s="16"/>
      <c r="H36" s="16"/>
      <c r="I36" s="16"/>
      <c r="J36" s="136"/>
      <c r="K36" s="137"/>
      <c r="L36" s="137"/>
      <c r="M36" s="138" t="s">
        <v>96</v>
      </c>
      <c r="N36" s="137"/>
      <c r="O36" s="137"/>
      <c r="P36" s="17"/>
      <c r="V36" s="17"/>
    </row>
    <row r="37" spans="1:26" ht="16.5" customHeight="1" thickBot="1" x14ac:dyDescent="0.2">
      <c r="A37" s="139" t="s">
        <v>97</v>
      </c>
      <c r="B37" s="140"/>
      <c r="C37" s="89"/>
      <c r="D37" s="89"/>
      <c r="E37" s="90"/>
      <c r="F37" s="16"/>
      <c r="G37" s="16"/>
      <c r="H37" s="16"/>
      <c r="I37" s="16"/>
      <c r="J37" s="136"/>
      <c r="K37" s="141"/>
      <c r="L37" s="141"/>
      <c r="M37" s="142"/>
      <c r="N37" s="141"/>
      <c r="O37" s="141"/>
      <c r="P37" s="17"/>
      <c r="V37" s="17"/>
    </row>
    <row r="38" spans="1:26" ht="16.5" customHeight="1" thickBot="1" x14ac:dyDescent="0.2">
      <c r="A38" s="139" t="s">
        <v>98</v>
      </c>
      <c r="B38" s="140"/>
      <c r="C38" s="89"/>
      <c r="D38" s="89"/>
      <c r="E38" s="90"/>
      <c r="F38" s="16"/>
      <c r="G38" s="16"/>
      <c r="H38" s="16"/>
      <c r="I38" s="16"/>
      <c r="J38" s="136"/>
      <c r="K38" s="143">
        <f>'[1]数据-汇总表'!D3</f>
        <v>6813</v>
      </c>
      <c r="L38" s="144">
        <f>'[1]数据-汇总表'!E3</f>
        <v>29293.370000000003</v>
      </c>
      <c r="M38" s="144">
        <f ca="1">C34</f>
        <v>321133</v>
      </c>
      <c r="N38" s="144">
        <f ca="1">C33</f>
        <v>74689</v>
      </c>
      <c r="O38" s="145">
        <f ca="1">C32</f>
        <v>218788</v>
      </c>
      <c r="P38" s="17"/>
      <c r="V38" s="17"/>
    </row>
    <row r="39" spans="1:26" ht="16.5" customHeight="1" thickBot="1" x14ac:dyDescent="0.2">
      <c r="A39" s="146"/>
      <c r="B39" s="147"/>
      <c r="C39" s="95"/>
      <c r="D39" s="95"/>
      <c r="E39" s="96"/>
      <c r="F39" s="16"/>
      <c r="G39" s="16"/>
      <c r="H39" s="16"/>
      <c r="I39" s="16"/>
      <c r="J39" s="136"/>
      <c r="K39" s="148" t="str">
        <f>MID(A44,3,LEN(A44)-2)</f>
        <v>抵押价格</v>
      </c>
      <c r="L39" s="149"/>
      <c r="M39" s="149"/>
      <c r="N39" s="150"/>
      <c r="O39" s="151">
        <f ca="1">C44</f>
        <v>218788</v>
      </c>
      <c r="P39" s="17"/>
      <c r="V39" s="17"/>
    </row>
    <row r="40" spans="1:26" ht="19.5" thickBot="1" x14ac:dyDescent="0.2">
      <c r="A40" s="152" t="s">
        <v>99</v>
      </c>
      <c r="B40" s="16"/>
      <c r="C40" s="16"/>
      <c r="D40" s="16"/>
      <c r="E40" s="16"/>
      <c r="F40" s="16"/>
      <c r="G40" s="16"/>
      <c r="H40" s="16"/>
      <c r="I40" s="16"/>
      <c r="J40" s="136"/>
      <c r="K40" s="148" t="str">
        <f t="shared" ref="K40:K41" si="0">MID(A45,3,LEN(A45)-2)</f>
        <v/>
      </c>
      <c r="L40" s="149"/>
      <c r="M40" s="149"/>
      <c r="N40" s="150"/>
      <c r="O40" s="151" t="str">
        <f>C45</f>
        <v>——</v>
      </c>
      <c r="P40" s="17"/>
      <c r="V40" s="17"/>
    </row>
    <row r="41" spans="1:26" ht="16.5" thickBot="1" x14ac:dyDescent="0.2">
      <c r="A41" s="153" t="s">
        <v>100</v>
      </c>
      <c r="B41" s="154"/>
      <c r="C41" s="155" t="s">
        <v>101</v>
      </c>
      <c r="D41" s="156" t="s">
        <v>102</v>
      </c>
      <c r="E41" s="156" t="s">
        <v>103</v>
      </c>
      <c r="F41" s="157" t="s">
        <v>104</v>
      </c>
      <c r="G41" s="16"/>
      <c r="H41" s="16"/>
      <c r="I41" s="16"/>
      <c r="J41" s="136"/>
      <c r="K41" s="148" t="str">
        <f t="shared" si="0"/>
        <v/>
      </c>
      <c r="L41" s="149"/>
      <c r="M41" s="149"/>
      <c r="N41" s="150"/>
      <c r="O41" s="151" t="str">
        <f>C46</f>
        <v>——</v>
      </c>
      <c r="P41" s="17"/>
      <c r="V41" s="17"/>
    </row>
    <row r="42" spans="1:26" ht="29.25" x14ac:dyDescent="0.15">
      <c r="A42" s="158" t="s">
        <v>105</v>
      </c>
      <c r="B42" s="159"/>
      <c r="C42" s="46">
        <f ca="1">C32</f>
        <v>218788</v>
      </c>
      <c r="D42" s="160">
        <f ca="1">C33</f>
        <v>74689</v>
      </c>
      <c r="E42" s="160">
        <f ca="1">C34</f>
        <v>321133</v>
      </c>
      <c r="F42" s="161">
        <f ca="1">C35</f>
        <v>21409</v>
      </c>
      <c r="G42" s="16"/>
      <c r="H42" s="16"/>
      <c r="I42" s="162"/>
      <c r="J42" s="136"/>
      <c r="K42" s="163" t="s">
        <v>106</v>
      </c>
      <c r="L42" s="164" t="s">
        <v>107</v>
      </c>
      <c r="M42" s="165" t="s">
        <v>108</v>
      </c>
      <c r="N42" s="166" t="s">
        <v>109</v>
      </c>
      <c r="O42" s="167" t="s">
        <v>110</v>
      </c>
      <c r="P42" s="17"/>
      <c r="V42" s="17"/>
    </row>
    <row r="43" spans="1:26" ht="30" x14ac:dyDescent="0.15">
      <c r="A43" s="168" t="s">
        <v>111</v>
      </c>
      <c r="B43" s="169"/>
      <c r="C43" s="46">
        <f>IF(H33="正常操作",G33+G34+G35,G34+G35)</f>
        <v>0</v>
      </c>
      <c r="D43" s="160" t="s">
        <v>112</v>
      </c>
      <c r="E43" s="160" t="s">
        <v>112</v>
      </c>
      <c r="F43" s="161" t="s">
        <v>112</v>
      </c>
      <c r="G43" s="170" t="s">
        <v>113</v>
      </c>
      <c r="H43" s="16"/>
      <c r="I43" s="162"/>
      <c r="J43" s="136"/>
      <c r="K43" s="171" t="str">
        <f>C4</f>
        <v>剩余法-待开发</v>
      </c>
      <c r="L43" s="172" t="e">
        <f ca="1">IF(L42="估价结果/万元",C19,C20)</f>
        <v>#REF!</v>
      </c>
      <c r="M43" s="173">
        <f>C18</f>
        <v>0.6</v>
      </c>
      <c r="N43" s="174">
        <f ca="1">IF(N42="测算结果/万元",G19,G20)</f>
        <v>218788</v>
      </c>
      <c r="O43" s="175">
        <f ca="1">IF(O42="最终结果/万元",C32,C33)</f>
        <v>218788</v>
      </c>
      <c r="P43" s="17"/>
      <c r="V43" s="17"/>
    </row>
    <row r="44" spans="1:26" ht="30.75" thickBot="1" x14ac:dyDescent="0.2">
      <c r="A44" s="158" t="str">
        <f>IF(OR([1]项目基本情况!E8="抵押价格",[1]项目基本情况!E8="已注销及未注销"),"3.抵押价格","——")</f>
        <v>3.抵押价格</v>
      </c>
      <c r="B44" s="159"/>
      <c r="C44" s="46">
        <f ca="1">IF(A44="——","——",C42-C43)</f>
        <v>218788</v>
      </c>
      <c r="D44" s="160">
        <f ca="1">ROUND(C44*10000/'[1]数据-汇总表'!E3,0)</f>
        <v>74689</v>
      </c>
      <c r="E44" s="160">
        <f ca="1">ROUND(C44*10000/'[1]数据-汇总表'!D3,0)</f>
        <v>321133</v>
      </c>
      <c r="F44" s="161">
        <f ca="1">ROUND(C44/('[1]数据-汇总表'!D3/666.67),0)</f>
        <v>21409</v>
      </c>
      <c r="G44" s="16"/>
      <c r="H44" s="16"/>
      <c r="I44" s="162"/>
      <c r="J44" s="136"/>
      <c r="K44" s="176" t="str">
        <f>D4</f>
        <v>比较法-住宅、综合</v>
      </c>
      <c r="L44" s="177" t="e">
        <f ca="1">IF(L42="估价结果/万元",D19,D20)</f>
        <v>#REF!</v>
      </c>
      <c r="M44" s="178">
        <f>D18</f>
        <v>0.4</v>
      </c>
      <c r="N44" s="179"/>
      <c r="O44" s="180"/>
      <c r="P44" s="17"/>
      <c r="V44" s="17"/>
    </row>
    <row r="45" spans="1:26" ht="15" x14ac:dyDescent="0.15">
      <c r="A45" s="181" t="str">
        <f>IF([1]项目基本情况!E8="已注销及未注销","4.抵押担保权已注销时的抵押价格",IF([1]项目基本情况!E8="已注销","3.抵押担保权已注销时的抵押价格","——"))</f>
        <v>——</v>
      </c>
      <c r="B45" s="182"/>
      <c r="C45" s="183" t="str">
        <f>IF(A45="——","——",IF([1]项目基本情况!E8="抵押价格","——",C32-G34-G35))</f>
        <v>——</v>
      </c>
      <c r="D45" s="160" t="e">
        <f>ROUND(C45*10000/'[1]数据-汇总表'!E3,0)</f>
        <v>#VALUE!</v>
      </c>
      <c r="E45" s="160" t="e">
        <f>ROUND(C45*10000/'[1]数据-汇总表'!D3,0)</f>
        <v>#VALUE!</v>
      </c>
      <c r="F45" s="161" t="e">
        <f>ROUND(C45/('[1]数据-汇总表'!D3/666.67),0)</f>
        <v>#VALUE!</v>
      </c>
      <c r="G45" s="16"/>
      <c r="H45" s="16"/>
      <c r="I45" s="162"/>
      <c r="J45" s="136"/>
      <c r="K45" s="17"/>
      <c r="L45" s="17"/>
      <c r="M45" s="17"/>
      <c r="N45" s="17"/>
      <c r="O45" s="17"/>
      <c r="P45" s="17"/>
      <c r="V45" s="17"/>
    </row>
    <row r="46" spans="1:26" ht="15.75" thickBot="1" x14ac:dyDescent="0.2">
      <c r="A46" s="184" t="str">
        <f>IF([1]项目基本情况!E9="抵押净值",IF(A45="——","4.抵押净值","5.抵押净值"),"——")</f>
        <v>——</v>
      </c>
      <c r="B46" s="185"/>
      <c r="C46" s="186" t="str">
        <f>IF(A46="——","——",O79)</f>
        <v>——</v>
      </c>
      <c r="D46" s="160" t="e">
        <f>ROUND(C46*10000/'[1]数据-汇总表'!E3,0)</f>
        <v>#VALUE!</v>
      </c>
      <c r="E46" s="160" t="e">
        <f>ROUND(C46*10000/'[1]数据-汇总表'!D3,0)</f>
        <v>#VALUE!</v>
      </c>
      <c r="F46" s="161" t="e">
        <f>ROUND(C46/('[1]数据-汇总表'!D3/666.67),0)</f>
        <v>#VALUE!</v>
      </c>
      <c r="G46" s="16"/>
      <c r="H46" s="16"/>
      <c r="I46" s="162"/>
      <c r="J46" s="136"/>
      <c r="K46" s="17"/>
      <c r="L46" s="17"/>
      <c r="M46" s="17"/>
      <c r="N46" s="17"/>
      <c r="O46" s="17"/>
      <c r="P46" s="17"/>
      <c r="Q46" s="17"/>
      <c r="R46" s="17"/>
      <c r="S46" s="17"/>
      <c r="T46" s="17"/>
      <c r="U46" s="17"/>
      <c r="V46" s="17"/>
    </row>
    <row r="47" spans="1:26" ht="15.75" x14ac:dyDescent="0.15">
      <c r="A47" s="187" t="s">
        <v>114</v>
      </c>
      <c r="B47" s="188"/>
      <c r="C47" s="189" t="s">
        <v>115</v>
      </c>
      <c r="D47" s="190"/>
      <c r="E47" s="190"/>
      <c r="F47" s="190"/>
      <c r="G47" s="191"/>
      <c r="H47" s="192"/>
      <c r="I47" s="193"/>
      <c r="J47" s="136"/>
      <c r="K47" s="16" t="str">
        <f>IF(C43=0,"本次评估"&amp;IF(G43="设定","设定估价对象","")&amp;"不存在"&amp;MID(A43,3,LEN(A43)-2),"本次评估"&amp;IF(G43="设定","设定","")&amp;MID(A43,3,LEN(A43)-2)&amp;"为人民币"&amp;C43&amp;"万元整。")</f>
        <v>本次评估不存在估价师知悉的法定优先受偿款</v>
      </c>
      <c r="L47" s="17"/>
      <c r="M47" s="17"/>
      <c r="N47" s="17"/>
      <c r="O47" s="17"/>
      <c r="P47" s="17"/>
      <c r="Q47" s="17"/>
      <c r="R47" s="17"/>
      <c r="S47" s="17"/>
      <c r="T47" s="17"/>
      <c r="U47" s="17"/>
      <c r="V47" s="17"/>
    </row>
    <row r="48" spans="1:26" ht="12.75" x14ac:dyDescent="0.15">
      <c r="A48" s="194">
        <v>1</v>
      </c>
      <c r="B48" s="195"/>
      <c r="C48" s="195"/>
      <c r="D48" s="190"/>
      <c r="E48" s="190"/>
      <c r="F48" s="190"/>
      <c r="G48" s="190"/>
      <c r="H48" s="196"/>
      <c r="I48" s="197"/>
      <c r="J48" s="136"/>
      <c r="K48" s="17"/>
      <c r="L48" s="17"/>
      <c r="M48" s="17"/>
      <c r="N48" s="17"/>
      <c r="O48" s="17"/>
      <c r="P48" s="17"/>
      <c r="Q48" s="17"/>
      <c r="R48" s="17"/>
      <c r="S48" s="17"/>
      <c r="T48" s="17"/>
      <c r="U48" s="17"/>
      <c r="V48" s="17"/>
    </row>
    <row r="49" spans="1:22" ht="12.75" x14ac:dyDescent="0.15">
      <c r="A49" s="194">
        <v>2</v>
      </c>
      <c r="B49" s="195"/>
      <c r="C49" s="195"/>
      <c r="D49" s="190"/>
      <c r="E49" s="190"/>
      <c r="F49" s="190"/>
      <c r="G49" s="190"/>
      <c r="H49" s="196"/>
      <c r="I49" s="197"/>
      <c r="J49" s="198"/>
      <c r="K49" s="17"/>
      <c r="L49" s="17"/>
      <c r="M49" s="17"/>
      <c r="N49" s="17"/>
      <c r="O49" s="17"/>
      <c r="P49" s="17"/>
      <c r="Q49" s="17"/>
      <c r="R49" s="17"/>
      <c r="S49" s="17"/>
      <c r="T49" s="17"/>
      <c r="U49" s="17"/>
      <c r="V49" s="17"/>
    </row>
    <row r="50" spans="1:22" ht="12.75" x14ac:dyDescent="0.15">
      <c r="A50" s="194">
        <v>3</v>
      </c>
      <c r="B50" s="195"/>
      <c r="C50" s="195"/>
      <c r="D50" s="190"/>
      <c r="E50" s="190"/>
      <c r="F50" s="190"/>
      <c r="G50" s="190"/>
      <c r="H50" s="196"/>
      <c r="I50" s="197"/>
      <c r="J50" s="198"/>
      <c r="K50" s="17"/>
      <c r="L50" s="17"/>
      <c r="M50" s="17"/>
      <c r="N50" s="17"/>
      <c r="O50" s="17"/>
      <c r="P50" s="17"/>
      <c r="Q50" s="17"/>
      <c r="R50" s="17"/>
      <c r="S50" s="17"/>
      <c r="T50" s="17"/>
      <c r="U50" s="17"/>
      <c r="V50" s="17"/>
    </row>
    <row r="51" spans="1:22" ht="12.75" x14ac:dyDescent="0.15">
      <c r="A51" s="199"/>
      <c r="B51" s="200"/>
      <c r="C51" s="200"/>
      <c r="D51" s="201"/>
      <c r="E51" s="201"/>
      <c r="F51" s="201"/>
      <c r="G51" s="201"/>
      <c r="H51" s="202"/>
      <c r="I51" s="203"/>
      <c r="J51" s="198"/>
      <c r="K51" s="17"/>
      <c r="L51" s="17"/>
      <c r="M51" s="17"/>
      <c r="N51" s="17"/>
      <c r="O51" s="17"/>
      <c r="P51" s="17"/>
      <c r="Q51" s="17"/>
      <c r="R51" s="17"/>
      <c r="S51" s="17"/>
      <c r="T51" s="17"/>
      <c r="U51" s="17"/>
      <c r="V51" s="17"/>
    </row>
    <row r="52" spans="1:22" ht="12.75" x14ac:dyDescent="0.15">
      <c r="A52" s="195"/>
      <c r="B52" s="195"/>
      <c r="C52" s="195"/>
      <c r="D52" s="190"/>
      <c r="E52" s="190"/>
      <c r="F52" s="190"/>
      <c r="G52" s="190"/>
      <c r="H52" s="196"/>
      <c r="I52" s="18"/>
      <c r="J52" s="198"/>
      <c r="K52" s="17"/>
      <c r="L52" s="17"/>
      <c r="M52" s="17"/>
      <c r="N52" s="17"/>
      <c r="O52" s="17"/>
      <c r="P52" s="17"/>
      <c r="Q52" s="17"/>
      <c r="R52" s="17"/>
      <c r="S52" s="17"/>
      <c r="T52" s="17"/>
      <c r="U52" s="17"/>
      <c r="V52" s="17"/>
    </row>
    <row r="53" spans="1:22" ht="12.75" x14ac:dyDescent="0.15">
      <c r="A53" s="18"/>
      <c r="B53" s="18"/>
      <c r="C53" s="18"/>
      <c r="D53" s="18"/>
      <c r="E53" s="18"/>
      <c r="F53" s="204" t="s">
        <v>116</v>
      </c>
      <c r="G53" s="205"/>
      <c r="H53" s="205"/>
      <c r="I53" s="206" t="s">
        <v>117</v>
      </c>
      <c r="J53" s="198"/>
      <c r="K53" s="17"/>
      <c r="L53" s="17"/>
      <c r="M53" s="17"/>
      <c r="N53" s="17"/>
      <c r="O53" s="17"/>
      <c r="P53" s="17"/>
      <c r="Q53" s="17"/>
      <c r="R53" s="17"/>
      <c r="S53" s="17"/>
      <c r="T53" s="17"/>
      <c r="U53" s="17"/>
      <c r="V53" s="17"/>
    </row>
    <row r="54" spans="1:22" ht="12.75" x14ac:dyDescent="0.15">
      <c r="A54" s="18"/>
      <c r="B54" s="207" t="s">
        <v>118</v>
      </c>
      <c r="C54" s="18"/>
      <c r="D54" s="18"/>
      <c r="E54" s="18"/>
      <c r="F54" s="18"/>
      <c r="G54" s="18"/>
      <c r="H54" s="18"/>
      <c r="I54" s="18"/>
      <c r="J54" s="198"/>
      <c r="K54" s="17"/>
      <c r="L54" s="17"/>
      <c r="M54" s="17"/>
      <c r="N54" s="17"/>
      <c r="O54" s="17"/>
      <c r="P54" s="17"/>
      <c r="Q54" s="17"/>
      <c r="R54" s="17"/>
      <c r="S54" s="17"/>
      <c r="T54" s="17"/>
      <c r="U54" s="17"/>
      <c r="V54" s="17"/>
    </row>
    <row r="55" spans="1:22" ht="12.75" x14ac:dyDescent="0.15">
      <c r="A55" s="18"/>
      <c r="B55" s="18"/>
      <c r="C55" s="18"/>
      <c r="D55" s="18"/>
      <c r="E55" s="18"/>
      <c r="F55" s="18"/>
      <c r="G55" s="18"/>
      <c r="H55" s="18"/>
      <c r="I55" s="18"/>
      <c r="J55" s="198"/>
      <c r="K55" s="17"/>
      <c r="L55" s="17"/>
      <c r="M55" s="17"/>
      <c r="N55" s="17"/>
      <c r="O55" s="17"/>
      <c r="P55" s="17"/>
      <c r="Q55" s="17"/>
      <c r="R55" s="17"/>
      <c r="S55" s="17"/>
      <c r="T55" s="17"/>
      <c r="U55" s="17"/>
      <c r="V55" s="17"/>
    </row>
    <row r="56" spans="1:22" ht="12.75" x14ac:dyDescent="0.15">
      <c r="A56" s="18"/>
      <c r="B56" s="205"/>
      <c r="C56" s="205"/>
      <c r="D56" s="205"/>
      <c r="E56" s="205"/>
      <c r="F56" s="205"/>
      <c r="G56" s="205"/>
      <c r="H56" s="205"/>
      <c r="I56" s="206" t="s">
        <v>119</v>
      </c>
      <c r="J56" s="198"/>
      <c r="K56" s="17"/>
      <c r="L56" s="17"/>
      <c r="M56" s="17"/>
      <c r="N56" s="17"/>
      <c r="O56" s="17"/>
      <c r="P56" s="17"/>
      <c r="Q56" s="17"/>
      <c r="R56" s="17"/>
      <c r="S56" s="17"/>
      <c r="T56" s="17"/>
      <c r="U56" s="17"/>
      <c r="V56" s="17"/>
    </row>
    <row r="57" spans="1:22" ht="12.75" x14ac:dyDescent="0.15">
      <c r="A57" s="18"/>
      <c r="B57" s="207" t="s">
        <v>120</v>
      </c>
      <c r="C57" s="18"/>
      <c r="D57" s="18"/>
      <c r="E57" s="18"/>
      <c r="F57" s="18"/>
      <c r="G57" s="18"/>
      <c r="H57" s="18"/>
      <c r="I57" s="18"/>
      <c r="J57" s="198"/>
      <c r="K57" s="17"/>
      <c r="L57" s="17"/>
      <c r="M57" s="17"/>
      <c r="N57" s="17"/>
      <c r="O57" s="17"/>
      <c r="P57" s="17"/>
      <c r="Q57" s="17"/>
      <c r="R57" s="17"/>
      <c r="S57" s="17"/>
      <c r="T57" s="17"/>
      <c r="U57" s="17"/>
      <c r="V57" s="17"/>
    </row>
    <row r="58" spans="1:22" ht="12.75" x14ac:dyDescent="0.15">
      <c r="A58" s="18"/>
      <c r="B58" s="207"/>
      <c r="C58" s="18"/>
      <c r="D58" s="18"/>
      <c r="E58" s="18"/>
      <c r="F58" s="18"/>
      <c r="G58" s="18"/>
      <c r="H58" s="18"/>
      <c r="I58" s="18"/>
      <c r="J58" s="198"/>
      <c r="K58" s="17"/>
      <c r="L58" s="17"/>
      <c r="M58" s="17"/>
      <c r="N58" s="17"/>
      <c r="O58" s="17"/>
      <c r="P58" s="17"/>
      <c r="Q58" s="17"/>
      <c r="R58" s="17"/>
      <c r="S58" s="17"/>
      <c r="T58" s="17"/>
      <c r="U58" s="17"/>
      <c r="V58" s="17"/>
    </row>
    <row r="59" spans="1:22" ht="12.75" x14ac:dyDescent="0.15">
      <c r="A59" s="18"/>
      <c r="B59" s="205"/>
      <c r="C59" s="205"/>
      <c r="D59" s="205"/>
      <c r="E59" s="205"/>
      <c r="F59" s="205"/>
      <c r="G59" s="205"/>
      <c r="H59" s="205"/>
      <c r="I59" s="206" t="s">
        <v>119</v>
      </c>
      <c r="J59" s="198"/>
      <c r="K59" s="17"/>
      <c r="L59" s="17"/>
      <c r="M59" s="17"/>
      <c r="N59" s="17"/>
      <c r="O59" s="17"/>
      <c r="P59" s="17"/>
      <c r="Q59" s="17"/>
      <c r="R59" s="17"/>
      <c r="S59" s="17"/>
      <c r="T59" s="17"/>
      <c r="U59" s="17"/>
      <c r="V59" s="17"/>
    </row>
    <row r="60" spans="1:22" ht="12.75" x14ac:dyDescent="0.15">
      <c r="A60" s="18"/>
      <c r="B60" s="18"/>
      <c r="C60" s="18"/>
      <c r="D60" s="18"/>
      <c r="E60" s="18"/>
      <c r="F60" s="18"/>
      <c r="G60" s="18"/>
      <c r="H60" s="18"/>
      <c r="I60" s="18"/>
      <c r="J60" s="198"/>
      <c r="K60" s="17"/>
      <c r="L60" s="17"/>
      <c r="M60" s="17"/>
      <c r="N60" s="17"/>
      <c r="O60" s="17"/>
      <c r="P60" s="17"/>
      <c r="Q60" s="17"/>
      <c r="R60" s="17"/>
      <c r="S60" s="17"/>
      <c r="T60" s="17"/>
      <c r="U60" s="17"/>
      <c r="V60" s="17"/>
    </row>
    <row r="61" spans="1:22" ht="12.75" x14ac:dyDescent="0.15">
      <c r="A61" s="18"/>
      <c r="B61" s="207"/>
      <c r="C61" s="208"/>
      <c r="D61" s="209"/>
      <c r="E61" s="209"/>
      <c r="F61" s="210"/>
      <c r="G61" s="18"/>
      <c r="H61" s="18"/>
      <c r="I61" s="18"/>
      <c r="J61" s="198"/>
      <c r="K61" s="17"/>
      <c r="L61" s="17"/>
      <c r="M61" s="17"/>
      <c r="N61" s="17"/>
      <c r="O61" s="17"/>
      <c r="P61" s="17"/>
      <c r="Q61" s="17"/>
      <c r="R61" s="17"/>
      <c r="S61" s="17"/>
      <c r="T61" s="17"/>
      <c r="U61" s="17"/>
      <c r="V61" s="17"/>
    </row>
    <row r="62" spans="1:22" ht="18.75" x14ac:dyDescent="0.15">
      <c r="A62" s="211" t="s">
        <v>121</v>
      </c>
      <c r="B62" s="212"/>
      <c r="C62" s="212"/>
      <c r="D62" s="213"/>
      <c r="E62" s="213"/>
      <c r="F62" s="214"/>
      <c r="G62" s="214"/>
      <c r="H62" s="214"/>
      <c r="I62" s="214"/>
      <c r="J62" s="215"/>
      <c r="K62" s="17"/>
      <c r="L62" s="17"/>
      <c r="M62" s="17"/>
      <c r="N62" s="17"/>
      <c r="O62" s="17"/>
      <c r="P62" s="17"/>
      <c r="Q62" s="17"/>
      <c r="R62" s="17"/>
      <c r="S62" s="17"/>
      <c r="T62" s="17"/>
      <c r="U62" s="17"/>
      <c r="V62" s="17"/>
    </row>
    <row r="63" spans="1:22" ht="14.25" customHeight="1" thickBot="1" x14ac:dyDescent="0.2">
      <c r="A63" s="216" t="s">
        <v>122</v>
      </c>
      <c r="B63" s="217"/>
      <c r="C63" s="218"/>
      <c r="D63" s="219">
        <f ca="1">ROUND(C42*F63,0)</f>
        <v>131273</v>
      </c>
      <c r="E63" s="220" t="s">
        <v>123</v>
      </c>
      <c r="F63" s="221">
        <v>0.6</v>
      </c>
      <c r="G63" s="222" t="s">
        <v>124</v>
      </c>
      <c r="H63" s="16"/>
      <c r="I63" s="16"/>
      <c r="J63" s="17"/>
      <c r="K63" s="17"/>
      <c r="L63" s="17"/>
      <c r="M63" s="17"/>
      <c r="N63" s="17"/>
      <c r="O63" s="17"/>
      <c r="P63" s="16"/>
      <c r="Q63" s="17"/>
      <c r="R63" s="17"/>
      <c r="S63" s="17"/>
      <c r="T63" s="17"/>
      <c r="U63" s="17"/>
      <c r="V63" s="17"/>
    </row>
    <row r="64" spans="1:22" ht="14.25" customHeight="1" x14ac:dyDescent="0.15">
      <c r="A64" s="223" t="s">
        <v>125</v>
      </c>
      <c r="B64" s="224"/>
      <c r="C64" s="224"/>
      <c r="D64" s="224"/>
      <c r="E64" s="224"/>
      <c r="F64" s="224"/>
      <c r="G64" s="225"/>
      <c r="H64" s="226"/>
      <c r="I64" s="32"/>
      <c r="J64" s="227"/>
      <c r="K64" s="228" t="s">
        <v>126</v>
      </c>
      <c r="L64" s="229"/>
      <c r="M64" s="229"/>
      <c r="N64" s="229"/>
      <c r="O64" s="229"/>
      <c r="P64" s="16"/>
      <c r="Q64" s="17"/>
      <c r="R64" s="17"/>
      <c r="S64" s="17"/>
      <c r="T64" s="17"/>
      <c r="U64" s="17"/>
      <c r="V64" s="17"/>
    </row>
    <row r="65" spans="1:22" ht="12" customHeight="1" x14ac:dyDescent="0.15">
      <c r="A65" s="230" t="s">
        <v>127</v>
      </c>
      <c r="B65" s="231"/>
      <c r="C65" s="232"/>
      <c r="D65" s="233" t="s">
        <v>128</v>
      </c>
      <c r="E65" s="234" t="s">
        <v>129</v>
      </c>
      <c r="F65" s="235" t="s">
        <v>130</v>
      </c>
      <c r="G65" s="236" t="s">
        <v>131</v>
      </c>
      <c r="H65" s="226"/>
      <c r="I65" s="32"/>
      <c r="J65" s="227"/>
      <c r="K65" s="237"/>
      <c r="L65" s="238"/>
      <c r="M65" s="238"/>
      <c r="N65" s="239" t="s">
        <v>132</v>
      </c>
      <c r="O65" s="240"/>
      <c r="P65" s="241"/>
      <c r="Q65" s="17"/>
      <c r="R65" s="17"/>
      <c r="S65" s="17"/>
      <c r="T65" s="17"/>
      <c r="U65" s="17"/>
      <c r="V65" s="17"/>
    </row>
    <row r="66" spans="1:22" ht="25.5" x14ac:dyDescent="0.15">
      <c r="A66" s="242" t="s">
        <v>133</v>
      </c>
      <c r="B66" s="243"/>
      <c r="C66" s="243"/>
      <c r="D66" s="37">
        <f ca="1">IF(H66="情况1",0,IF(H66="情况2",D70,IF(H66="情况3",D71,IF(H66="情况4",D72))))</f>
        <v>7001</v>
      </c>
      <c r="E66" s="244" t="str">
        <f>IF(H66="情况4","(销售额-原购置价)×税（费）率","销售额×税（费）率")</f>
        <v>销售额×税（费）率</v>
      </c>
      <c r="F66" s="245">
        <f>IF(H66="情况1","免征",'[1]数据-取费表'!B41)</f>
        <v>5.6000000000000001E-2</v>
      </c>
      <c r="G66" s="246" t="s">
        <v>134</v>
      </c>
      <c r="H66" s="247" t="s">
        <v>135</v>
      </c>
      <c r="I66" s="226"/>
      <c r="J66" s="248"/>
      <c r="K66" s="249">
        <v>1</v>
      </c>
      <c r="L66" s="250" t="s">
        <v>136</v>
      </c>
      <c r="M66" s="251"/>
      <c r="N66" s="252"/>
      <c r="O66" s="253"/>
      <c r="P66" s="254"/>
      <c r="Q66" s="17"/>
      <c r="R66" s="17"/>
      <c r="S66" s="17"/>
      <c r="T66" s="17"/>
      <c r="U66" s="17"/>
      <c r="V66" s="17"/>
    </row>
    <row r="67" spans="1:22" ht="25.5" customHeight="1" x14ac:dyDescent="0.15">
      <c r="A67" s="255" t="s">
        <v>137</v>
      </c>
      <c r="B67" s="256" t="s">
        <v>138</v>
      </c>
      <c r="C67" s="256"/>
      <c r="D67" s="257">
        <v>0</v>
      </c>
      <c r="E67" s="258" t="s">
        <v>139</v>
      </c>
      <c r="F67" s="259" t="s">
        <v>112</v>
      </c>
      <c r="G67" s="260"/>
      <c r="H67" s="16"/>
      <c r="I67" s="261"/>
      <c r="J67" s="262"/>
      <c r="K67" s="263">
        <v>2</v>
      </c>
      <c r="L67" s="264" t="s">
        <v>140</v>
      </c>
      <c r="M67" s="264"/>
      <c r="N67" s="265">
        <f>'[1]数据-取费表'!B2</f>
        <v>43602</v>
      </c>
      <c r="O67" s="265"/>
      <c r="P67" s="265"/>
      <c r="Q67" s="17"/>
      <c r="R67" s="17"/>
      <c r="S67" s="17"/>
      <c r="T67" s="17"/>
      <c r="U67" s="17"/>
      <c r="V67" s="17"/>
    </row>
    <row r="68" spans="1:22" ht="25.5" customHeight="1" x14ac:dyDescent="0.15">
      <c r="A68" s="266"/>
      <c r="B68" s="256" t="s">
        <v>141</v>
      </c>
      <c r="C68" s="256"/>
      <c r="D68" s="267"/>
      <c r="E68" s="268"/>
      <c r="F68" s="269"/>
      <c r="G68" s="270"/>
      <c r="H68" s="16"/>
      <c r="I68" s="261"/>
      <c r="J68" s="262"/>
      <c r="K68" s="263">
        <v>3</v>
      </c>
      <c r="L68" s="264" t="s">
        <v>142</v>
      </c>
      <c r="M68" s="264"/>
      <c r="N68" s="271">
        <f ca="1">C42</f>
        <v>218788</v>
      </c>
      <c r="O68" s="271"/>
      <c r="P68" s="271"/>
      <c r="Q68" s="17"/>
      <c r="R68" s="17"/>
      <c r="S68" s="17"/>
      <c r="T68" s="17"/>
      <c r="U68" s="17"/>
      <c r="V68" s="17"/>
    </row>
    <row r="69" spans="1:22" ht="12" customHeight="1" x14ac:dyDescent="0.15">
      <c r="A69" s="272"/>
      <c r="B69" s="256" t="s">
        <v>143</v>
      </c>
      <c r="C69" s="256"/>
      <c r="D69" s="273"/>
      <c r="E69" s="274"/>
      <c r="F69" s="269"/>
      <c r="G69" s="275"/>
      <c r="H69" s="16"/>
      <c r="I69" s="261"/>
      <c r="J69" s="262"/>
      <c r="K69" s="276">
        <v>4</v>
      </c>
      <c r="L69" s="277" t="s">
        <v>144</v>
      </c>
      <c r="M69" s="278"/>
      <c r="N69" s="279">
        <f ca="1">C44</f>
        <v>218788</v>
      </c>
      <c r="O69" s="279"/>
      <c r="P69" s="279"/>
      <c r="Q69" s="17"/>
      <c r="R69" s="17"/>
      <c r="S69" s="17"/>
      <c r="T69" s="17"/>
      <c r="U69" s="17"/>
      <c r="V69" s="17"/>
    </row>
    <row r="70" spans="1:22" ht="24" customHeight="1" x14ac:dyDescent="0.15">
      <c r="A70" s="280" t="s">
        <v>145</v>
      </c>
      <c r="B70" s="256" t="s">
        <v>146</v>
      </c>
      <c r="C70" s="256"/>
      <c r="D70" s="273">
        <f ca="1">ROUND(D63*'[1]数据-取费表'!B41/(1+'[1]数据-取费表'!C42),0)</f>
        <v>7001</v>
      </c>
      <c r="E70" s="281" t="s">
        <v>147</v>
      </c>
      <c r="F70" s="282">
        <f>'[1]数据-取费表'!B41</f>
        <v>5.6000000000000001E-2</v>
      </c>
      <c r="G70" s="283"/>
      <c r="H70" s="16"/>
      <c r="I70" s="261"/>
      <c r="J70" s="262"/>
      <c r="K70" s="284"/>
      <c r="L70" s="285"/>
      <c r="M70" s="285"/>
      <c r="N70" s="286" t="s">
        <v>125</v>
      </c>
      <c r="O70" s="285"/>
      <c r="P70" s="287"/>
      <c r="Q70" s="17"/>
      <c r="R70" s="17"/>
      <c r="S70" s="17"/>
      <c r="T70" s="17"/>
      <c r="U70" s="17"/>
      <c r="V70" s="17"/>
    </row>
    <row r="71" spans="1:22" ht="12" customHeight="1" x14ac:dyDescent="0.15">
      <c r="A71" s="280" t="s">
        <v>148</v>
      </c>
      <c r="B71" s="288" t="s">
        <v>149</v>
      </c>
      <c r="C71" s="289"/>
      <c r="D71" s="273">
        <f ca="1">ROUND(D63*'[1]数据-取费表'!B41/(1+'[1]数据-取费表'!C42),0)</f>
        <v>7001</v>
      </c>
      <c r="E71" s="281" t="s">
        <v>147</v>
      </c>
      <c r="F71" s="282">
        <f>'[1]数据-取费表'!B41</f>
        <v>5.6000000000000001E-2</v>
      </c>
      <c r="G71" s="283"/>
      <c r="H71" s="16"/>
      <c r="I71" s="261"/>
      <c r="J71" s="262"/>
      <c r="K71" s="290" t="s">
        <v>150</v>
      </c>
      <c r="L71" s="291" t="s">
        <v>151</v>
      </c>
      <c r="M71" s="291"/>
      <c r="N71" s="290" t="s">
        <v>152</v>
      </c>
      <c r="O71" s="290" t="s">
        <v>153</v>
      </c>
      <c r="P71" s="290" t="s">
        <v>154</v>
      </c>
      <c r="Q71" s="17"/>
      <c r="R71" s="17"/>
      <c r="S71" s="17"/>
      <c r="T71" s="17"/>
      <c r="U71" s="17"/>
      <c r="V71" s="17"/>
    </row>
    <row r="72" spans="1:22" ht="12" customHeight="1" x14ac:dyDescent="0.15">
      <c r="A72" s="280" t="s">
        <v>155</v>
      </c>
      <c r="B72" s="288" t="s">
        <v>156</v>
      </c>
      <c r="C72" s="289"/>
      <c r="D72" s="273">
        <f ca="1">C86</f>
        <v>6889</v>
      </c>
      <c r="E72" s="274" t="s">
        <v>157</v>
      </c>
      <c r="F72" s="282">
        <f>'[1]数据-取费表'!B41</f>
        <v>5.6000000000000001E-2</v>
      </c>
      <c r="G72" s="283"/>
      <c r="H72" s="292"/>
      <c r="I72" s="261"/>
      <c r="J72" s="262"/>
      <c r="K72" s="263">
        <v>1</v>
      </c>
      <c r="L72" s="293" t="s">
        <v>158</v>
      </c>
      <c r="M72" s="293"/>
      <c r="N72" s="294">
        <f ca="1">D66</f>
        <v>7001</v>
      </c>
      <c r="O72" s="295" t="str">
        <f>E66</f>
        <v>销售额×税（费）率</v>
      </c>
      <c r="P72" s="296">
        <f>F66</f>
        <v>5.6000000000000001E-2</v>
      </c>
      <c r="Q72" s="17"/>
      <c r="R72" s="17"/>
      <c r="S72" s="17"/>
      <c r="T72" s="17"/>
      <c r="U72" s="17"/>
      <c r="V72" s="17"/>
    </row>
    <row r="73" spans="1:22" ht="24" customHeight="1" x14ac:dyDescent="0.15">
      <c r="A73" s="297" t="s">
        <v>159</v>
      </c>
      <c r="B73" s="243"/>
      <c r="C73" s="243"/>
      <c r="D73" s="298">
        <f>IF(H73="个人住宅",0,ROUND(D63*I73,0))</f>
        <v>0</v>
      </c>
      <c r="E73" s="281" t="s">
        <v>160</v>
      </c>
      <c r="F73" s="282" t="str">
        <f>IF(H73="正常",I73,"免征")</f>
        <v>免征</v>
      </c>
      <c r="G73" s="283"/>
      <c r="H73" s="247" t="s">
        <v>161</v>
      </c>
      <c r="I73" s="282">
        <f>'[1]数据-取费表'!B49</f>
        <v>5.0000000000000001E-4</v>
      </c>
      <c r="J73" s="262"/>
      <c r="K73" s="263">
        <v>2</v>
      </c>
      <c r="L73" s="293" t="s">
        <v>162</v>
      </c>
      <c r="M73" s="293"/>
      <c r="N73" s="294">
        <f t="shared" ref="N73:P74" si="1">D73</f>
        <v>0</v>
      </c>
      <c r="O73" s="295" t="str">
        <f t="shared" si="1"/>
        <v>销售额×税（费）率</v>
      </c>
      <c r="P73" s="296" t="str">
        <f t="shared" si="1"/>
        <v>免征</v>
      </c>
      <c r="Q73" s="17"/>
      <c r="R73" s="17"/>
      <c r="S73" s="17"/>
      <c r="T73" s="17"/>
      <c r="U73" s="17"/>
      <c r="V73" s="17"/>
    </row>
    <row r="74" spans="1:22" ht="24.75" x14ac:dyDescent="0.15">
      <c r="A74" s="297" t="s">
        <v>163</v>
      </c>
      <c r="B74" s="243"/>
      <c r="C74" s="243"/>
      <c r="D74" s="298">
        <f ca="1">IF(H74="个人住宅",D75,D76)</f>
        <v>73645</v>
      </c>
      <c r="E74" s="281" t="s">
        <v>164</v>
      </c>
      <c r="F74" s="282" t="str">
        <f>IF(H74="正常",F76,"免征")</f>
        <v>——</v>
      </c>
      <c r="G74" s="299" t="s">
        <v>134</v>
      </c>
      <c r="H74" s="300" t="s">
        <v>165</v>
      </c>
      <c r="I74" s="301"/>
      <c r="J74" s="262"/>
      <c r="K74" s="263">
        <v>3</v>
      </c>
      <c r="L74" s="293" t="s">
        <v>166</v>
      </c>
      <c r="M74" s="293"/>
      <c r="N74" s="294">
        <f t="shared" ca="1" si="1"/>
        <v>73645</v>
      </c>
      <c r="O74" s="295" t="str">
        <f t="shared" si="1"/>
        <v>增值额×税（费）率</v>
      </c>
      <c r="P74" s="302" t="str">
        <f t="shared" si="1"/>
        <v>——</v>
      </c>
      <c r="Q74" s="17"/>
      <c r="R74" s="17"/>
      <c r="S74" s="17"/>
      <c r="T74" s="17"/>
      <c r="U74" s="17"/>
      <c r="V74" s="17"/>
    </row>
    <row r="75" spans="1:22" ht="24" x14ac:dyDescent="0.15">
      <c r="A75" s="280" t="s">
        <v>137</v>
      </c>
      <c r="B75" s="29" t="s">
        <v>167</v>
      </c>
      <c r="C75" s="31"/>
      <c r="D75" s="303">
        <v>0</v>
      </c>
      <c r="E75" s="258" t="s">
        <v>139</v>
      </c>
      <c r="F75" s="304"/>
      <c r="G75" s="283"/>
      <c r="H75" s="301"/>
      <c r="I75" s="301"/>
      <c r="J75" s="262"/>
      <c r="K75" s="263">
        <f>IF(H77="非个人房产","",4)</f>
        <v>4</v>
      </c>
      <c r="L75" s="293" t="str">
        <f>IF(H77="非个人房产","——","个人所得税")</f>
        <v>个人所得税</v>
      </c>
      <c r="M75" s="293"/>
      <c r="N75" s="305">
        <f ca="1">D77</f>
        <v>1313</v>
      </c>
      <c r="O75" s="306" t="str">
        <f>E77</f>
        <v>销售额×税（费）率</v>
      </c>
      <c r="P75" s="307">
        <f>F77</f>
        <v>0.01</v>
      </c>
      <c r="Q75" s="17"/>
      <c r="R75" s="17"/>
      <c r="S75" s="17"/>
      <c r="T75" s="17"/>
      <c r="U75" s="17"/>
      <c r="V75" s="17"/>
    </row>
    <row r="76" spans="1:22" ht="24.75" x14ac:dyDescent="0.15">
      <c r="A76" s="280" t="s">
        <v>145</v>
      </c>
      <c r="B76" s="29" t="s">
        <v>168</v>
      </c>
      <c r="C76" s="30"/>
      <c r="D76" s="298">
        <f ca="1">IF(H76="转让取得",C99,C115)</f>
        <v>73645</v>
      </c>
      <c r="E76" s="281" t="s">
        <v>164</v>
      </c>
      <c r="F76" s="234" t="s">
        <v>112</v>
      </c>
      <c r="G76" s="283"/>
      <c r="H76" s="300" t="s">
        <v>169</v>
      </c>
      <c r="I76" s="301"/>
      <c r="J76" s="262"/>
      <c r="K76" s="263" t="str">
        <f>IF([1]项目基本情况!K6="上海银行",IF(K75="",4,K75+1),"")</f>
        <v/>
      </c>
      <c r="L76" s="308" t="str">
        <f>IF([1]项目基本情况!K6="上海银行","其他处置费用","")</f>
        <v/>
      </c>
      <c r="M76" s="309"/>
      <c r="N76" s="294" t="str">
        <f>IF([1]项目基本情况!K6="上海银行",N89,"")</f>
        <v/>
      </c>
      <c r="O76" s="310" t="str">
        <f>IF([1]项目基本情况!K6="上海银行","包含处置中涉及的律师、诉讼、拍卖、评估等费用","")</f>
        <v/>
      </c>
      <c r="P76" s="311"/>
      <c r="Q76" s="17"/>
      <c r="R76" s="17"/>
      <c r="S76" s="17"/>
      <c r="T76" s="17"/>
      <c r="U76" s="17"/>
      <c r="V76" s="17"/>
    </row>
    <row r="77" spans="1:22" ht="26.25" thickBot="1" x14ac:dyDescent="0.2">
      <c r="A77" s="312" t="s">
        <v>170</v>
      </c>
      <c r="B77" s="313"/>
      <c r="C77" s="313"/>
      <c r="D77" s="314">
        <f ca="1">IF(H77="非个人房产","——",IF(H77="个人住宅",0,ROUND(D63*I77,0)))</f>
        <v>1313</v>
      </c>
      <c r="E77" s="315" t="str">
        <f>IF(H77="非个人房产","——","销售额×税（费）率")</f>
        <v>销售额×税（费）率</v>
      </c>
      <c r="F77" s="316">
        <f>IF(H77="非个人房产","——",IF(H77="个人住宅","免征",I77))</f>
        <v>0.01</v>
      </c>
      <c r="G77" s="317" t="s">
        <v>134</v>
      </c>
      <c r="H77" s="300" t="s">
        <v>171</v>
      </c>
      <c r="I77" s="318">
        <v>0.01</v>
      </c>
      <c r="J77" s="262"/>
      <c r="K77" s="319">
        <f>IF(AND(K75="",K76=""),4,IF([1]项目基本情况!K6="上海银行",K76+1,K75+1))</f>
        <v>5</v>
      </c>
      <c r="L77" s="293" t="s">
        <v>172</v>
      </c>
      <c r="M77" s="320" t="s">
        <v>173</v>
      </c>
      <c r="N77" s="321"/>
      <c r="O77" s="322">
        <f ca="1">SUMIF(N72:N76,"&lt;9e307")</f>
        <v>81959</v>
      </c>
      <c r="P77" s="323"/>
      <c r="Q77" s="324">
        <f ca="1">O77/N69</f>
        <v>0.37460464010823263</v>
      </c>
      <c r="R77" s="17"/>
      <c r="S77" s="17"/>
      <c r="T77" s="17"/>
      <c r="U77" s="17"/>
      <c r="V77" s="17"/>
    </row>
    <row r="78" spans="1:22" ht="12" customHeight="1" x14ac:dyDescent="0.15">
      <c r="A78" s="325"/>
      <c r="B78" s="16"/>
      <c r="C78" s="16"/>
      <c r="D78" s="16"/>
      <c r="E78" s="301"/>
      <c r="F78" s="301"/>
      <c r="G78" s="301"/>
      <c r="H78" s="326"/>
      <c r="I78" s="16"/>
      <c r="J78" s="262"/>
      <c r="K78" s="319"/>
      <c r="L78" s="293"/>
      <c r="M78" s="320" t="s">
        <v>174</v>
      </c>
      <c r="N78" s="321"/>
      <c r="O78" s="322" t="str">
        <f ca="1">NUMBERSTRING(INT(O77*10000),2)&amp;"元整"</f>
        <v>捌亿壹仟玖佰伍拾玖万元整</v>
      </c>
      <c r="P78" s="323"/>
      <c r="Q78" s="17"/>
      <c r="R78" s="17"/>
      <c r="S78" s="17"/>
      <c r="T78" s="17"/>
      <c r="U78" s="17"/>
      <c r="V78" s="17"/>
    </row>
    <row r="79" spans="1:22" ht="13.5" thickBot="1" x14ac:dyDescent="0.2">
      <c r="A79" s="327" t="s">
        <v>175</v>
      </c>
      <c r="B79" s="327"/>
      <c r="C79" s="327"/>
      <c r="D79" s="327"/>
      <c r="E79" s="327"/>
      <c r="F79" s="301"/>
      <c r="G79" s="301"/>
      <c r="H79" s="326"/>
      <c r="I79" s="16"/>
      <c r="J79" s="262"/>
      <c r="K79" s="328">
        <f>K77+1</f>
        <v>6</v>
      </c>
      <c r="L79" s="293" t="s">
        <v>176</v>
      </c>
      <c r="M79" s="320" t="s">
        <v>173</v>
      </c>
      <c r="N79" s="321"/>
      <c r="O79" s="322">
        <f ca="1">N69-O77</f>
        <v>136829</v>
      </c>
      <c r="P79" s="323"/>
      <c r="Q79" s="17"/>
      <c r="R79" s="17"/>
      <c r="S79" s="17"/>
      <c r="T79" s="17"/>
      <c r="U79" s="17"/>
      <c r="V79" s="17"/>
    </row>
    <row r="80" spans="1:22" ht="25.5" x14ac:dyDescent="0.15">
      <c r="A80" s="329" t="s">
        <v>177</v>
      </c>
      <c r="B80" s="330"/>
      <c r="C80" s="331"/>
      <c r="D80" s="331" t="s">
        <v>178</v>
      </c>
      <c r="E80" s="332" t="s">
        <v>131</v>
      </c>
      <c r="F80" s="301"/>
      <c r="G80" s="301"/>
      <c r="H80" s="326"/>
      <c r="I80" s="16"/>
      <c r="J80" s="17"/>
      <c r="K80" s="333"/>
      <c r="L80" s="293"/>
      <c r="M80" s="320" t="s">
        <v>174</v>
      </c>
      <c r="N80" s="321"/>
      <c r="O80" s="322" t="str">
        <f ca="1">NUMBERSTRING(INT(O79*10000),2)&amp;"元整"</f>
        <v>壹拾叁亿陆仟捌佰贰拾玖万元整</v>
      </c>
      <c r="P80" s="323"/>
      <c r="Q80" s="17"/>
      <c r="R80" s="17"/>
      <c r="S80" s="17"/>
      <c r="T80" s="17"/>
      <c r="U80" s="17"/>
      <c r="V80" s="17"/>
    </row>
    <row r="81" spans="1:26" ht="13.5" thickBot="1" x14ac:dyDescent="0.2">
      <c r="A81" s="334" t="s">
        <v>179</v>
      </c>
      <c r="B81" s="335" t="s">
        <v>180</v>
      </c>
      <c r="C81" s="336">
        <f ca="1">ROUND((C82+C83)/(1+'[1]数据-取费表'!C42),0)</f>
        <v>125022</v>
      </c>
      <c r="D81" s="337"/>
      <c r="E81" s="338"/>
      <c r="F81" s="301"/>
      <c r="G81" s="301"/>
      <c r="H81" s="326"/>
      <c r="I81" s="16"/>
      <c r="J81" s="17"/>
      <c r="K81" s="263">
        <f>K79+1</f>
        <v>7</v>
      </c>
      <c r="L81" s="339" t="s">
        <v>181</v>
      </c>
      <c r="M81" s="340"/>
      <c r="N81" s="341"/>
      <c r="O81" s="342">
        <f ca="1">ROUND(O79*10000/'[1]数据-汇总表'!E3,0)</f>
        <v>46710</v>
      </c>
      <c r="P81" s="343"/>
      <c r="Q81" s="17"/>
      <c r="R81" s="17"/>
      <c r="S81" s="17"/>
      <c r="T81" s="17"/>
      <c r="U81" s="17"/>
      <c r="V81" s="17"/>
    </row>
    <row r="82" spans="1:26" ht="13.5" thickTop="1" x14ac:dyDescent="0.15">
      <c r="A82" s="344" t="s">
        <v>182</v>
      </c>
      <c r="B82" s="345" t="s">
        <v>183</v>
      </c>
      <c r="C82" s="346">
        <f ca="1">D63</f>
        <v>131273</v>
      </c>
      <c r="D82" s="347" t="s">
        <v>112</v>
      </c>
      <c r="E82" s="348"/>
      <c r="F82" s="301"/>
      <c r="G82" s="301"/>
      <c r="H82" s="326"/>
      <c r="I82" s="16"/>
      <c r="J82" s="17"/>
      <c r="K82" s="17"/>
      <c r="L82" s="17"/>
      <c r="M82" s="17"/>
      <c r="N82" s="17"/>
      <c r="O82" s="17"/>
      <c r="P82" s="17"/>
      <c r="Q82" s="17"/>
      <c r="R82" s="17"/>
      <c r="S82" s="17"/>
      <c r="T82" s="17"/>
      <c r="U82" s="17"/>
      <c r="V82" s="17"/>
    </row>
    <row r="83" spans="1:26" ht="12.75" x14ac:dyDescent="0.15">
      <c r="A83" s="344" t="s">
        <v>184</v>
      </c>
      <c r="B83" s="345" t="s">
        <v>185</v>
      </c>
      <c r="C83" s="349">
        <v>0</v>
      </c>
      <c r="D83" s="347"/>
      <c r="E83" s="348"/>
      <c r="F83" s="301"/>
      <c r="G83" s="301"/>
      <c r="H83" s="326"/>
      <c r="I83" s="16"/>
      <c r="J83" s="17"/>
      <c r="K83" s="350" t="s">
        <v>186</v>
      </c>
      <c r="L83" s="351" t="s">
        <v>187</v>
      </c>
      <c r="M83" s="352">
        <f ca="1">IF(N69&gt;10000,N69*0.5%,IF(AND(N69&gt;1000,N69&lt;=10000),N69*1%,IF(AND(N69&gt;100,N69&lt;=1000),N69*3%,IF(AND(N69&gt;10,N69&lt;=100),N69*5%,N69*8%))))</f>
        <v>1093.94</v>
      </c>
      <c r="N83" s="234">
        <f ca="1">ROUND(M83,1)</f>
        <v>1093.9000000000001</v>
      </c>
      <c r="O83" s="353"/>
      <c r="P83" s="17"/>
      <c r="Q83" s="17"/>
      <c r="R83" s="17"/>
      <c r="S83" s="17"/>
      <c r="T83" s="17"/>
      <c r="U83" s="17"/>
      <c r="V83" s="17"/>
    </row>
    <row r="84" spans="1:26" ht="12.75" x14ac:dyDescent="0.15">
      <c r="A84" s="334" t="s">
        <v>188</v>
      </c>
      <c r="B84" s="354" t="s">
        <v>189</v>
      </c>
      <c r="C84" s="355">
        <v>2000</v>
      </c>
      <c r="D84" s="356" t="s">
        <v>112</v>
      </c>
      <c r="E84" s="357" t="s">
        <v>190</v>
      </c>
      <c r="F84" s="301"/>
      <c r="G84" s="301"/>
      <c r="H84" s="326"/>
      <c r="I84" s="16"/>
      <c r="J84" s="17"/>
      <c r="K84" s="350"/>
      <c r="L84" s="351" t="s">
        <v>191</v>
      </c>
      <c r="M84" s="352">
        <f ca="1">IF(N69&gt;2000,N69*0.5%,IF(AND(N69&gt;1000,N69&lt;=2000),N69*0.6%,IF(AND(N69&gt;500,N69&lt;=1000),N69*0.7%,IF(AND(N69&gt;200,N69&lt;=500),N69*0.8%,IF(AND(N69&gt;100,N69&lt;=200),N69*0.9%,IF(AND(N69&gt;50,N69&lt;=100),N69*1%,IF(AND(N69&gt;20,N69&lt;=50),N69*1.5%,IF(AND(N69&gt;10,N69&lt;=20),N69*2%,IF(AND(N69&gt;1,N69&lt;=10),N69*2.5%)))))))))</f>
        <v>1093.94</v>
      </c>
      <c r="N84" s="234">
        <f t="shared" ref="N84:N85" ca="1" si="2">ROUND(M84,1)</f>
        <v>1093.9000000000001</v>
      </c>
      <c r="O84" s="17" t="s">
        <v>192</v>
      </c>
      <c r="P84" s="17"/>
      <c r="Q84" s="17"/>
      <c r="R84" s="17"/>
      <c r="S84" s="17"/>
      <c r="T84" s="17"/>
      <c r="U84" s="17"/>
      <c r="V84" s="17"/>
    </row>
    <row r="85" spans="1:26" ht="12.75" x14ac:dyDescent="0.15">
      <c r="A85" s="334" t="s">
        <v>193</v>
      </c>
      <c r="B85" s="354" t="s">
        <v>194</v>
      </c>
      <c r="C85" s="358">
        <f ca="1">C81-C84</f>
        <v>123022</v>
      </c>
      <c r="D85" s="347" t="s">
        <v>112</v>
      </c>
      <c r="E85" s="348"/>
      <c r="F85" s="301"/>
      <c r="G85" s="301"/>
      <c r="H85" s="326"/>
      <c r="I85" s="16"/>
      <c r="J85" s="17"/>
      <c r="K85" s="350"/>
      <c r="L85" s="351" t="s">
        <v>195</v>
      </c>
      <c r="M85" s="352">
        <f ca="1">IF(N69&gt;1000,N69*0.1%,IF(AND(N69&gt;500,N69&lt;=1000),N69*0.5%,IF(AND(N69&gt;50,N69&lt;=500),N69*1%,IF(AND(N69&gt;1,N69&lt;=50),N69*1.5%))))</f>
        <v>218.78800000000001</v>
      </c>
      <c r="N85" s="234">
        <f t="shared" ca="1" si="2"/>
        <v>218.8</v>
      </c>
      <c r="O85" s="17" t="s">
        <v>192</v>
      </c>
      <c r="P85" s="17"/>
      <c r="Q85" s="17"/>
      <c r="R85" s="17"/>
      <c r="S85" s="17"/>
      <c r="T85" s="17"/>
      <c r="U85" s="17"/>
      <c r="V85" s="17"/>
    </row>
    <row r="86" spans="1:26" ht="13.5" thickBot="1" x14ac:dyDescent="0.2">
      <c r="A86" s="359" t="s">
        <v>196</v>
      </c>
      <c r="B86" s="360" t="s">
        <v>197</v>
      </c>
      <c r="C86" s="361">
        <f ca="1">IF(C85&lt;=0,0,ROUND(C85*D86,0))</f>
        <v>6889</v>
      </c>
      <c r="D86" s="362">
        <f>'[1]数据-取费表'!B41</f>
        <v>5.6000000000000001E-2</v>
      </c>
      <c r="E86" s="363"/>
      <c r="F86" s="301"/>
      <c r="G86" s="301"/>
      <c r="H86" s="326"/>
      <c r="I86" s="16"/>
      <c r="J86" s="17"/>
      <c r="K86" s="350"/>
      <c r="L86" s="351" t="s">
        <v>198</v>
      </c>
      <c r="M86" s="352">
        <f ca="1">N69*0.5%</f>
        <v>1093.94</v>
      </c>
      <c r="N86" s="234">
        <f ca="1">IF(M86&gt;0.5,0.5,ROUND(M86,0))</f>
        <v>0.5</v>
      </c>
      <c r="O86" s="17" t="s">
        <v>199</v>
      </c>
      <c r="P86" s="17"/>
      <c r="Q86" s="17"/>
      <c r="R86" s="17"/>
      <c r="S86" s="17"/>
      <c r="T86" s="17"/>
      <c r="U86" s="17"/>
      <c r="V86" s="17"/>
    </row>
    <row r="87" spans="1:26" s="93" customFormat="1" ht="14.25" customHeight="1" x14ac:dyDescent="0.15">
      <c r="A87" s="364"/>
      <c r="B87" s="365"/>
      <c r="C87" s="366"/>
      <c r="D87" s="367"/>
      <c r="E87" s="368"/>
      <c r="F87" s="301"/>
      <c r="G87" s="301"/>
      <c r="H87" s="326"/>
      <c r="I87" s="16"/>
      <c r="J87" s="17"/>
      <c r="K87" s="350"/>
      <c r="L87" s="351" t="s">
        <v>200</v>
      </c>
      <c r="M87" s="352">
        <f ca="1">IF(N69&gt;=10000,(8.25+(N69-10000)*0.01%),IF(AND(N69&gt;=8000,N69&lt;10000),(7.85+(N69-8000)*0.02%),IF(AND(N69&gt;=5000,N69&lt;8000),(6.65+(N69-5000)*0.04%),IF(AND(N69&gt;=2000,N69&lt;5000),(4.25+(PN69-2000)*0.08%),IF(AND(N69&gt;=1000,N69&lt;2000),(2.75+(N69-1000)*0.15%),IF(AND(N69&gt;=100,N69&lt;1000),(0.5+(N69-100)*0.25%),IF(AND(N69&gt;0,N69&lt;100),N69*0.5%)))))))</f>
        <v>29.128800000000002</v>
      </c>
      <c r="N87" s="234">
        <f ca="1">ROUND(M87*0.9,1)</f>
        <v>26.2</v>
      </c>
      <c r="O87" s="353"/>
      <c r="P87" s="16"/>
      <c r="Q87" s="17"/>
      <c r="R87" s="17"/>
      <c r="S87" s="17"/>
      <c r="T87" s="17"/>
      <c r="U87" s="17"/>
      <c r="V87" s="17"/>
      <c r="W87" s="92"/>
      <c r="X87" s="92"/>
      <c r="Y87" s="92"/>
      <c r="Z87" s="92"/>
    </row>
    <row r="88" spans="1:26" s="375" customFormat="1" ht="15" thickBot="1" x14ac:dyDescent="0.2">
      <c r="A88" s="369" t="s">
        <v>201</v>
      </c>
      <c r="B88" s="370"/>
      <c r="C88" s="370"/>
      <c r="D88" s="370"/>
      <c r="E88" s="370"/>
      <c r="F88" s="370"/>
      <c r="G88" s="370"/>
      <c r="H88" s="370"/>
      <c r="I88" s="371"/>
      <c r="J88" s="372"/>
      <c r="K88" s="350"/>
      <c r="L88" s="351" t="s">
        <v>202</v>
      </c>
      <c r="M88" s="352">
        <f ca="1">IF(N69&gt;10000,N69*0.5%,IF(AND(N69&gt;5000,N69&lt;=10000),N69*1%,IF(AND(N69&gt;1000,N69&lt;=5000),N69*2%,IF(AND(N69&gt;200,N69&lt;=1000),N69*3%,N69*5%))))</f>
        <v>1093.94</v>
      </c>
      <c r="N88" s="234">
        <f ca="1">ROUND(M88,1)</f>
        <v>1093.9000000000001</v>
      </c>
      <c r="O88" s="353"/>
      <c r="P88" s="229"/>
      <c r="Q88" s="373"/>
      <c r="R88" s="373"/>
      <c r="S88" s="373"/>
      <c r="T88" s="373"/>
      <c r="U88" s="373"/>
      <c r="V88" s="373"/>
      <c r="W88" s="374"/>
      <c r="X88" s="374"/>
      <c r="Y88" s="374"/>
      <c r="Z88" s="374"/>
    </row>
    <row r="89" spans="1:26" s="375" customFormat="1" ht="14.25" x14ac:dyDescent="0.15">
      <c r="A89" s="329" t="s">
        <v>177</v>
      </c>
      <c r="B89" s="330"/>
      <c r="C89" s="331"/>
      <c r="D89" s="331" t="s">
        <v>178</v>
      </c>
      <c r="E89" s="376" t="s">
        <v>131</v>
      </c>
      <c r="F89" s="377"/>
      <c r="G89" s="377"/>
      <c r="H89" s="378"/>
      <c r="I89" s="379"/>
      <c r="J89" s="380"/>
      <c r="K89" s="350"/>
      <c r="L89" s="351" t="s">
        <v>203</v>
      </c>
      <c r="M89" s="381"/>
      <c r="N89" s="234">
        <f ca="1">ROUND(SUM(N83:N88),0)</f>
        <v>3527</v>
      </c>
      <c r="O89" s="382">
        <f ca="1">N89/N69</f>
        <v>1.6120628188017624E-2</v>
      </c>
      <c r="P89" s="373"/>
      <c r="Q89" s="373"/>
      <c r="R89" s="373"/>
      <c r="S89" s="373"/>
      <c r="T89" s="373"/>
      <c r="U89" s="373"/>
      <c r="V89" s="373"/>
      <c r="W89" s="374"/>
      <c r="X89" s="374"/>
      <c r="Y89" s="374"/>
      <c r="Z89" s="374"/>
    </row>
    <row r="90" spans="1:26" s="375" customFormat="1" ht="14.25" x14ac:dyDescent="0.15">
      <c r="A90" s="334" t="s">
        <v>179</v>
      </c>
      <c r="B90" s="354" t="s">
        <v>204</v>
      </c>
      <c r="C90" s="358">
        <f ca="1">ROUND(D63/(1+'[1]数据-取费表'!C42),0)</f>
        <v>125022</v>
      </c>
      <c r="D90" s="347" t="s">
        <v>112</v>
      </c>
      <c r="E90" s="383"/>
      <c r="F90" s="384"/>
      <c r="G90" s="384"/>
      <c r="H90" s="385"/>
      <c r="I90" s="379"/>
      <c r="J90" s="380"/>
      <c r="K90" s="373"/>
      <c r="L90" s="373"/>
      <c r="M90" s="373"/>
      <c r="N90" s="373"/>
      <c r="O90" s="373"/>
      <c r="P90" s="373"/>
      <c r="Q90" s="373"/>
      <c r="R90" s="373"/>
      <c r="S90" s="373"/>
      <c r="T90" s="373"/>
      <c r="U90" s="373"/>
      <c r="V90" s="373"/>
      <c r="W90" s="374"/>
      <c r="X90" s="374"/>
      <c r="Y90" s="374"/>
      <c r="Z90" s="374"/>
    </row>
    <row r="91" spans="1:26" s="375" customFormat="1" ht="14.25" x14ac:dyDescent="0.15">
      <c r="A91" s="334" t="s">
        <v>188</v>
      </c>
      <c r="B91" s="235" t="s">
        <v>205</v>
      </c>
      <c r="C91" s="358">
        <f ca="1">C92+C96</f>
        <v>3311</v>
      </c>
      <c r="D91" s="347" t="s">
        <v>112</v>
      </c>
      <c r="E91" s="383"/>
      <c r="F91" s="384"/>
      <c r="G91" s="384"/>
      <c r="H91" s="385"/>
      <c r="I91" s="379"/>
      <c r="J91" s="380"/>
      <c r="K91" s="373"/>
      <c r="L91" s="373"/>
      <c r="M91" s="373"/>
      <c r="N91" s="373"/>
      <c r="O91" s="373"/>
      <c r="P91" s="373"/>
      <c r="Q91" s="373"/>
      <c r="R91" s="373"/>
      <c r="S91" s="373"/>
      <c r="T91" s="373"/>
      <c r="U91" s="373"/>
      <c r="V91" s="373"/>
      <c r="W91" s="374"/>
      <c r="X91" s="374"/>
      <c r="Y91" s="374"/>
      <c r="Z91" s="374"/>
    </row>
    <row r="92" spans="1:26" s="375" customFormat="1" ht="24" x14ac:dyDescent="0.15">
      <c r="A92" s="386" t="s">
        <v>182</v>
      </c>
      <c r="B92" s="345" t="s">
        <v>206</v>
      </c>
      <c r="C92" s="347">
        <f>ROUND(IF(G95="2016年5月1日后购买",C93/(1+'[1]数据-取费表'!C30)+C94+C95,C93+C94+C95),0)</f>
        <v>2561</v>
      </c>
      <c r="D92" s="347" t="s">
        <v>112</v>
      </c>
      <c r="E92" s="383"/>
      <c r="F92" s="384"/>
      <c r="G92" s="384"/>
      <c r="H92" s="385"/>
      <c r="I92" s="379"/>
      <c r="J92" s="380"/>
      <c r="K92" s="373"/>
      <c r="L92" s="373"/>
      <c r="M92" s="373"/>
      <c r="N92" s="373"/>
      <c r="O92" s="373"/>
      <c r="P92" s="373"/>
      <c r="Q92" s="373"/>
      <c r="R92" s="373"/>
      <c r="S92" s="373"/>
      <c r="T92" s="373"/>
      <c r="U92" s="373"/>
      <c r="V92" s="373"/>
      <c r="W92" s="374"/>
      <c r="X92" s="374"/>
      <c r="Y92" s="374"/>
      <c r="Z92" s="374"/>
    </row>
    <row r="93" spans="1:26" s="375" customFormat="1" ht="14.25" x14ac:dyDescent="0.15">
      <c r="A93" s="386" t="s">
        <v>207</v>
      </c>
      <c r="B93" s="345" t="s">
        <v>208</v>
      </c>
      <c r="C93" s="387">
        <v>2000</v>
      </c>
      <c r="D93" s="347" t="s">
        <v>112</v>
      </c>
      <c r="E93" s="388" t="s">
        <v>209</v>
      </c>
      <c r="F93" s="389" t="s">
        <v>210</v>
      </c>
      <c r="G93" s="388" t="s">
        <v>211</v>
      </c>
      <c r="H93" s="390">
        <v>5</v>
      </c>
      <c r="I93" s="229"/>
      <c r="J93" s="373"/>
      <c r="K93" s="373"/>
      <c r="L93" s="373"/>
      <c r="M93" s="373"/>
      <c r="N93" s="373"/>
      <c r="O93" s="373"/>
      <c r="P93" s="373"/>
      <c r="Q93" s="373"/>
      <c r="R93" s="373"/>
      <c r="S93" s="373"/>
      <c r="T93" s="373"/>
      <c r="U93" s="373"/>
      <c r="V93" s="373"/>
      <c r="W93" s="374"/>
      <c r="X93" s="374"/>
      <c r="Y93" s="374"/>
      <c r="Z93" s="374"/>
    </row>
    <row r="94" spans="1:26" s="375" customFormat="1" ht="24.75" customHeight="1" x14ac:dyDescent="0.15">
      <c r="A94" s="386" t="s">
        <v>212</v>
      </c>
      <c r="B94" s="391" t="s">
        <v>213</v>
      </c>
      <c r="C94" s="347">
        <f>IF(F93="购房发票",ROUND(C93*H93*5%,0),0)</f>
        <v>500</v>
      </c>
      <c r="D94" s="392">
        <v>0.05</v>
      </c>
      <c r="E94" s="288" t="s">
        <v>214</v>
      </c>
      <c r="F94" s="256"/>
      <c r="G94" s="256"/>
      <c r="H94" s="393"/>
      <c r="I94" s="379"/>
      <c r="J94" s="380"/>
      <c r="K94" s="373"/>
      <c r="L94" s="373"/>
      <c r="M94" s="373"/>
      <c r="N94" s="373"/>
      <c r="O94" s="373"/>
      <c r="P94" s="373"/>
      <c r="Q94" s="373"/>
      <c r="R94" s="373"/>
      <c r="S94" s="373"/>
      <c r="T94" s="373"/>
      <c r="U94" s="373"/>
      <c r="V94" s="373"/>
      <c r="W94" s="374"/>
      <c r="X94" s="374"/>
      <c r="Y94" s="374"/>
      <c r="Z94" s="374"/>
    </row>
    <row r="95" spans="1:26" s="375" customFormat="1" ht="24.75" customHeight="1" x14ac:dyDescent="0.15">
      <c r="A95" s="386" t="s">
        <v>215</v>
      </c>
      <c r="B95" s="345" t="s">
        <v>216</v>
      </c>
      <c r="C95" s="347">
        <f>ROUND(IF(G95="个人买卖住房",0,IF(G95="2016年5月1日前购买",C93*D95,C93*D95/(1+'[1]数据-取费表'!C42))),0)</f>
        <v>61</v>
      </c>
      <c r="D95" s="394">
        <f>'[1]数据-取费表'!B48+'[1]数据-取费表'!B49</f>
        <v>3.0499999999999999E-2</v>
      </c>
      <c r="E95" s="395" t="s">
        <v>217</v>
      </c>
      <c r="F95" s="396"/>
      <c r="G95" s="397" t="s">
        <v>218</v>
      </c>
      <c r="H95" s="398" t="str">
        <f>IF(G95="个人买卖住房","免征印花税"," ")</f>
        <v xml:space="preserve"> </v>
      </c>
      <c r="I95" s="379"/>
      <c r="J95" s="380"/>
      <c r="K95" s="373"/>
      <c r="L95" s="373"/>
      <c r="M95" s="373"/>
      <c r="N95" s="373"/>
      <c r="O95" s="373"/>
      <c r="P95" s="373"/>
      <c r="Q95" s="373"/>
      <c r="R95" s="373"/>
      <c r="S95" s="373"/>
      <c r="T95" s="373"/>
      <c r="U95" s="373"/>
      <c r="V95" s="373"/>
      <c r="W95" s="374"/>
      <c r="X95" s="374"/>
      <c r="Y95" s="374"/>
      <c r="Z95" s="374"/>
    </row>
    <row r="96" spans="1:26" s="375" customFormat="1" ht="24.75" customHeight="1" x14ac:dyDescent="0.2">
      <c r="A96" s="386" t="s">
        <v>184</v>
      </c>
      <c r="B96" s="345" t="s">
        <v>219</v>
      </c>
      <c r="C96" s="399">
        <f ca="1">ROUND(D63*D96/(1+'[1]数据-取费表'!C42),0)</f>
        <v>750</v>
      </c>
      <c r="D96" s="400">
        <f>'[1]数据-取费表'!B43</f>
        <v>6.000000000000001E-3</v>
      </c>
      <c r="E96" s="401" t="s">
        <v>220</v>
      </c>
      <c r="F96" s="402"/>
      <c r="G96" s="402"/>
      <c r="H96" s="403"/>
      <c r="I96" s="404"/>
      <c r="J96" s="405"/>
      <c r="K96" s="373"/>
      <c r="L96" s="373"/>
      <c r="M96" s="373"/>
      <c r="N96" s="373"/>
      <c r="O96" s="373"/>
      <c r="P96" s="373"/>
      <c r="Q96" s="373"/>
      <c r="R96" s="373"/>
      <c r="S96" s="373"/>
      <c r="T96" s="373"/>
      <c r="U96" s="373"/>
      <c r="V96" s="373"/>
      <c r="W96" s="374"/>
      <c r="X96" s="374"/>
      <c r="Y96" s="374"/>
      <c r="Z96" s="374"/>
    </row>
    <row r="97" spans="1:26" s="375" customFormat="1" ht="14.25" x14ac:dyDescent="0.15">
      <c r="A97" s="406" t="s">
        <v>193</v>
      </c>
      <c r="B97" s="354" t="s">
        <v>221</v>
      </c>
      <c r="C97" s="358">
        <f ca="1">C90-C91</f>
        <v>121711</v>
      </c>
      <c r="D97" s="347" t="s">
        <v>112</v>
      </c>
      <c r="E97" s="383"/>
      <c r="F97" s="384"/>
      <c r="G97" s="384"/>
      <c r="H97" s="385"/>
      <c r="I97" s="379"/>
      <c r="J97" s="380"/>
      <c r="K97" s="373"/>
      <c r="L97" s="373"/>
      <c r="M97" s="373"/>
      <c r="N97" s="373"/>
      <c r="O97" s="373"/>
      <c r="P97" s="373"/>
      <c r="Q97" s="373"/>
      <c r="R97" s="373"/>
      <c r="S97" s="373"/>
      <c r="T97" s="373"/>
      <c r="U97" s="373"/>
      <c r="V97" s="373"/>
      <c r="W97" s="374"/>
      <c r="X97" s="374"/>
      <c r="Y97" s="374"/>
      <c r="Z97" s="374"/>
    </row>
    <row r="98" spans="1:26" s="375" customFormat="1" ht="24" x14ac:dyDescent="0.15">
      <c r="A98" s="406" t="s">
        <v>196</v>
      </c>
      <c r="B98" s="354" t="s">
        <v>222</v>
      </c>
      <c r="C98" s="407">
        <f ca="1">IF(C97&lt;=0,0,C97/C91)</f>
        <v>36.759589247961344</v>
      </c>
      <c r="D98" s="347" t="s">
        <v>112</v>
      </c>
      <c r="E98" s="395" t="str">
        <f ca="1">IF(C98&gt;=200%,"增值额超过扣除项目金额200%",IF(C98&gt;=100%,"增值额超过扣除项目金额100%，未超过200%",IF(C98&gt;=50%,"增值额超过扣除项目金额50%，未超过100%",IF(C98&lt;50%,"增值额未超过扣除项目金额50%"))))</f>
        <v>增值额超过扣除项目金额200%</v>
      </c>
      <c r="F98" s="384"/>
      <c r="G98" s="384"/>
      <c r="H98" s="385"/>
      <c r="I98" s="379"/>
      <c r="J98" s="380"/>
      <c r="K98" s="373"/>
      <c r="L98" s="373"/>
      <c r="M98" s="373"/>
      <c r="N98" s="373"/>
      <c r="O98" s="373"/>
      <c r="P98" s="373"/>
      <c r="Q98" s="373"/>
      <c r="R98" s="373"/>
      <c r="S98" s="373"/>
      <c r="T98" s="373"/>
      <c r="U98" s="373"/>
      <c r="V98" s="373"/>
      <c r="W98" s="374"/>
      <c r="X98" s="374"/>
      <c r="Y98" s="374"/>
      <c r="Z98" s="374"/>
    </row>
    <row r="99" spans="1:26" s="375" customFormat="1" ht="24.75" thickBot="1" x14ac:dyDescent="0.2">
      <c r="A99" s="408" t="s">
        <v>223</v>
      </c>
      <c r="B99" s="360" t="s">
        <v>224</v>
      </c>
      <c r="C99" s="409">
        <f ca="1">ROUND(IF(C97&lt;=0,0,IF(C98&gt;=200%,C97*60%-C91*35%,IF(C98&gt;=100%,C97*50%-C91*15%,IF(C98&gt;=50%,C97*40%-C91*5%,IF(C98&lt;50%,C97*30%,0))))),0)</f>
        <v>71868</v>
      </c>
      <c r="D99" s="410" t="s">
        <v>112</v>
      </c>
      <c r="E99" s="4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412"/>
      <c r="G99" s="412"/>
      <c r="H99" s="413"/>
      <c r="I99" s="379"/>
      <c r="J99" s="380"/>
      <c r="K99" s="373"/>
      <c r="L99" s="373"/>
      <c r="M99" s="373"/>
      <c r="N99" s="373"/>
      <c r="O99" s="373"/>
      <c r="P99" s="373"/>
      <c r="Q99" s="373"/>
      <c r="R99" s="373"/>
      <c r="S99" s="373"/>
      <c r="T99" s="373"/>
      <c r="U99" s="373"/>
      <c r="V99" s="373"/>
      <c r="W99" s="374"/>
      <c r="X99" s="374"/>
      <c r="Y99" s="374"/>
      <c r="Z99" s="374"/>
    </row>
    <row r="100" spans="1:26" s="375" customFormat="1" ht="7.5" customHeight="1" x14ac:dyDescent="0.2">
      <c r="A100" s="414"/>
      <c r="B100" s="415"/>
      <c r="C100" s="229"/>
      <c r="D100" s="229"/>
      <c r="E100" s="415"/>
      <c r="F100" s="415"/>
      <c r="G100" s="415"/>
      <c r="H100" s="416"/>
      <c r="I100" s="404"/>
      <c r="J100" s="405"/>
      <c r="K100" s="373"/>
      <c r="L100" s="373"/>
      <c r="M100" s="373"/>
      <c r="N100" s="373"/>
      <c r="O100" s="373"/>
      <c r="P100" s="373"/>
      <c r="Q100" s="373"/>
      <c r="R100" s="373"/>
      <c r="S100" s="373"/>
      <c r="T100" s="373"/>
      <c r="U100" s="373"/>
      <c r="V100" s="373"/>
      <c r="W100" s="374"/>
      <c r="X100" s="374"/>
      <c r="Y100" s="374"/>
      <c r="Z100" s="374"/>
    </row>
    <row r="101" spans="1:26" s="375" customFormat="1" ht="15" thickBot="1" x14ac:dyDescent="0.2">
      <c r="A101" s="369" t="s">
        <v>225</v>
      </c>
      <c r="B101" s="370"/>
      <c r="C101" s="370"/>
      <c r="D101" s="370"/>
      <c r="E101" s="370"/>
      <c r="F101" s="370"/>
      <c r="G101" s="370"/>
      <c r="H101" s="370"/>
      <c r="I101" s="229"/>
      <c r="J101" s="373"/>
      <c r="K101" s="373"/>
      <c r="L101" s="373"/>
      <c r="M101" s="373"/>
      <c r="N101" s="373"/>
      <c r="O101" s="373"/>
      <c r="P101" s="373"/>
      <c r="Q101" s="373"/>
      <c r="R101" s="373"/>
      <c r="S101" s="373"/>
      <c r="T101" s="373"/>
      <c r="U101" s="373"/>
      <c r="V101" s="373"/>
      <c r="W101" s="374"/>
      <c r="X101" s="374"/>
      <c r="Y101" s="374"/>
      <c r="Z101" s="374"/>
    </row>
    <row r="102" spans="1:26" s="375" customFormat="1" ht="14.25" x14ac:dyDescent="0.15">
      <c r="A102" s="329" t="s">
        <v>177</v>
      </c>
      <c r="B102" s="330"/>
      <c r="C102" s="331"/>
      <c r="D102" s="331" t="s">
        <v>178</v>
      </c>
      <c r="E102" s="376" t="s">
        <v>131</v>
      </c>
      <c r="F102" s="377"/>
      <c r="G102" s="377"/>
      <c r="H102" s="417"/>
      <c r="I102" s="229"/>
      <c r="J102" s="373"/>
      <c r="K102" s="373"/>
      <c r="L102" s="373"/>
      <c r="M102" s="373"/>
      <c r="N102" s="373"/>
      <c r="O102" s="373"/>
      <c r="P102" s="373"/>
      <c r="Q102" s="373"/>
      <c r="R102" s="373"/>
      <c r="S102" s="373"/>
      <c r="T102" s="373"/>
      <c r="U102" s="373"/>
      <c r="V102" s="373"/>
      <c r="W102" s="374"/>
      <c r="X102" s="374"/>
      <c r="Y102" s="374"/>
      <c r="Z102" s="374"/>
    </row>
    <row r="103" spans="1:26" s="375" customFormat="1" ht="14.25" x14ac:dyDescent="0.15">
      <c r="A103" s="334" t="s">
        <v>179</v>
      </c>
      <c r="B103" s="354" t="s">
        <v>204</v>
      </c>
      <c r="C103" s="358">
        <f ca="1">ROUND(D63/(1+'[1]数据-取费表'!C42),0)</f>
        <v>125022</v>
      </c>
      <c r="D103" s="347" t="s">
        <v>112</v>
      </c>
      <c r="E103" s="383"/>
      <c r="F103" s="384"/>
      <c r="G103" s="384"/>
      <c r="H103" s="418"/>
      <c r="I103" s="229"/>
      <c r="J103" s="373"/>
      <c r="K103" s="373"/>
      <c r="L103" s="373"/>
      <c r="M103" s="373"/>
      <c r="N103" s="373"/>
      <c r="O103" s="373"/>
      <c r="P103" s="373"/>
      <c r="Q103" s="373"/>
      <c r="R103" s="373"/>
      <c r="S103" s="373"/>
      <c r="T103" s="373"/>
      <c r="U103" s="373"/>
      <c r="V103" s="373"/>
      <c r="W103" s="374"/>
      <c r="X103" s="374"/>
      <c r="Y103" s="374"/>
      <c r="Z103" s="374"/>
    </row>
    <row r="104" spans="1:26" s="375" customFormat="1" ht="14.25" x14ac:dyDescent="0.15">
      <c r="A104" s="334" t="s">
        <v>188</v>
      </c>
      <c r="B104" s="235" t="s">
        <v>205</v>
      </c>
      <c r="C104" s="358">
        <f ca="1">IF(H106="仅含出让金",C105+C108+C109+C110+C111+C112,C105+C109+C110+C111+C112)</f>
        <v>1440</v>
      </c>
      <c r="D104" s="419"/>
      <c r="E104" s="383"/>
      <c r="F104" s="384"/>
      <c r="G104" s="384"/>
      <c r="H104" s="418"/>
      <c r="I104" s="229"/>
      <c r="J104" s="373"/>
      <c r="K104" s="373"/>
      <c r="L104" s="373"/>
      <c r="M104" s="373"/>
      <c r="N104" s="373"/>
      <c r="O104" s="373"/>
      <c r="P104" s="373"/>
      <c r="Q104" s="373"/>
      <c r="R104" s="373"/>
      <c r="S104" s="373"/>
      <c r="T104" s="373"/>
      <c r="U104" s="373"/>
      <c r="V104" s="373"/>
      <c r="W104" s="374"/>
      <c r="X104" s="374"/>
      <c r="Y104" s="374"/>
      <c r="Z104" s="374"/>
    </row>
    <row r="105" spans="1:26" s="375" customFormat="1" ht="14.25" x14ac:dyDescent="0.15">
      <c r="A105" s="386" t="s">
        <v>182</v>
      </c>
      <c r="B105" s="345" t="s">
        <v>226</v>
      </c>
      <c r="C105" s="399">
        <f>C106+C107</f>
        <v>572</v>
      </c>
      <c r="D105" s="400"/>
      <c r="E105" s="420"/>
      <c r="F105" s="421"/>
      <c r="G105" s="421"/>
      <c r="H105" s="422"/>
      <c r="I105" s="229"/>
      <c r="J105" s="373"/>
      <c r="K105" s="373"/>
      <c r="L105" s="373"/>
      <c r="M105" s="373"/>
      <c r="N105" s="373"/>
      <c r="O105" s="373"/>
      <c r="P105" s="373"/>
      <c r="Q105" s="373"/>
      <c r="R105" s="373"/>
      <c r="S105" s="373"/>
      <c r="T105" s="373"/>
      <c r="U105" s="373"/>
      <c r="V105" s="373"/>
      <c r="W105" s="374"/>
      <c r="X105" s="374"/>
      <c r="Y105" s="374"/>
      <c r="Z105" s="374"/>
    </row>
    <row r="106" spans="1:26" s="375" customFormat="1" ht="14.25" x14ac:dyDescent="0.15">
      <c r="A106" s="386" t="s">
        <v>207</v>
      </c>
      <c r="B106" s="345" t="s">
        <v>227</v>
      </c>
      <c r="C106" s="423">
        <v>555</v>
      </c>
      <c r="D106" s="400"/>
      <c r="E106" s="424" t="s">
        <v>228</v>
      </c>
      <c r="F106" s="421"/>
      <c r="G106" s="425" t="s">
        <v>229</v>
      </c>
      <c r="H106" s="426" t="s">
        <v>230</v>
      </c>
      <c r="I106" s="229"/>
      <c r="J106" s="373"/>
      <c r="K106" s="373"/>
      <c r="L106" s="373"/>
      <c r="M106" s="373"/>
      <c r="N106" s="373"/>
      <c r="O106" s="373"/>
      <c r="P106" s="373"/>
      <c r="Q106" s="373"/>
      <c r="R106" s="373"/>
      <c r="S106" s="373"/>
      <c r="T106" s="373"/>
      <c r="U106" s="373"/>
      <c r="V106" s="373"/>
      <c r="W106" s="374"/>
      <c r="X106" s="374"/>
      <c r="Y106" s="374"/>
      <c r="Z106" s="374"/>
    </row>
    <row r="107" spans="1:26" s="375" customFormat="1" ht="14.25" x14ac:dyDescent="0.15">
      <c r="A107" s="386" t="s">
        <v>212</v>
      </c>
      <c r="B107" s="345" t="s">
        <v>216</v>
      </c>
      <c r="C107" s="399">
        <f>ROUND(C106*D107,0)</f>
        <v>17</v>
      </c>
      <c r="D107" s="400">
        <f>'[1]数据-取费表'!B48+'[1]数据-取费表'!B49</f>
        <v>3.0499999999999999E-2</v>
      </c>
      <c r="E107" s="424" t="s">
        <v>231</v>
      </c>
      <c r="F107" s="421"/>
      <c r="G107" s="421"/>
      <c r="H107" s="422"/>
      <c r="I107" s="229"/>
      <c r="J107" s="373"/>
      <c r="K107" s="373"/>
      <c r="L107" s="373"/>
      <c r="M107" s="373"/>
      <c r="N107" s="373"/>
      <c r="O107" s="373"/>
      <c r="P107" s="373"/>
      <c r="Q107" s="373"/>
      <c r="R107" s="373"/>
      <c r="S107" s="373"/>
      <c r="T107" s="373"/>
      <c r="U107" s="373"/>
      <c r="V107" s="373"/>
      <c r="W107" s="374"/>
      <c r="X107" s="374"/>
      <c r="Y107" s="374"/>
      <c r="Z107" s="374"/>
    </row>
    <row r="108" spans="1:26" s="375" customFormat="1" ht="14.25" x14ac:dyDescent="0.15">
      <c r="A108" s="386" t="s">
        <v>184</v>
      </c>
      <c r="B108" s="345" t="s">
        <v>232</v>
      </c>
      <c r="C108" s="423"/>
      <c r="D108" s="400"/>
      <c r="E108" s="424" t="str">
        <f>IF(H106="-","土地取得成本中已包含该笔费用"," ")</f>
        <v xml:space="preserve"> </v>
      </c>
      <c r="F108" s="421"/>
      <c r="G108" s="421"/>
      <c r="H108" s="422"/>
      <c r="I108" s="229"/>
      <c r="J108" s="373"/>
      <c r="K108" s="373"/>
      <c r="L108" s="373"/>
      <c r="M108" s="373"/>
      <c r="N108" s="373"/>
      <c r="O108" s="373"/>
      <c r="P108" s="373"/>
      <c r="Q108" s="373"/>
      <c r="R108" s="373"/>
      <c r="S108" s="373"/>
      <c r="T108" s="373"/>
      <c r="U108" s="373"/>
      <c r="V108" s="373"/>
      <c r="W108" s="374"/>
      <c r="X108" s="374"/>
      <c r="Y108" s="374"/>
      <c r="Z108" s="374"/>
    </row>
    <row r="109" spans="1:26" s="375" customFormat="1" ht="24" customHeight="1" x14ac:dyDescent="0.15">
      <c r="A109" s="427" t="s">
        <v>233</v>
      </c>
      <c r="B109" s="345" t="s">
        <v>234</v>
      </c>
      <c r="C109" s="399">
        <f>IF(H109="——",IF(F1="现房",'[1]剩余法-现房'!C18,'[1]剩余法-待开发'!C18),I109)</f>
        <v>55</v>
      </c>
      <c r="D109" s="400"/>
      <c r="E109" s="428" t="s">
        <v>235</v>
      </c>
      <c r="F109" s="402"/>
      <c r="G109" s="402"/>
      <c r="H109" s="429" t="s">
        <v>236</v>
      </c>
      <c r="I109" s="430">
        <v>55</v>
      </c>
      <c r="J109" s="373"/>
      <c r="K109" s="373"/>
      <c r="L109" s="373"/>
      <c r="M109" s="373"/>
      <c r="N109" s="373"/>
      <c r="O109" s="373"/>
      <c r="P109" s="373"/>
      <c r="Q109" s="373"/>
      <c r="R109" s="373"/>
      <c r="S109" s="373"/>
      <c r="T109" s="373"/>
      <c r="U109" s="373"/>
      <c r="V109" s="373"/>
      <c r="W109" s="374"/>
      <c r="X109" s="374"/>
      <c r="Y109" s="374"/>
      <c r="Z109" s="374"/>
    </row>
    <row r="110" spans="1:26" s="375" customFormat="1" ht="25.5" customHeight="1" x14ac:dyDescent="0.15">
      <c r="A110" s="427" t="s">
        <v>237</v>
      </c>
      <c r="B110" s="345" t="s">
        <v>238</v>
      </c>
      <c r="C110" s="399">
        <f>ROUND((C105+C108+C109)*D110,0)</f>
        <v>63</v>
      </c>
      <c r="D110" s="400">
        <v>0.1</v>
      </c>
      <c r="E110" s="428" t="s">
        <v>239</v>
      </c>
      <c r="F110" s="402"/>
      <c r="G110" s="402"/>
      <c r="H110" s="403"/>
      <c r="I110" s="229"/>
      <c r="J110" s="373"/>
      <c r="K110" s="373"/>
      <c r="L110" s="373"/>
      <c r="M110" s="373"/>
      <c r="N110" s="373"/>
      <c r="O110" s="373"/>
      <c r="P110" s="373"/>
      <c r="Q110" s="373"/>
      <c r="R110" s="373"/>
      <c r="S110" s="373"/>
      <c r="T110" s="373"/>
      <c r="U110" s="373"/>
      <c r="V110" s="373"/>
      <c r="W110" s="374"/>
      <c r="X110" s="374"/>
      <c r="Y110" s="374"/>
      <c r="Z110" s="374"/>
    </row>
    <row r="111" spans="1:26" s="375" customFormat="1" ht="25.5" customHeight="1" x14ac:dyDescent="0.15">
      <c r="A111" s="427" t="s">
        <v>240</v>
      </c>
      <c r="B111" s="345" t="s">
        <v>219</v>
      </c>
      <c r="C111" s="399">
        <f ca="1">ROUND(D63*D111/(1+'[1]数据-取费表'!C42),0)</f>
        <v>750</v>
      </c>
      <c r="D111" s="400">
        <f>'[1]数据-取费表'!B43</f>
        <v>6.000000000000001E-3</v>
      </c>
      <c r="E111" s="401" t="s">
        <v>220</v>
      </c>
      <c r="F111" s="402"/>
      <c r="G111" s="402"/>
      <c r="H111" s="403"/>
      <c r="I111" s="229"/>
      <c r="J111" s="373"/>
      <c r="K111" s="373"/>
      <c r="L111" s="373"/>
      <c r="M111" s="373"/>
      <c r="N111" s="373"/>
      <c r="O111" s="373"/>
      <c r="P111" s="373"/>
      <c r="Q111" s="373"/>
      <c r="R111" s="373"/>
      <c r="S111" s="373"/>
      <c r="T111" s="373"/>
      <c r="U111" s="373"/>
      <c r="V111" s="373"/>
      <c r="W111" s="374"/>
      <c r="X111" s="374"/>
      <c r="Y111" s="374"/>
      <c r="Z111" s="374"/>
    </row>
    <row r="112" spans="1:26" s="375" customFormat="1" ht="25.5" customHeight="1" x14ac:dyDescent="0.15">
      <c r="A112" s="427" t="s">
        <v>241</v>
      </c>
      <c r="B112" s="345" t="s">
        <v>242</v>
      </c>
      <c r="C112" s="399">
        <f>ROUND(C108*D112,0)</f>
        <v>0</v>
      </c>
      <c r="D112" s="400">
        <v>0.2</v>
      </c>
      <c r="E112" s="428" t="s">
        <v>243</v>
      </c>
      <c r="F112" s="402"/>
      <c r="G112" s="402"/>
      <c r="H112" s="403"/>
      <c r="I112" s="229"/>
      <c r="J112" s="373"/>
      <c r="K112" s="373"/>
      <c r="L112" s="373"/>
      <c r="M112" s="373"/>
      <c r="N112" s="373"/>
      <c r="O112" s="373"/>
      <c r="P112" s="373"/>
      <c r="Q112" s="373"/>
      <c r="R112" s="373"/>
      <c r="S112" s="373"/>
      <c r="T112" s="373"/>
      <c r="U112" s="373"/>
      <c r="V112" s="373"/>
      <c r="W112" s="374"/>
      <c r="X112" s="374"/>
      <c r="Y112" s="374"/>
      <c r="Z112" s="374"/>
    </row>
    <row r="113" spans="1:26" s="375" customFormat="1" ht="14.25" x14ac:dyDescent="0.15">
      <c r="A113" s="406" t="s">
        <v>193</v>
      </c>
      <c r="B113" s="354" t="s">
        <v>221</v>
      </c>
      <c r="C113" s="358">
        <f ca="1">ROUND(C103-C104,0)</f>
        <v>123582</v>
      </c>
      <c r="D113" s="347" t="s">
        <v>112</v>
      </c>
      <c r="E113" s="383"/>
      <c r="F113" s="384"/>
      <c r="G113" s="384"/>
      <c r="H113" s="418"/>
      <c r="I113" s="229"/>
      <c r="J113" s="373"/>
      <c r="K113" s="373"/>
      <c r="L113" s="373"/>
      <c r="M113" s="373"/>
      <c r="N113" s="373"/>
      <c r="O113" s="373"/>
      <c r="P113" s="373"/>
      <c r="Q113" s="373"/>
      <c r="R113" s="373"/>
      <c r="S113" s="373"/>
      <c r="T113" s="373"/>
      <c r="U113" s="373"/>
      <c r="V113" s="373"/>
      <c r="W113" s="374"/>
      <c r="X113" s="374"/>
      <c r="Y113" s="374"/>
      <c r="Z113" s="374"/>
    </row>
    <row r="114" spans="1:26" s="375" customFormat="1" ht="24" x14ac:dyDescent="0.15">
      <c r="A114" s="406" t="s">
        <v>196</v>
      </c>
      <c r="B114" s="354" t="s">
        <v>222</v>
      </c>
      <c r="C114" s="407">
        <f ca="1">IF(C113&lt;=0,0,C113/C104)</f>
        <v>85.82083333333334</v>
      </c>
      <c r="D114" s="347" t="s">
        <v>112</v>
      </c>
      <c r="E114" s="395" t="str">
        <f ca="1">IF(C114&gt;=200%,"增值额超过扣除项目金额200%",IF(C114&gt;=100%,"增值额超过扣除项目金额100%，未超过200%",IF(C114&gt;=50%,"增值额超过扣除项目金额50%，未超过100%",IF(C114&lt;50%,"增值额未超过扣除项目金额50%"))))</f>
        <v>增值额超过扣除项目金额200%</v>
      </c>
      <c r="F114" s="384"/>
      <c r="G114" s="384"/>
      <c r="H114" s="418"/>
      <c r="I114" s="229"/>
      <c r="J114" s="373"/>
      <c r="K114" s="373"/>
      <c r="L114" s="373"/>
      <c r="M114" s="373"/>
      <c r="N114" s="373"/>
      <c r="O114" s="373"/>
      <c r="P114" s="373"/>
      <c r="Q114" s="373"/>
      <c r="R114" s="373"/>
      <c r="S114" s="373"/>
      <c r="T114" s="373"/>
      <c r="U114" s="373"/>
      <c r="V114" s="373"/>
      <c r="W114" s="374"/>
      <c r="X114" s="374"/>
      <c r="Y114" s="374"/>
      <c r="Z114" s="374"/>
    </row>
    <row r="115" spans="1:26" s="375" customFormat="1" ht="24.75" thickBot="1" x14ac:dyDescent="0.2">
      <c r="A115" s="408" t="s">
        <v>223</v>
      </c>
      <c r="B115" s="360" t="s">
        <v>224</v>
      </c>
      <c r="C115" s="409">
        <f ca="1">ROUND(IF(C113&lt;=0,0,IF(C114&gt;=200%,C113*60%-C104*35%,IF(C114&gt;=100%,C113*50%-C104*15%,IF(C114&gt;=50%,C113*40%-C104*5%,IF(C114&lt;50%,C113*30%,0))))),0)</f>
        <v>73645</v>
      </c>
      <c r="D115" s="410" t="s">
        <v>112</v>
      </c>
      <c r="E115" s="411"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412"/>
      <c r="G115" s="412"/>
      <c r="H115" s="431"/>
      <c r="I115" s="229"/>
      <c r="J115" s="373"/>
      <c r="K115" s="373"/>
      <c r="L115" s="373"/>
      <c r="M115" s="373"/>
      <c r="N115" s="373"/>
      <c r="O115" s="373"/>
      <c r="P115" s="373"/>
      <c r="Q115" s="373"/>
      <c r="R115" s="373"/>
      <c r="S115" s="373"/>
      <c r="T115" s="373"/>
      <c r="U115" s="373"/>
      <c r="V115" s="373"/>
      <c r="W115" s="374"/>
      <c r="X115" s="374"/>
      <c r="Y115" s="374"/>
      <c r="Z115" s="374"/>
    </row>
    <row r="116" spans="1:26" s="432" customFormat="1" ht="21.75" customHeight="1" x14ac:dyDescent="0.15">
      <c r="J116" s="433"/>
      <c r="K116" s="17"/>
      <c r="L116" s="17"/>
      <c r="M116" s="17"/>
      <c r="N116" s="17"/>
      <c r="O116" s="17"/>
    </row>
    <row r="117" spans="1:26" s="432" customFormat="1" ht="21.75" customHeight="1" x14ac:dyDescent="0.15">
      <c r="J117" s="433"/>
    </row>
    <row r="118" spans="1:26" s="432" customFormat="1" ht="21.75" customHeight="1" x14ac:dyDescent="0.15">
      <c r="J118" s="433"/>
    </row>
    <row r="119" spans="1:26" s="432" customFormat="1" ht="21.75" customHeight="1" x14ac:dyDescent="0.15">
      <c r="J119" s="433"/>
    </row>
    <row r="120" spans="1:26" s="432" customFormat="1" ht="21.75" customHeight="1" x14ac:dyDescent="0.15">
      <c r="J120" s="433"/>
    </row>
    <row r="121" spans="1:26" s="432" customFormat="1" ht="21.75" customHeight="1" x14ac:dyDescent="0.15"/>
    <row r="122" spans="1:26" s="432" customFormat="1" ht="21.75" customHeight="1" x14ac:dyDescent="0.15">
      <c r="J122" s="434"/>
    </row>
    <row r="123" spans="1:26" s="432" customFormat="1" ht="21.75" customHeight="1" x14ac:dyDescent="0.15"/>
    <row r="124" spans="1:26" s="432" customFormat="1" ht="21.75" customHeight="1" x14ac:dyDescent="0.15"/>
    <row r="125" spans="1:26" s="432" customFormat="1" ht="21.75" customHeight="1" x14ac:dyDescent="0.15">
      <c r="J125" s="434"/>
    </row>
    <row r="126" spans="1:26" s="432" customFormat="1" ht="21.75" customHeight="1" x14ac:dyDescent="0.15"/>
    <row r="127" spans="1:26" s="432" customFormat="1" ht="21.75" customHeight="1" x14ac:dyDescent="0.15"/>
    <row r="128" spans="1:26" s="432" customFormat="1" ht="21.75" customHeight="1" x14ac:dyDescent="0.15">
      <c r="J128" s="434"/>
    </row>
    <row r="129" spans="2:6" s="432" customFormat="1" ht="21.75" customHeight="1" x14ac:dyDescent="0.15"/>
    <row r="130" spans="2:6" s="432" customFormat="1" ht="21.75" customHeight="1" x14ac:dyDescent="0.15">
      <c r="B130" s="435"/>
      <c r="C130" s="436"/>
      <c r="D130" s="437"/>
      <c r="E130" s="437"/>
      <c r="F130" s="438"/>
    </row>
    <row r="131" spans="2:6" s="432" customFormat="1" ht="21.75" customHeight="1" x14ac:dyDescent="0.15"/>
    <row r="132" spans="2:6" s="432" customFormat="1" ht="21.75" customHeight="1" x14ac:dyDescent="0.15"/>
    <row r="133" spans="2:6" s="432" customFormat="1" ht="21.75" customHeight="1" x14ac:dyDescent="0.15"/>
    <row r="134" spans="2:6" s="432" customFormat="1" ht="21.75" customHeight="1" x14ac:dyDescent="0.15"/>
    <row r="135" spans="2:6" s="432" customFormat="1" ht="21.75" customHeight="1" x14ac:dyDescent="0.15"/>
    <row r="136" spans="2:6" s="432" customFormat="1" ht="21.75" customHeight="1" x14ac:dyDescent="0.15"/>
    <row r="137" spans="2:6" s="432" customFormat="1" ht="21.75" customHeight="1" x14ac:dyDescent="0.15"/>
    <row r="138" spans="2:6" s="432" customFormat="1" ht="21.75" customHeight="1" x14ac:dyDescent="0.15"/>
    <row r="139" spans="2:6" s="432" customFormat="1" ht="21.75" customHeight="1" x14ac:dyDescent="0.15"/>
    <row r="140" spans="2:6" s="432" customFormat="1" ht="21.75" customHeight="1" x14ac:dyDescent="0.15"/>
    <row r="141" spans="2:6" s="432" customFormat="1" ht="21.75" customHeight="1" x14ac:dyDescent="0.15"/>
    <row r="142" spans="2:6" s="432" customFormat="1" ht="21.75" customHeight="1" x14ac:dyDescent="0.15"/>
    <row r="143" spans="2:6" s="432" customFormat="1" ht="21.75" customHeight="1" x14ac:dyDescent="0.15"/>
    <row r="144" spans="2:6" s="432" customFormat="1" ht="21.75" customHeight="1" x14ac:dyDescent="0.15"/>
    <row r="145" s="432" customFormat="1" ht="21.75" customHeight="1" x14ac:dyDescent="0.15"/>
    <row r="146" s="432" customFormat="1" ht="21.75" customHeight="1" x14ac:dyDescent="0.15"/>
    <row r="147" s="432" customFormat="1" ht="21.75" customHeight="1" x14ac:dyDescent="0.15"/>
    <row r="148" s="432" customFormat="1" ht="21.75" customHeight="1" x14ac:dyDescent="0.15"/>
    <row r="149" s="432" customFormat="1" ht="21.75" customHeight="1" x14ac:dyDescent="0.15"/>
    <row r="150" s="432" customFormat="1" ht="21.75" customHeight="1" x14ac:dyDescent="0.15"/>
    <row r="151" s="432" customFormat="1" ht="21.75" customHeight="1" x14ac:dyDescent="0.15"/>
    <row r="152" s="432" customFormat="1" ht="21.75" customHeight="1" x14ac:dyDescent="0.15"/>
    <row r="153" s="432" customFormat="1" ht="21.75" customHeight="1" x14ac:dyDescent="0.15"/>
    <row r="154" s="432" customFormat="1" ht="21.75" customHeight="1" x14ac:dyDescent="0.15"/>
    <row r="155" s="432" customFormat="1" ht="21.75" customHeight="1" x14ac:dyDescent="0.15"/>
    <row r="156" s="432" customFormat="1" ht="21.75" customHeight="1" x14ac:dyDescent="0.15"/>
    <row r="157" s="432" customFormat="1" ht="21.75" customHeight="1" x14ac:dyDescent="0.15"/>
    <row r="158" s="432" customFormat="1" ht="21.75" customHeight="1" x14ac:dyDescent="0.15"/>
    <row r="159" s="432" customFormat="1" ht="21.75" customHeight="1" x14ac:dyDescent="0.15"/>
    <row r="160" s="432" customFormat="1" ht="21.75" customHeight="1" x14ac:dyDescent="0.15"/>
    <row r="161" s="432" customFormat="1" ht="21.75" customHeight="1" x14ac:dyDescent="0.15"/>
    <row r="162" s="432" customFormat="1" ht="21.75" customHeight="1" x14ac:dyDescent="0.15"/>
    <row r="163" s="432" customFormat="1" ht="21.75" customHeight="1" x14ac:dyDescent="0.15"/>
    <row r="164" s="432" customFormat="1" ht="21.75" customHeight="1" x14ac:dyDescent="0.15"/>
    <row r="165" s="432" customFormat="1" ht="21.75" customHeight="1" x14ac:dyDescent="0.15"/>
    <row r="166" s="432" customFormat="1" ht="21.75" customHeight="1" x14ac:dyDescent="0.15"/>
    <row r="167" s="432" customFormat="1" ht="21.75" customHeight="1" x14ac:dyDescent="0.15"/>
    <row r="168" s="432" customFormat="1" ht="21.75" customHeight="1" x14ac:dyDescent="0.15"/>
    <row r="169" s="432" customFormat="1" ht="21.75" customHeight="1" x14ac:dyDescent="0.15"/>
    <row r="170" s="432" customFormat="1" ht="21.75" customHeight="1" x14ac:dyDescent="0.15"/>
    <row r="171" s="432" customFormat="1" ht="21.75" customHeight="1" x14ac:dyDescent="0.15"/>
    <row r="172" s="432" customFormat="1" ht="21.75" customHeight="1" x14ac:dyDescent="0.15"/>
    <row r="173" s="432" customFormat="1" ht="21.75" customHeight="1" x14ac:dyDescent="0.15"/>
    <row r="174" s="432" customFormat="1" ht="21.75" customHeight="1" x14ac:dyDescent="0.15"/>
    <row r="175" s="432" customFormat="1" ht="21.75" customHeight="1" x14ac:dyDescent="0.15"/>
    <row r="176" s="432" customFormat="1" ht="21.75" customHeight="1" x14ac:dyDescent="0.15"/>
    <row r="177" spans="11:15" s="432" customFormat="1" ht="21.75" customHeight="1" x14ac:dyDescent="0.15"/>
    <row r="178" spans="11:15" s="432" customFormat="1" ht="21.75" customHeight="1" x14ac:dyDescent="0.15"/>
    <row r="179" spans="11:15" s="432" customFormat="1" ht="21.75" customHeight="1" x14ac:dyDescent="0.15"/>
    <row r="180" spans="11:15" s="432" customFormat="1" ht="21.75" customHeight="1" x14ac:dyDescent="0.15"/>
    <row r="181" spans="11:15" s="432" customFormat="1" ht="21.75" customHeight="1" x14ac:dyDescent="0.15"/>
    <row r="182" spans="11:15" s="432" customFormat="1" ht="21.75" customHeight="1" x14ac:dyDescent="0.15"/>
    <row r="183" spans="11:15" s="432" customFormat="1" ht="21.75" customHeight="1" x14ac:dyDescent="0.15"/>
    <row r="184" spans="11:15" s="432" customFormat="1" ht="21.75" customHeight="1" x14ac:dyDescent="0.15"/>
    <row r="185" spans="11:15" s="18" customFormat="1" ht="21.75" customHeight="1" x14ac:dyDescent="0.15">
      <c r="K185" s="432"/>
      <c r="L185" s="432"/>
      <c r="M185" s="432"/>
      <c r="N185" s="432"/>
      <c r="O185" s="432"/>
    </row>
    <row r="186" spans="11:15" s="18" customFormat="1" ht="21.75" customHeight="1" x14ac:dyDescent="0.15"/>
    <row r="187" spans="11:15" s="18" customFormat="1" ht="21.75" customHeight="1" x14ac:dyDescent="0.15"/>
    <row r="188" spans="11:15" s="18" customFormat="1" ht="21.75" customHeight="1" x14ac:dyDescent="0.15"/>
    <row r="189" spans="11:15" s="18" customFormat="1" ht="21.75" customHeight="1" x14ac:dyDescent="0.15"/>
    <row r="190" spans="11:15" s="18" customFormat="1" ht="21.75" customHeight="1" x14ac:dyDescent="0.15"/>
    <row r="191" spans="11:15" s="18" customFormat="1" ht="21.75" customHeight="1" x14ac:dyDescent="0.15"/>
    <row r="192" spans="11:15" s="18" customFormat="1" ht="21.75" customHeight="1" x14ac:dyDescent="0.15"/>
    <row r="193" s="18" customFormat="1" ht="21.75" customHeight="1" x14ac:dyDescent="0.15"/>
    <row r="194" s="18" customFormat="1" ht="21.75" customHeight="1" x14ac:dyDescent="0.15"/>
    <row r="195" s="18" customFormat="1" ht="21.75" customHeight="1" x14ac:dyDescent="0.15"/>
    <row r="196" s="18" customFormat="1" ht="21.75" customHeight="1" x14ac:dyDescent="0.15"/>
    <row r="197" s="18" customFormat="1" ht="21.75" customHeight="1" x14ac:dyDescent="0.15"/>
    <row r="198" s="18" customFormat="1" ht="21.75" customHeight="1" x14ac:dyDescent="0.15"/>
    <row r="199" s="18" customFormat="1" ht="21.75" customHeight="1" x14ac:dyDescent="0.15"/>
    <row r="200" s="18" customFormat="1" ht="21.75" customHeight="1" x14ac:dyDescent="0.15"/>
    <row r="201" s="18" customFormat="1" ht="21.75" customHeight="1" x14ac:dyDescent="0.15"/>
    <row r="202" s="18" customFormat="1" ht="21.75" customHeight="1" x14ac:dyDescent="0.15"/>
    <row r="203" s="18" customFormat="1" ht="21.75" customHeight="1" x14ac:dyDescent="0.15"/>
    <row r="204" s="18" customFormat="1" ht="21.75" customHeight="1" x14ac:dyDescent="0.15"/>
    <row r="205" s="18" customFormat="1" ht="21.75" customHeight="1" x14ac:dyDescent="0.15"/>
    <row r="206" s="18" customFormat="1" ht="21.75" customHeight="1" x14ac:dyDescent="0.15"/>
  </sheetData>
  <sheetProtection formatCells="0" formatColumns="0" formatRows="0"/>
  <mergeCells count="81">
    <mergeCell ref="A101:H101"/>
    <mergeCell ref="A102:B102"/>
    <mergeCell ref="E109:G109"/>
    <mergeCell ref="E110:H110"/>
    <mergeCell ref="E111:H111"/>
    <mergeCell ref="E112:H112"/>
    <mergeCell ref="L81:M81"/>
    <mergeCell ref="K83:K89"/>
    <mergeCell ref="A88:H88"/>
    <mergeCell ref="A89:B89"/>
    <mergeCell ref="E94:H94"/>
    <mergeCell ref="E96:H96"/>
    <mergeCell ref="O76:P76"/>
    <mergeCell ref="A77:C77"/>
    <mergeCell ref="K77:K78"/>
    <mergeCell ref="L77:L78"/>
    <mergeCell ref="A79:E79"/>
    <mergeCell ref="K79:K80"/>
    <mergeCell ref="L79:L80"/>
    <mergeCell ref="A80:B80"/>
    <mergeCell ref="A74:C74"/>
    <mergeCell ref="L74:M74"/>
    <mergeCell ref="B75:C75"/>
    <mergeCell ref="L75:M75"/>
    <mergeCell ref="B76:C76"/>
    <mergeCell ref="L76:M76"/>
    <mergeCell ref="B70:C70"/>
    <mergeCell ref="B71:C71"/>
    <mergeCell ref="L71:M71"/>
    <mergeCell ref="B72:C72"/>
    <mergeCell ref="L72:M72"/>
    <mergeCell ref="A73:C73"/>
    <mergeCell ref="L73:M73"/>
    <mergeCell ref="B67:C67"/>
    <mergeCell ref="G67:G69"/>
    <mergeCell ref="L67:M67"/>
    <mergeCell ref="B68:C68"/>
    <mergeCell ref="L68:M68"/>
    <mergeCell ref="B69:C69"/>
    <mergeCell ref="L69:M69"/>
    <mergeCell ref="A45:B45"/>
    <mergeCell ref="A46:B46"/>
    <mergeCell ref="A63:C63"/>
    <mergeCell ref="A64:G64"/>
    <mergeCell ref="A66:C66"/>
    <mergeCell ref="L66:M66"/>
    <mergeCell ref="K39:N39"/>
    <mergeCell ref="K40:N40"/>
    <mergeCell ref="K41:N41"/>
    <mergeCell ref="A42:B42"/>
    <mergeCell ref="A43:B43"/>
    <mergeCell ref="A44:B44"/>
    <mergeCell ref="A24:A25"/>
    <mergeCell ref="E33:E35"/>
    <mergeCell ref="K35:K37"/>
    <mergeCell ref="L35:L37"/>
    <mergeCell ref="N35:N37"/>
    <mergeCell ref="O35:O37"/>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3" type="noConversion"/>
  <conditionalFormatting sqref="C5:C7">
    <cfRule type="cellIs" dxfId="9" priority="10" stopIfTrue="1" operator="equal">
      <formula>25</formula>
    </cfRule>
  </conditionalFormatting>
  <conditionalFormatting sqref="C8:C9">
    <cfRule type="cellIs" dxfId="8" priority="9" stopIfTrue="1" operator="equal">
      <formula>15</formula>
    </cfRule>
  </conditionalFormatting>
  <conditionalFormatting sqref="C14:C16">
    <cfRule type="cellIs" dxfId="7" priority="8" stopIfTrue="1" operator="equal">
      <formula>30</formula>
    </cfRule>
  </conditionalFormatting>
  <conditionalFormatting sqref="D5:D7">
    <cfRule type="cellIs" dxfId="6" priority="7" stopIfTrue="1" operator="equal">
      <formula>25</formula>
    </cfRule>
  </conditionalFormatting>
  <conditionalFormatting sqref="D8:D9">
    <cfRule type="cellIs" dxfId="5" priority="6" stopIfTrue="1" operator="equal">
      <formula>15</formula>
    </cfRule>
  </conditionalFormatting>
  <conditionalFormatting sqref="C10:D13">
    <cfRule type="cellIs" dxfId="4" priority="5" stopIfTrue="1" operator="equal">
      <formula>15</formula>
    </cfRule>
  </conditionalFormatting>
  <conditionalFormatting sqref="D14:D16">
    <cfRule type="cellIs" dxfId="3" priority="4" stopIfTrue="1" operator="equal">
      <formula>30</formula>
    </cfRule>
  </conditionalFormatting>
  <conditionalFormatting sqref="C108">
    <cfRule type="expression" dxfId="2" priority="3" stopIfTrue="1">
      <formula>$H$106&lt;&gt;"仅含出让金"</formula>
    </cfRule>
  </conditionalFormatting>
  <conditionalFormatting sqref="C109">
    <cfRule type="expression" dxfId="1" priority="2" stopIfTrue="1">
      <formula>$H$109="由企业提供"</formula>
    </cfRule>
  </conditionalFormatting>
  <conditionalFormatting sqref="I33">
    <cfRule type="expression" dxfId="0" priority="1" stopIfTrue="1">
      <formula>$H$33="同一抵押权人同一抵押物续贷"</formula>
    </cfRule>
  </conditionalFormatting>
  <dataValidations count="20">
    <dataValidation type="list" allowBlank="1" showInputMessage="1" showErrorMessage="1" sqref="A43">
      <formula1>"2.估价师知悉的法定优先受偿款,2.估价师知悉的除抵押担保权以外的法定优先受偿款,——"</formula1>
    </dataValidation>
    <dataValidation type="list" allowBlank="1" showInputMessage="1" showErrorMessage="1" sqref="G43">
      <formula1>"设定,——"</formula1>
    </dataValidation>
    <dataValidation type="list" allowBlank="1" showInputMessage="1" showErrorMessage="1" sqref="H109">
      <formula1>"企业提供(在右侧录入),——"</formula1>
    </dataValidation>
    <dataValidation type="list" showInputMessage="1" showErrorMessage="1" sqref="F1">
      <formula1>"土地,现房"</formula1>
    </dataValidation>
    <dataValidation type="list" allowBlank="1" showInputMessage="1" showErrorMessage="1" sqref="D1">
      <formula1>"项目局部,项目全部"</formula1>
    </dataValidation>
    <dataValidation type="list" allowBlank="1" showInputMessage="1" showErrorMessage="1" sqref="N42">
      <formula1>"测算结果/万元,测算结果/（元/平方米）"</formula1>
    </dataValidation>
    <dataValidation type="list" allowBlank="1" showInputMessage="1" showErrorMessage="1" sqref="O42">
      <formula1>"最终结果/万元,最终结果/（元/平方米）"</formula1>
    </dataValidation>
    <dataValidation type="list" allowBlank="1" showInputMessage="1" showErrorMessage="1" sqref="L42">
      <formula1>"估价结果/万元,估价结果/（元/平方米）"</formula1>
    </dataValidation>
    <dataValidation type="list" allowBlank="1" showInputMessage="1" showErrorMessage="1" sqref="B25">
      <formula1>"楼面地价,单位面积地价"</formula1>
    </dataValidation>
    <dataValidation type="list" allowBlank="1" showInputMessage="1" showErrorMessage="1" sqref="H77">
      <formula1>"非个人房产,个人住宅,个人非住宅"</formula1>
    </dataValidation>
    <dataValidation type="list" allowBlank="1" showInputMessage="1" showErrorMessage="1" sqref="C47">
      <formula1>"无,有"</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F93">
      <formula1>"买卖合同,购房发票"</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H106">
      <formula1>"仅含出让金,出让金+开发费"</formula1>
    </dataValidation>
    <dataValidation type="list" allowBlank="1" showInputMessage="1" showErrorMessage="1" sqref="F63">
      <formula1>"100%,80%,60%,64%"</formula1>
    </dataValidation>
    <dataValidation type="list" allowBlank="1" showInputMessage="1" showErrorMessage="1" sqref="H76">
      <formula1>"转让取得,自行开发建设"</formula1>
    </dataValidation>
    <dataValidation type="list" allowBlank="1" showInputMessage="1" showErrorMessage="1" sqref="H66">
      <formula1>"情况1,情况2,情况3,情况4"</formula1>
    </dataValidation>
    <dataValidation type="list" allowBlank="1" showInputMessage="1" showErrorMessage="1" sqref="H73:H74">
      <formula1>"个人住宅,正常"</formula1>
    </dataValidation>
    <dataValidation type="list" allowBlank="1" showInputMessage="1" showErrorMessage="1" sqref="C4:D4">
      <formula1>估价方法</formula1>
    </dataValidation>
  </dataValidations>
  <pageMargins left="0.43307086614173229" right="0.43307086614173229" top="0.35433070866141736" bottom="0.15748031496062992" header="0.31496062992125984" footer="0.31496062992125984"/>
  <pageSetup paperSize="9" scale="29" fitToHeight="0" orientation="portrait" r:id="rId1"/>
  <rowBreaks count="2" manualBreakCount="2">
    <brk id="60" max="8" man="1"/>
    <brk id="129"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opLeftCell="C1" workbookViewId="0">
      <selection activeCell="P9" sqref="P9"/>
    </sheetView>
  </sheetViews>
  <sheetFormatPr defaultRowHeight="12.75" x14ac:dyDescent="0.15"/>
  <cols>
    <col min="1" max="1" width="18.625" style="443" customWidth="1"/>
    <col min="2" max="2" width="9.125" style="443" customWidth="1"/>
    <col min="3" max="3" width="8.125" style="443" customWidth="1"/>
    <col min="4" max="4" width="14.375" style="443" customWidth="1"/>
    <col min="5" max="5" width="9.125" style="443" customWidth="1"/>
    <col min="6" max="6" width="7.125" style="443" customWidth="1"/>
    <col min="7" max="7" width="8.125" style="443" customWidth="1"/>
    <col min="8" max="8" width="7.5" style="443" customWidth="1"/>
    <col min="9" max="9" width="8.5" style="443" customWidth="1"/>
    <col min="10" max="10" width="7.875" style="443" customWidth="1"/>
    <col min="11" max="11" width="8.5" style="443" customWidth="1"/>
    <col min="12" max="16384" width="9" style="443"/>
  </cols>
  <sheetData>
    <row r="1" spans="1:17" ht="25.5" customHeight="1" x14ac:dyDescent="0.15">
      <c r="A1" s="439" t="s">
        <v>244</v>
      </c>
      <c r="B1" s="439" t="s">
        <v>245</v>
      </c>
      <c r="C1" s="439" t="s">
        <v>246</v>
      </c>
      <c r="D1" s="439" t="s">
        <v>247</v>
      </c>
      <c r="E1" s="439" t="s">
        <v>248</v>
      </c>
      <c r="F1" s="440" t="s">
        <v>249</v>
      </c>
      <c r="G1" s="441"/>
      <c r="H1" s="442"/>
      <c r="I1" s="440" t="s">
        <v>250</v>
      </c>
      <c r="J1" s="441"/>
      <c r="K1" s="442"/>
      <c r="N1" s="443" t="s">
        <v>251</v>
      </c>
      <c r="O1" s="444" t="s">
        <v>252</v>
      </c>
      <c r="P1" s="444" t="s">
        <v>253</v>
      </c>
      <c r="Q1" s="444" t="s">
        <v>254</v>
      </c>
    </row>
    <row r="2" spans="1:17" ht="27" customHeight="1" x14ac:dyDescent="0.15">
      <c r="A2" s="445" t="s">
        <v>255</v>
      </c>
      <c r="B2" s="445" t="s">
        <v>256</v>
      </c>
      <c r="C2" s="445">
        <f>[1]地块分布情况!C10</f>
        <v>38270.76</v>
      </c>
      <c r="D2" s="445">
        <v>6813</v>
      </c>
      <c r="E2" s="445">
        <v>1.65</v>
      </c>
      <c r="F2" s="445" t="s">
        <v>257</v>
      </c>
      <c r="G2" s="439" t="s">
        <v>258</v>
      </c>
      <c r="H2" s="439">
        <f>[1]A3总规划!F12</f>
        <v>59500</v>
      </c>
      <c r="I2" s="445" t="s">
        <v>257</v>
      </c>
      <c r="J2" s="439" t="s">
        <v>258</v>
      </c>
      <c r="K2" s="439">
        <f>ROUND($D$2/$C$2*H2,2)</f>
        <v>10592.25</v>
      </c>
      <c r="N2" s="443">
        <f>C2-D2</f>
        <v>31457.760000000002</v>
      </c>
      <c r="O2" s="443">
        <f ca="1">[1]系统读取表!F14</f>
        <v>29753</v>
      </c>
      <c r="P2" s="443">
        <f ca="1">ROUND(N2*O2/10000,0)</f>
        <v>93596</v>
      </c>
      <c r="Q2" s="443">
        <f>H10-K10</f>
        <v>135256.63</v>
      </c>
    </row>
    <row r="3" spans="1:17" ht="13.5" customHeight="1" x14ac:dyDescent="0.15">
      <c r="A3" s="446"/>
      <c r="B3" s="446"/>
      <c r="C3" s="446"/>
      <c r="D3" s="446"/>
      <c r="E3" s="446"/>
      <c r="F3" s="446"/>
      <c r="G3" s="439" t="s">
        <v>259</v>
      </c>
      <c r="H3" s="439">
        <f>[1]A3总规划!F14</f>
        <v>3450</v>
      </c>
      <c r="I3" s="446"/>
      <c r="J3" s="439" t="s">
        <v>259</v>
      </c>
      <c r="K3" s="439">
        <f>ROUND($D$2/$C$2*H3,2)</f>
        <v>614.16999999999996</v>
      </c>
      <c r="N3" s="443" t="s">
        <v>260</v>
      </c>
    </row>
    <row r="4" spans="1:17" ht="13.5" customHeight="1" x14ac:dyDescent="0.15">
      <c r="A4" s="446"/>
      <c r="B4" s="446"/>
      <c r="C4" s="446"/>
      <c r="D4" s="446"/>
      <c r="E4" s="446"/>
      <c r="F4" s="446"/>
      <c r="G4" s="439" t="s">
        <v>261</v>
      </c>
      <c r="H4" s="439">
        <f>[1]A3总规划!F17</f>
        <v>300</v>
      </c>
      <c r="I4" s="446"/>
      <c r="J4" s="439" t="s">
        <v>261</v>
      </c>
      <c r="K4" s="439">
        <f>ROUND($D$2/$C$2*H4,2)</f>
        <v>53.41</v>
      </c>
      <c r="N4" s="443">
        <f>C11-D11-D21</f>
        <v>7560</v>
      </c>
      <c r="O4" s="443">
        <f>[1]系统读取表!F15</f>
        <v>39102</v>
      </c>
      <c r="P4" s="443">
        <f>ROUND(N4*O4/10000,0)</f>
        <v>29561</v>
      </c>
      <c r="Q4" s="443">
        <f>H20-K20-K30</f>
        <v>23853.89</v>
      </c>
    </row>
    <row r="5" spans="1:17" ht="14.25" x14ac:dyDescent="0.15">
      <c r="A5" s="446"/>
      <c r="B5" s="446"/>
      <c r="C5" s="446"/>
      <c r="D5" s="446"/>
      <c r="E5" s="446"/>
      <c r="F5" s="447"/>
      <c r="G5" s="439" t="s">
        <v>262</v>
      </c>
      <c r="H5" s="439">
        <f>[1]A3总规划!F18+[1]A3总规划!F27</f>
        <v>1300</v>
      </c>
      <c r="I5" s="447"/>
      <c r="J5" s="439" t="s">
        <v>262</v>
      </c>
      <c r="K5" s="439">
        <f>ROUND($D$2/$C$2*H5,2)</f>
        <v>231.43</v>
      </c>
      <c r="N5" s="443" t="s">
        <v>263</v>
      </c>
    </row>
    <row r="6" spans="1:17" x14ac:dyDescent="0.15">
      <c r="A6" s="446"/>
      <c r="B6" s="446"/>
      <c r="C6" s="446"/>
      <c r="D6" s="446"/>
      <c r="E6" s="446"/>
      <c r="F6" s="448" t="s">
        <v>264</v>
      </c>
      <c r="G6" s="449"/>
      <c r="H6" s="450">
        <f>H2+H3+H4+H5</f>
        <v>64550</v>
      </c>
      <c r="I6" s="448" t="s">
        <v>264</v>
      </c>
      <c r="J6" s="449"/>
      <c r="K6" s="450">
        <f>K2+K3+K4+K5</f>
        <v>11491.26</v>
      </c>
      <c r="N6" s="443">
        <f>C31-D31</f>
        <v>2545</v>
      </c>
      <c r="O6" s="443">
        <f>[1]系统读取表!F16</f>
        <v>38981</v>
      </c>
      <c r="P6" s="443">
        <f>ROUND(N6*O6/10000,0)</f>
        <v>9921</v>
      </c>
      <c r="Q6" s="443">
        <f>H39-K39</f>
        <v>4358.5800000000017</v>
      </c>
    </row>
    <row r="7" spans="1:17" ht="14.25" x14ac:dyDescent="0.15">
      <c r="A7" s="446"/>
      <c r="B7" s="446"/>
      <c r="C7" s="446"/>
      <c r="D7" s="446"/>
      <c r="E7" s="446"/>
      <c r="F7" s="445" t="s">
        <v>265</v>
      </c>
      <c r="G7" s="439" t="s">
        <v>266</v>
      </c>
      <c r="H7" s="439">
        <f>[1]A3总规划!F25</f>
        <v>59700</v>
      </c>
      <c r="I7" s="445" t="s">
        <v>265</v>
      </c>
      <c r="J7" s="439" t="s">
        <v>266</v>
      </c>
      <c r="K7" s="439">
        <f>ROUND($D$2/$C$2*H7,2)</f>
        <v>10627.86</v>
      </c>
      <c r="N7" s="443" t="s">
        <v>267</v>
      </c>
    </row>
    <row r="8" spans="1:17" ht="14.25" x14ac:dyDescent="0.15">
      <c r="A8" s="446"/>
      <c r="B8" s="446"/>
      <c r="C8" s="446"/>
      <c r="D8" s="446"/>
      <c r="E8" s="446"/>
      <c r="F8" s="447"/>
      <c r="G8" s="439" t="s">
        <v>262</v>
      </c>
      <c r="H8" s="439">
        <f>[1]A3总规划!F26+[1]A3总规划!F28</f>
        <v>40300</v>
      </c>
      <c r="I8" s="447"/>
      <c r="J8" s="439" t="s">
        <v>262</v>
      </c>
      <c r="K8" s="439">
        <f>ROUND($D$2/$C$2*H8,2)</f>
        <v>7174.25</v>
      </c>
      <c r="N8" s="443">
        <f>C40-D40</f>
        <v>15171</v>
      </c>
      <c r="O8" s="443">
        <f>[1]系统读取表!F17</f>
        <v>18641</v>
      </c>
      <c r="P8" s="443">
        <f>ROUND(N8*O8/10000,0)</f>
        <v>28280</v>
      </c>
      <c r="Q8" s="443">
        <f>H48-K48</f>
        <v>95471.4</v>
      </c>
    </row>
    <row r="9" spans="1:17" x14ac:dyDescent="0.15">
      <c r="A9" s="446"/>
      <c r="B9" s="446"/>
      <c r="C9" s="446"/>
      <c r="D9" s="446"/>
      <c r="E9" s="446"/>
      <c r="F9" s="448" t="s">
        <v>264</v>
      </c>
      <c r="G9" s="449"/>
      <c r="H9" s="450">
        <f>H7+H8</f>
        <v>100000</v>
      </c>
      <c r="I9" s="448" t="s">
        <v>264</v>
      </c>
      <c r="J9" s="449"/>
      <c r="K9" s="450">
        <f>K7+K8</f>
        <v>17802.11</v>
      </c>
      <c r="N9" s="444" t="s">
        <v>268</v>
      </c>
    </row>
    <row r="10" spans="1:17" x14ac:dyDescent="0.15">
      <c r="A10" s="447"/>
      <c r="B10" s="447"/>
      <c r="C10" s="447"/>
      <c r="D10" s="447"/>
      <c r="E10" s="447"/>
      <c r="F10" s="448" t="s">
        <v>269</v>
      </c>
      <c r="G10" s="449"/>
      <c r="H10" s="450">
        <f>H6+H9</f>
        <v>164550</v>
      </c>
      <c r="I10" s="448" t="s">
        <v>269</v>
      </c>
      <c r="J10" s="449"/>
      <c r="K10" s="450">
        <f>K6+K9</f>
        <v>29293.370000000003</v>
      </c>
      <c r="N10" s="443">
        <f>C76-D76</f>
        <v>36598.300000000003</v>
      </c>
      <c r="O10" s="443">
        <f>[1]系统读取表!F20</f>
        <v>15692</v>
      </c>
      <c r="P10" s="443">
        <f>ROUND(N10*O10/10000,0)</f>
        <v>57430</v>
      </c>
      <c r="Q10" s="443">
        <f>J82-K80</f>
        <v>73196.600000000006</v>
      </c>
    </row>
    <row r="11" spans="1:17" ht="29.25" customHeight="1" x14ac:dyDescent="0.15">
      <c r="A11" s="451" t="s">
        <v>270</v>
      </c>
      <c r="B11" s="451" t="s">
        <v>271</v>
      </c>
      <c r="C11" s="451">
        <f>[1]地块分布情况!C12</f>
        <v>23925</v>
      </c>
      <c r="D11" s="451">
        <v>6862</v>
      </c>
      <c r="E11" s="451">
        <v>2.68</v>
      </c>
      <c r="F11" s="451" t="s">
        <v>272</v>
      </c>
      <c r="G11" s="439" t="s">
        <v>273</v>
      </c>
      <c r="H11" s="439">
        <f>[1]F总规划!F12</f>
        <v>51750</v>
      </c>
      <c r="I11" s="451" t="s">
        <v>272</v>
      </c>
      <c r="J11" s="439" t="s">
        <v>273</v>
      </c>
      <c r="K11" s="439">
        <f>ROUND($D$11/$C$11*H11,2)</f>
        <v>14842.57</v>
      </c>
      <c r="N11" s="443">
        <f>N2+N4+N6+N8+N10</f>
        <v>93332.06</v>
      </c>
      <c r="P11" s="443">
        <f ca="1">P2+P4+P6+P8+P10</f>
        <v>218788</v>
      </c>
      <c r="Q11" s="443">
        <f>Q2+Q4+Q6+Q8+Q10</f>
        <v>332137.10000000003</v>
      </c>
    </row>
    <row r="12" spans="1:17" ht="14.25" x14ac:dyDescent="0.15">
      <c r="A12" s="451"/>
      <c r="B12" s="451"/>
      <c r="C12" s="451"/>
      <c r="D12" s="451"/>
      <c r="E12" s="451"/>
      <c r="F12" s="451"/>
      <c r="G12" s="439" t="s">
        <v>274</v>
      </c>
      <c r="H12" s="439">
        <f>[1]F总规划!F24</f>
        <v>580</v>
      </c>
      <c r="I12" s="451"/>
      <c r="J12" s="439" t="s">
        <v>274</v>
      </c>
      <c r="K12" s="439">
        <f t="shared" ref="K12:K15" si="0">ROUND($D$11/$C$11*H12,2)</f>
        <v>166.35</v>
      </c>
    </row>
    <row r="13" spans="1:17" ht="14.25" x14ac:dyDescent="0.15">
      <c r="A13" s="451"/>
      <c r="B13" s="451"/>
      <c r="C13" s="451"/>
      <c r="D13" s="451"/>
      <c r="E13" s="451"/>
      <c r="F13" s="451"/>
      <c r="G13" s="439" t="s">
        <v>259</v>
      </c>
      <c r="H13" s="439">
        <f>[1]F总规划!F16</f>
        <v>500</v>
      </c>
      <c r="I13" s="451"/>
      <c r="J13" s="439" t="s">
        <v>259</v>
      </c>
      <c r="K13" s="439">
        <f t="shared" si="0"/>
        <v>143.41</v>
      </c>
    </row>
    <row r="14" spans="1:17" ht="14.25" x14ac:dyDescent="0.15">
      <c r="A14" s="451"/>
      <c r="B14" s="451"/>
      <c r="C14" s="451"/>
      <c r="D14" s="451"/>
      <c r="E14" s="451"/>
      <c r="F14" s="451"/>
      <c r="G14" s="439" t="s">
        <v>262</v>
      </c>
      <c r="H14" s="439">
        <f>[1]F总规划!F18+[1]F总规划!F19+[1]F总规划!F27</f>
        <v>2390</v>
      </c>
      <c r="I14" s="451"/>
      <c r="J14" s="439" t="s">
        <v>262</v>
      </c>
      <c r="K14" s="439">
        <f t="shared" si="0"/>
        <v>685.48</v>
      </c>
    </row>
    <row r="15" spans="1:17" ht="14.25" x14ac:dyDescent="0.15">
      <c r="A15" s="451"/>
      <c r="B15" s="451"/>
      <c r="C15" s="451"/>
      <c r="D15" s="451"/>
      <c r="E15" s="451"/>
      <c r="F15" s="451"/>
      <c r="G15" s="439" t="s">
        <v>261</v>
      </c>
      <c r="H15" s="439">
        <f>[1]F总规划!F17</f>
        <v>270</v>
      </c>
      <c r="I15" s="451"/>
      <c r="J15" s="439" t="s">
        <v>261</v>
      </c>
      <c r="K15" s="439">
        <f t="shared" si="0"/>
        <v>77.44</v>
      </c>
    </row>
    <row r="16" spans="1:17" ht="14.25" x14ac:dyDescent="0.15">
      <c r="A16" s="451"/>
      <c r="B16" s="451"/>
      <c r="C16" s="451"/>
      <c r="D16" s="451"/>
      <c r="E16" s="451"/>
      <c r="F16" s="452" t="s">
        <v>264</v>
      </c>
      <c r="G16" s="453"/>
      <c r="H16" s="454">
        <f>H11+H12+H13+H14+H15</f>
        <v>55490</v>
      </c>
      <c r="I16" s="455" t="s">
        <v>264</v>
      </c>
      <c r="J16" s="455"/>
      <c r="K16" s="450">
        <f>K11+K12+K13+K14+K15</f>
        <v>15915.25</v>
      </c>
    </row>
    <row r="17" spans="1:11" ht="14.25" x14ac:dyDescent="0.15">
      <c r="A17" s="451"/>
      <c r="B17" s="451"/>
      <c r="C17" s="451"/>
      <c r="D17" s="451"/>
      <c r="E17" s="451"/>
      <c r="F17" s="451" t="s">
        <v>265</v>
      </c>
      <c r="G17" s="439" t="s">
        <v>266</v>
      </c>
      <c r="H17" s="439">
        <f>[1]F总规划!F25</f>
        <v>19600</v>
      </c>
      <c r="I17" s="451" t="s">
        <v>265</v>
      </c>
      <c r="J17" s="439" t="s">
        <v>266</v>
      </c>
      <c r="K17" s="439">
        <f>ROUND($D$11/$C$11*H17,2)</f>
        <v>5621.53</v>
      </c>
    </row>
    <row r="18" spans="1:11" ht="14.25" x14ac:dyDescent="0.15">
      <c r="A18" s="451"/>
      <c r="B18" s="451"/>
      <c r="C18" s="451"/>
      <c r="D18" s="451"/>
      <c r="E18" s="451"/>
      <c r="F18" s="451"/>
      <c r="G18" s="439" t="s">
        <v>262</v>
      </c>
      <c r="H18" s="439">
        <f>[1]F总规划!F26</f>
        <v>400</v>
      </c>
      <c r="I18" s="451"/>
      <c r="J18" s="439" t="s">
        <v>262</v>
      </c>
      <c r="K18" s="439">
        <f>ROUND($D$11/$C$11*H18,2)</f>
        <v>114.73</v>
      </c>
    </row>
    <row r="19" spans="1:11" ht="14.25" x14ac:dyDescent="0.15">
      <c r="A19" s="451"/>
      <c r="B19" s="451"/>
      <c r="C19" s="451"/>
      <c r="D19" s="451"/>
      <c r="E19" s="451"/>
      <c r="F19" s="452" t="s">
        <v>264</v>
      </c>
      <c r="G19" s="453"/>
      <c r="H19" s="454">
        <f>H17+H18</f>
        <v>20000</v>
      </c>
      <c r="I19" s="455" t="s">
        <v>264</v>
      </c>
      <c r="J19" s="455"/>
      <c r="K19" s="450">
        <f>K17+K18</f>
        <v>5736.2599999999993</v>
      </c>
    </row>
    <row r="20" spans="1:11" x14ac:dyDescent="0.15">
      <c r="A20" s="451"/>
      <c r="B20" s="451"/>
      <c r="C20" s="451"/>
      <c r="D20" s="451"/>
      <c r="E20" s="451"/>
      <c r="F20" s="455" t="s">
        <v>269</v>
      </c>
      <c r="G20" s="455"/>
      <c r="H20" s="450">
        <f>H16+H19</f>
        <v>75490</v>
      </c>
      <c r="I20" s="455" t="s">
        <v>269</v>
      </c>
      <c r="J20" s="455"/>
      <c r="K20" s="450">
        <f>K16+K19</f>
        <v>21651.51</v>
      </c>
    </row>
    <row r="21" spans="1:11" ht="25.5" customHeight="1" x14ac:dyDescent="0.15">
      <c r="A21" s="451" t="s">
        <v>275</v>
      </c>
      <c r="B21" s="451"/>
      <c r="C21" s="451"/>
      <c r="D21" s="451">
        <v>9503</v>
      </c>
      <c r="E21" s="451"/>
      <c r="F21" s="439"/>
      <c r="G21" s="439"/>
      <c r="H21" s="439"/>
      <c r="I21" s="451" t="s">
        <v>272</v>
      </c>
      <c r="J21" s="439" t="s">
        <v>273</v>
      </c>
      <c r="K21" s="439">
        <f>ROUND($D$21/$C$11*H11,2)</f>
        <v>20555.080000000002</v>
      </c>
    </row>
    <row r="22" spans="1:11" ht="14.25" x14ac:dyDescent="0.15">
      <c r="A22" s="451"/>
      <c r="B22" s="451"/>
      <c r="C22" s="451"/>
      <c r="D22" s="451"/>
      <c r="E22" s="451"/>
      <c r="F22" s="439"/>
      <c r="G22" s="439"/>
      <c r="H22" s="439"/>
      <c r="I22" s="451"/>
      <c r="J22" s="439" t="s">
        <v>274</v>
      </c>
      <c r="K22" s="439">
        <f t="shared" ref="K22:K25" si="1">ROUND($D$21/$C$11*H12,2)</f>
        <v>230.38</v>
      </c>
    </row>
    <row r="23" spans="1:11" ht="14.25" x14ac:dyDescent="0.15">
      <c r="A23" s="451"/>
      <c r="B23" s="451"/>
      <c r="C23" s="451"/>
      <c r="D23" s="451"/>
      <c r="E23" s="451"/>
      <c r="F23" s="439"/>
      <c r="G23" s="439"/>
      <c r="H23" s="439"/>
      <c r="I23" s="451"/>
      <c r="J23" s="439" t="s">
        <v>259</v>
      </c>
      <c r="K23" s="439">
        <f t="shared" si="1"/>
        <v>198.6</v>
      </c>
    </row>
    <row r="24" spans="1:11" ht="14.25" x14ac:dyDescent="0.15">
      <c r="A24" s="451"/>
      <c r="B24" s="451"/>
      <c r="C24" s="451"/>
      <c r="D24" s="451"/>
      <c r="E24" s="451"/>
      <c r="F24" s="456"/>
      <c r="G24" s="456"/>
      <c r="H24" s="456"/>
      <c r="I24" s="451"/>
      <c r="J24" s="439" t="s">
        <v>262</v>
      </c>
      <c r="K24" s="439">
        <f t="shared" si="1"/>
        <v>949.31</v>
      </c>
    </row>
    <row r="25" spans="1:11" ht="14.25" x14ac:dyDescent="0.15">
      <c r="A25" s="451"/>
      <c r="B25" s="451"/>
      <c r="C25" s="451"/>
      <c r="D25" s="451"/>
      <c r="E25" s="451"/>
      <c r="F25" s="456"/>
      <c r="G25" s="456"/>
      <c r="H25" s="456"/>
      <c r="I25" s="451"/>
      <c r="J25" s="439" t="s">
        <v>261</v>
      </c>
      <c r="K25" s="439">
        <f t="shared" si="1"/>
        <v>107.24</v>
      </c>
    </row>
    <row r="26" spans="1:11" x14ac:dyDescent="0.15">
      <c r="A26" s="451"/>
      <c r="B26" s="451"/>
      <c r="C26" s="451"/>
      <c r="D26" s="451"/>
      <c r="E26" s="451"/>
      <c r="F26" s="456"/>
      <c r="G26" s="456"/>
      <c r="H26" s="456"/>
      <c r="I26" s="455" t="s">
        <v>264</v>
      </c>
      <c r="J26" s="455"/>
      <c r="K26" s="450">
        <f>K21+K22+K23+K24+K25</f>
        <v>22040.610000000004</v>
      </c>
    </row>
    <row r="27" spans="1:11" ht="14.25" x14ac:dyDescent="0.15">
      <c r="A27" s="451"/>
      <c r="B27" s="451"/>
      <c r="C27" s="451"/>
      <c r="D27" s="451"/>
      <c r="E27" s="451"/>
      <c r="F27" s="456"/>
      <c r="G27" s="456"/>
      <c r="H27" s="456"/>
      <c r="I27" s="451" t="s">
        <v>265</v>
      </c>
      <c r="J27" s="439" t="s">
        <v>266</v>
      </c>
      <c r="K27" s="439">
        <f>ROUND($D$21/$C$11*H17,2)</f>
        <v>7785.11</v>
      </c>
    </row>
    <row r="28" spans="1:11" ht="12.75" customHeight="1" x14ac:dyDescent="0.15">
      <c r="A28" s="451"/>
      <c r="B28" s="451"/>
      <c r="C28" s="451"/>
      <c r="D28" s="451"/>
      <c r="E28" s="451"/>
      <c r="F28" s="456"/>
      <c r="G28" s="456"/>
      <c r="H28" s="456"/>
      <c r="I28" s="451"/>
      <c r="J28" s="439" t="s">
        <v>262</v>
      </c>
      <c r="K28" s="439">
        <f>ROUND($D$21/$C$11*H18,2)</f>
        <v>158.88</v>
      </c>
    </row>
    <row r="29" spans="1:11" x14ac:dyDescent="0.15">
      <c r="A29" s="451"/>
      <c r="B29" s="451"/>
      <c r="C29" s="451"/>
      <c r="D29" s="451"/>
      <c r="E29" s="451"/>
      <c r="F29" s="456"/>
      <c r="G29" s="456"/>
      <c r="H29" s="456"/>
      <c r="I29" s="455" t="s">
        <v>264</v>
      </c>
      <c r="J29" s="455"/>
      <c r="K29" s="450">
        <f>K27+K28</f>
        <v>7943.99</v>
      </c>
    </row>
    <row r="30" spans="1:11" x14ac:dyDescent="0.15">
      <c r="A30" s="451"/>
      <c r="B30" s="451"/>
      <c r="C30" s="451"/>
      <c r="D30" s="451"/>
      <c r="E30" s="451"/>
      <c r="F30" s="439"/>
      <c r="G30" s="439"/>
      <c r="H30" s="439"/>
      <c r="I30" s="455" t="s">
        <v>269</v>
      </c>
      <c r="J30" s="455"/>
      <c r="K30" s="450">
        <f>K26+K29</f>
        <v>29984.600000000006</v>
      </c>
    </row>
    <row r="31" spans="1:11" ht="25.5" customHeight="1" x14ac:dyDescent="0.15">
      <c r="A31" s="445" t="s">
        <v>276</v>
      </c>
      <c r="B31" s="445" t="s">
        <v>277</v>
      </c>
      <c r="C31" s="445">
        <f>[1]地块分布情况!C16</f>
        <v>9367</v>
      </c>
      <c r="D31" s="445">
        <v>6822</v>
      </c>
      <c r="E31" s="445">
        <v>1.04</v>
      </c>
      <c r="F31" s="445" t="s">
        <v>272</v>
      </c>
      <c r="G31" s="439" t="s">
        <v>273</v>
      </c>
      <c r="H31" s="439">
        <f>[1]C总规划!F12</f>
        <v>6512</v>
      </c>
      <c r="I31" s="439" t="s">
        <v>272</v>
      </c>
      <c r="J31" s="439" t="s">
        <v>273</v>
      </c>
      <c r="K31" s="439">
        <f>ROUND($D$31/$C$31*H31,2)</f>
        <v>4742.7</v>
      </c>
    </row>
    <row r="32" spans="1:11" ht="14.25" x14ac:dyDescent="0.15">
      <c r="A32" s="446"/>
      <c r="B32" s="446"/>
      <c r="C32" s="446"/>
      <c r="D32" s="446"/>
      <c r="E32" s="446"/>
      <c r="F32" s="446"/>
      <c r="G32" s="439" t="s">
        <v>274</v>
      </c>
      <c r="H32" s="439">
        <f>[1]C总规划!F24</f>
        <v>3160</v>
      </c>
      <c r="I32" s="439"/>
      <c r="J32" s="439" t="s">
        <v>274</v>
      </c>
      <c r="K32" s="439">
        <f t="shared" ref="K32:K34" si="2">ROUND($D$31/$C$31*H32,2)</f>
        <v>2301.4299999999998</v>
      </c>
    </row>
    <row r="33" spans="1:11" ht="14.25" x14ac:dyDescent="0.15">
      <c r="A33" s="446"/>
      <c r="B33" s="446"/>
      <c r="C33" s="446"/>
      <c r="D33" s="446"/>
      <c r="E33" s="446"/>
      <c r="F33" s="446"/>
      <c r="G33" s="439" t="s">
        <v>261</v>
      </c>
      <c r="H33" s="439">
        <f>[1]C总规划!F17</f>
        <v>50</v>
      </c>
      <c r="I33" s="439"/>
      <c r="J33" s="439" t="s">
        <v>261</v>
      </c>
      <c r="K33" s="439">
        <f t="shared" si="2"/>
        <v>36.42</v>
      </c>
    </row>
    <row r="34" spans="1:11" ht="14.25" x14ac:dyDescent="0.15">
      <c r="A34" s="446"/>
      <c r="B34" s="446"/>
      <c r="C34" s="446"/>
      <c r="D34" s="446"/>
      <c r="E34" s="446"/>
      <c r="F34" s="447"/>
      <c r="G34" s="439" t="s">
        <v>262</v>
      </c>
      <c r="H34" s="439">
        <f>[1]C总规划!F18</f>
        <v>20</v>
      </c>
      <c r="I34" s="439"/>
      <c r="J34" s="439" t="s">
        <v>278</v>
      </c>
      <c r="K34" s="439">
        <f t="shared" si="2"/>
        <v>14.57</v>
      </c>
    </row>
    <row r="35" spans="1:11" ht="14.25" x14ac:dyDescent="0.15">
      <c r="A35" s="446"/>
      <c r="B35" s="446"/>
      <c r="C35" s="446"/>
      <c r="D35" s="446"/>
      <c r="E35" s="446"/>
      <c r="F35" s="448" t="s">
        <v>279</v>
      </c>
      <c r="G35" s="449"/>
      <c r="H35" s="450">
        <f>H31+H32+H33+H34</f>
        <v>9742</v>
      </c>
      <c r="I35" s="439" t="s">
        <v>280</v>
      </c>
      <c r="J35" s="439"/>
      <c r="K35" s="450">
        <f>K31+K32+K33+K34</f>
        <v>7095.119999999999</v>
      </c>
    </row>
    <row r="36" spans="1:11" ht="14.25" x14ac:dyDescent="0.15">
      <c r="A36" s="446"/>
      <c r="B36" s="446"/>
      <c r="C36" s="446"/>
      <c r="D36" s="446"/>
      <c r="E36" s="446"/>
      <c r="F36" s="445" t="s">
        <v>281</v>
      </c>
      <c r="G36" s="439" t="s">
        <v>282</v>
      </c>
      <c r="H36" s="439">
        <f>[1]C总规划!F25</f>
        <v>6000</v>
      </c>
      <c r="I36" s="439" t="s">
        <v>265</v>
      </c>
      <c r="J36" s="439" t="s">
        <v>266</v>
      </c>
      <c r="K36" s="439">
        <f>ROUND($D$31/$C$31*H36,2)</f>
        <v>4369.8100000000004</v>
      </c>
    </row>
    <row r="37" spans="1:11" ht="14.25" x14ac:dyDescent="0.15">
      <c r="A37" s="446"/>
      <c r="B37" s="446"/>
      <c r="C37" s="446"/>
      <c r="D37" s="446"/>
      <c r="E37" s="446"/>
      <c r="F37" s="447"/>
      <c r="G37" s="439" t="s">
        <v>262</v>
      </c>
      <c r="H37" s="439">
        <f>[1]C总规划!F26</f>
        <v>300</v>
      </c>
      <c r="I37" s="439"/>
      <c r="J37" s="439" t="s">
        <v>262</v>
      </c>
      <c r="K37" s="439">
        <f>ROUND($D$31/$C$31*H37,2)</f>
        <v>218.49</v>
      </c>
    </row>
    <row r="38" spans="1:11" x14ac:dyDescent="0.15">
      <c r="A38" s="446"/>
      <c r="B38" s="446"/>
      <c r="C38" s="446"/>
      <c r="D38" s="446"/>
      <c r="E38" s="446"/>
      <c r="F38" s="448" t="s">
        <v>264</v>
      </c>
      <c r="G38" s="449"/>
      <c r="H38" s="450">
        <f>H36+H37</f>
        <v>6300</v>
      </c>
      <c r="I38" s="448" t="s">
        <v>264</v>
      </c>
      <c r="J38" s="449"/>
      <c r="K38" s="450">
        <f>K36+K37</f>
        <v>4588.3</v>
      </c>
    </row>
    <row r="39" spans="1:11" x14ac:dyDescent="0.15">
      <c r="A39" s="447"/>
      <c r="B39" s="447"/>
      <c r="C39" s="447"/>
      <c r="D39" s="447"/>
      <c r="E39" s="447"/>
      <c r="F39" s="448" t="s">
        <v>269</v>
      </c>
      <c r="G39" s="449"/>
      <c r="H39" s="450">
        <f>H35+H38</f>
        <v>16042</v>
      </c>
      <c r="I39" s="448" t="s">
        <v>269</v>
      </c>
      <c r="J39" s="449"/>
      <c r="K39" s="450">
        <f>K35+K38</f>
        <v>11683.419999999998</v>
      </c>
    </row>
    <row r="40" spans="1:11" ht="25.5" customHeight="1" x14ac:dyDescent="0.15">
      <c r="A40" s="445" t="s">
        <v>283</v>
      </c>
      <c r="B40" s="445" t="s">
        <v>284</v>
      </c>
      <c r="C40" s="445">
        <f>[1]地块分布情况!C6</f>
        <v>22838</v>
      </c>
      <c r="D40" s="445">
        <v>7667</v>
      </c>
      <c r="E40" s="445">
        <v>3.07</v>
      </c>
      <c r="F40" s="445" t="s">
        <v>272</v>
      </c>
      <c r="G40" s="439" t="s">
        <v>273</v>
      </c>
      <c r="H40" s="439">
        <f>[1]E2总规划!F12</f>
        <v>66390</v>
      </c>
      <c r="I40" s="445" t="s">
        <v>272</v>
      </c>
      <c r="J40" s="439" t="s">
        <v>273</v>
      </c>
      <c r="K40" s="439">
        <f>ROUND($D$40/$C$40*H40,2)</f>
        <v>22287.95</v>
      </c>
    </row>
    <row r="41" spans="1:11" ht="14.25" x14ac:dyDescent="0.15">
      <c r="A41" s="446"/>
      <c r="B41" s="446"/>
      <c r="C41" s="446"/>
      <c r="D41" s="446"/>
      <c r="E41" s="446"/>
      <c r="F41" s="446"/>
      <c r="G41" s="439" t="s">
        <v>259</v>
      </c>
      <c r="H41" s="439">
        <f>[1]E2总规划!F14</f>
        <v>3450</v>
      </c>
      <c r="I41" s="446"/>
      <c r="J41" s="439" t="s">
        <v>259</v>
      </c>
      <c r="K41" s="439">
        <f t="shared" ref="K41:K43" si="3">ROUND($D$40/$C$40*H41,2)</f>
        <v>1158.21</v>
      </c>
    </row>
    <row r="42" spans="1:11" ht="14.25" x14ac:dyDescent="0.15">
      <c r="A42" s="446"/>
      <c r="B42" s="446"/>
      <c r="C42" s="446"/>
      <c r="D42" s="446"/>
      <c r="E42" s="446"/>
      <c r="F42" s="446"/>
      <c r="G42" s="439" t="s">
        <v>261</v>
      </c>
      <c r="H42" s="439">
        <f>[1]E2总规划!F17</f>
        <v>350</v>
      </c>
      <c r="I42" s="446"/>
      <c r="J42" s="439" t="s">
        <v>261</v>
      </c>
      <c r="K42" s="439">
        <f t="shared" si="3"/>
        <v>117.5</v>
      </c>
    </row>
    <row r="43" spans="1:11" ht="14.25" x14ac:dyDescent="0.15">
      <c r="A43" s="446"/>
      <c r="B43" s="446"/>
      <c r="C43" s="446"/>
      <c r="D43" s="446"/>
      <c r="E43" s="446"/>
      <c r="F43" s="447"/>
      <c r="G43" s="439" t="s">
        <v>262</v>
      </c>
      <c r="H43" s="439">
        <f>[1]E2总规划!F18+[1]E2总规划!F27</f>
        <v>630</v>
      </c>
      <c r="I43" s="447"/>
      <c r="J43" s="439" t="s">
        <v>262</v>
      </c>
      <c r="K43" s="439">
        <f t="shared" si="3"/>
        <v>211.5</v>
      </c>
    </row>
    <row r="44" spans="1:11" x14ac:dyDescent="0.15">
      <c r="A44" s="446"/>
      <c r="B44" s="446"/>
      <c r="C44" s="446"/>
      <c r="D44" s="446"/>
      <c r="E44" s="446"/>
      <c r="F44" s="448" t="s">
        <v>264</v>
      </c>
      <c r="G44" s="449"/>
      <c r="H44" s="450">
        <f>H40+H41+H42+H43</f>
        <v>70820</v>
      </c>
      <c r="I44" s="448" t="s">
        <v>264</v>
      </c>
      <c r="J44" s="449"/>
      <c r="K44" s="450">
        <f>K40+K41+K42+K43</f>
        <v>23775.16</v>
      </c>
    </row>
    <row r="45" spans="1:11" ht="14.25" x14ac:dyDescent="0.15">
      <c r="A45" s="446"/>
      <c r="B45" s="446"/>
      <c r="C45" s="446"/>
      <c r="D45" s="446"/>
      <c r="E45" s="446"/>
      <c r="F45" s="445" t="s">
        <v>265</v>
      </c>
      <c r="G45" s="439" t="s">
        <v>266</v>
      </c>
      <c r="H45" s="439">
        <f>[1]E2总规划!F25</f>
        <v>52000</v>
      </c>
      <c r="I45" s="445" t="s">
        <v>265</v>
      </c>
      <c r="J45" s="439" t="s">
        <v>266</v>
      </c>
      <c r="K45" s="439">
        <f>ROUND($D$40/$C$40*H45,2)</f>
        <v>17457.05</v>
      </c>
    </row>
    <row r="46" spans="1:11" ht="14.25" x14ac:dyDescent="0.15">
      <c r="A46" s="446"/>
      <c r="B46" s="446"/>
      <c r="C46" s="446"/>
      <c r="D46" s="446"/>
      <c r="E46" s="446"/>
      <c r="F46" s="447"/>
      <c r="G46" s="439" t="s">
        <v>262</v>
      </c>
      <c r="H46" s="439">
        <f>[1]E2总规划!F26+[1]E2总规划!F28</f>
        <v>20900</v>
      </c>
      <c r="I46" s="447"/>
      <c r="J46" s="439" t="s">
        <v>262</v>
      </c>
      <c r="K46" s="439">
        <f>ROUND($D$40/$C$40*H46,2)</f>
        <v>7016.39</v>
      </c>
    </row>
    <row r="47" spans="1:11" x14ac:dyDescent="0.15">
      <c r="A47" s="446"/>
      <c r="B47" s="446"/>
      <c r="C47" s="446"/>
      <c r="D47" s="446"/>
      <c r="E47" s="446"/>
      <c r="F47" s="448" t="s">
        <v>264</v>
      </c>
      <c r="G47" s="449"/>
      <c r="H47" s="450">
        <f>H45+H46</f>
        <v>72900</v>
      </c>
      <c r="I47" s="448" t="s">
        <v>264</v>
      </c>
      <c r="J47" s="449"/>
      <c r="K47" s="450">
        <f>K45+K46</f>
        <v>24473.439999999999</v>
      </c>
    </row>
    <row r="48" spans="1:11" x14ac:dyDescent="0.15">
      <c r="A48" s="447"/>
      <c r="B48" s="447"/>
      <c r="C48" s="447"/>
      <c r="D48" s="447"/>
      <c r="E48" s="447"/>
      <c r="F48" s="448" t="s">
        <v>269</v>
      </c>
      <c r="G48" s="449"/>
      <c r="H48" s="450">
        <f>H44+H47</f>
        <v>143720</v>
      </c>
      <c r="I48" s="448" t="s">
        <v>269</v>
      </c>
      <c r="J48" s="449"/>
      <c r="K48" s="450">
        <f>K44+K47</f>
        <v>48248.6</v>
      </c>
    </row>
    <row r="49" spans="1:11" ht="25.5" customHeight="1" x14ac:dyDescent="0.15">
      <c r="A49" s="445" t="s">
        <v>285</v>
      </c>
      <c r="B49" s="445" t="s">
        <v>286</v>
      </c>
      <c r="C49" s="445">
        <f>D49+D58+D67</f>
        <v>71798</v>
      </c>
      <c r="D49" s="445">
        <v>43740</v>
      </c>
      <c r="E49" s="445">
        <f>ROUND(H57/C49,2)</f>
        <v>6.24</v>
      </c>
      <c r="F49" s="445" t="s">
        <v>272</v>
      </c>
      <c r="G49" s="439" t="s">
        <v>273</v>
      </c>
      <c r="H49" s="439">
        <f>[1]B总规划!F12+[1]G总规划!F12</f>
        <v>203635</v>
      </c>
      <c r="I49" s="445" t="s">
        <v>272</v>
      </c>
      <c r="J49" s="439" t="s">
        <v>273</v>
      </c>
      <c r="K49" s="439">
        <f>ROUND($D$49/$C$49*H49,2)</f>
        <v>124056.31</v>
      </c>
    </row>
    <row r="50" spans="1:11" ht="14.25" x14ac:dyDescent="0.15">
      <c r="A50" s="446"/>
      <c r="B50" s="446"/>
      <c r="C50" s="446"/>
      <c r="D50" s="446"/>
      <c r="E50" s="446"/>
      <c r="F50" s="446"/>
      <c r="G50" s="439" t="s">
        <v>274</v>
      </c>
      <c r="H50" s="439">
        <f>[1]B总规划!F24+[1]G总规划!F24</f>
        <v>74812</v>
      </c>
      <c r="I50" s="446"/>
      <c r="J50" s="439" t="s">
        <v>274</v>
      </c>
      <c r="K50" s="439">
        <f t="shared" ref="K50:K52" si="4">ROUND($D$49/$C$49*H50,2)</f>
        <v>45576.160000000003</v>
      </c>
    </row>
    <row r="51" spans="1:11" ht="14.25" x14ac:dyDescent="0.15">
      <c r="A51" s="446"/>
      <c r="B51" s="446"/>
      <c r="C51" s="446"/>
      <c r="D51" s="446"/>
      <c r="E51" s="446"/>
      <c r="F51" s="446"/>
      <c r="G51" s="439" t="s">
        <v>261</v>
      </c>
      <c r="H51" s="439">
        <f>[1]B总规划!F17+[1]G总规划!F17</f>
        <v>1235</v>
      </c>
      <c r="I51" s="446"/>
      <c r="J51" s="439" t="s">
        <v>261</v>
      </c>
      <c r="K51" s="439">
        <f t="shared" si="4"/>
        <v>752.37</v>
      </c>
    </row>
    <row r="52" spans="1:11" ht="14.25" x14ac:dyDescent="0.15">
      <c r="A52" s="446"/>
      <c r="B52" s="446"/>
      <c r="C52" s="446"/>
      <c r="D52" s="446"/>
      <c r="E52" s="446"/>
      <c r="F52" s="447"/>
      <c r="G52" s="439" t="s">
        <v>262</v>
      </c>
      <c r="H52" s="439">
        <f>[1]B总规划!F18+[1]B总规划!F27+[1]G总规划!F18+[1]G总规划!F21+[1]G总规划!F22+[1]G总规划!F23+[1]G总规划!F27</f>
        <v>5955</v>
      </c>
      <c r="I52" s="447"/>
      <c r="J52" s="439" t="s">
        <v>262</v>
      </c>
      <c r="K52" s="439">
        <f t="shared" si="4"/>
        <v>3627.84</v>
      </c>
    </row>
    <row r="53" spans="1:11" x14ac:dyDescent="0.15">
      <c r="A53" s="446"/>
      <c r="B53" s="446"/>
      <c r="C53" s="446"/>
      <c r="D53" s="446"/>
      <c r="E53" s="446"/>
      <c r="F53" s="448" t="s">
        <v>264</v>
      </c>
      <c r="G53" s="449"/>
      <c r="H53" s="450">
        <f>H49+H50+H51+H52</f>
        <v>285637</v>
      </c>
      <c r="I53" s="448" t="s">
        <v>264</v>
      </c>
      <c r="J53" s="449"/>
      <c r="K53" s="450">
        <f>K49+K50+K51+K52</f>
        <v>174012.68</v>
      </c>
    </row>
    <row r="54" spans="1:11" ht="14.25" x14ac:dyDescent="0.15">
      <c r="A54" s="446"/>
      <c r="B54" s="446"/>
      <c r="C54" s="446"/>
      <c r="D54" s="446"/>
      <c r="E54" s="446"/>
      <c r="F54" s="445" t="s">
        <v>265</v>
      </c>
      <c r="G54" s="439" t="s">
        <v>266</v>
      </c>
      <c r="H54" s="439">
        <f>[1]B总规划!F25+[1]G总规划!F25</f>
        <v>159800</v>
      </c>
      <c r="I54" s="445" t="s">
        <v>265</v>
      </c>
      <c r="J54" s="439" t="s">
        <v>266</v>
      </c>
      <c r="K54" s="439">
        <f>ROUND($D$49/$C$49*H54,2)</f>
        <v>97351.63</v>
      </c>
    </row>
    <row r="55" spans="1:11" ht="14.25" x14ac:dyDescent="0.15">
      <c r="A55" s="446"/>
      <c r="B55" s="446"/>
      <c r="C55" s="446"/>
      <c r="D55" s="446"/>
      <c r="E55" s="446"/>
      <c r="F55" s="447"/>
      <c r="G55" s="439" t="s">
        <v>262</v>
      </c>
      <c r="H55" s="439">
        <f>[1]B总规划!F26+[1]G总规划!F26</f>
        <v>2350</v>
      </c>
      <c r="I55" s="447"/>
      <c r="J55" s="439" t="s">
        <v>262</v>
      </c>
      <c r="K55" s="439">
        <f>ROUND($D$49/$C$49*H55,2)</f>
        <v>1431.64</v>
      </c>
    </row>
    <row r="56" spans="1:11" x14ac:dyDescent="0.15">
      <c r="A56" s="446"/>
      <c r="B56" s="446"/>
      <c r="C56" s="446"/>
      <c r="D56" s="446"/>
      <c r="E56" s="446"/>
      <c r="F56" s="448" t="s">
        <v>264</v>
      </c>
      <c r="G56" s="449"/>
      <c r="H56" s="450">
        <f>H54+H55</f>
        <v>162150</v>
      </c>
      <c r="I56" s="448" t="s">
        <v>264</v>
      </c>
      <c r="J56" s="449"/>
      <c r="K56" s="450">
        <f>K54+K55</f>
        <v>98783.27</v>
      </c>
    </row>
    <row r="57" spans="1:11" x14ac:dyDescent="0.15">
      <c r="A57" s="447"/>
      <c r="B57" s="446"/>
      <c r="C57" s="446"/>
      <c r="D57" s="447"/>
      <c r="E57" s="446"/>
      <c r="F57" s="448" t="s">
        <v>269</v>
      </c>
      <c r="G57" s="449"/>
      <c r="H57" s="450">
        <f>H53+H56</f>
        <v>447787</v>
      </c>
      <c r="I57" s="448" t="s">
        <v>269</v>
      </c>
      <c r="J57" s="449"/>
      <c r="K57" s="450">
        <f>K53+K56</f>
        <v>272795.95</v>
      </c>
    </row>
    <row r="58" spans="1:11" ht="25.5" customHeight="1" x14ac:dyDescent="0.15">
      <c r="A58" s="445" t="s">
        <v>287</v>
      </c>
      <c r="B58" s="446"/>
      <c r="C58" s="446"/>
      <c r="D58" s="445">
        <v>16428</v>
      </c>
      <c r="E58" s="446"/>
      <c r="F58" s="439"/>
      <c r="G58" s="439"/>
      <c r="H58" s="439"/>
      <c r="I58" s="445" t="s">
        <v>272</v>
      </c>
      <c r="J58" s="439" t="s">
        <v>273</v>
      </c>
      <c r="K58" s="439">
        <f>ROUND($D$58/$C$49*H49,2)</f>
        <v>46593.440000000002</v>
      </c>
    </row>
    <row r="59" spans="1:11" ht="14.25" x14ac:dyDescent="0.15">
      <c r="A59" s="446"/>
      <c r="B59" s="446"/>
      <c r="C59" s="446"/>
      <c r="D59" s="446"/>
      <c r="E59" s="446"/>
      <c r="F59" s="439"/>
      <c r="G59" s="439"/>
      <c r="H59" s="439"/>
      <c r="I59" s="446"/>
      <c r="J59" s="439" t="s">
        <v>274</v>
      </c>
      <c r="K59" s="439">
        <f t="shared" ref="K59:K61" si="5">ROUND($D$58/$C$49*H50,2)</f>
        <v>17117.63</v>
      </c>
    </row>
    <row r="60" spans="1:11" ht="14.25" x14ac:dyDescent="0.15">
      <c r="A60" s="446"/>
      <c r="B60" s="446"/>
      <c r="C60" s="446"/>
      <c r="D60" s="446"/>
      <c r="E60" s="446"/>
      <c r="F60" s="439"/>
      <c r="G60" s="439"/>
      <c r="H60" s="439"/>
      <c r="I60" s="446"/>
      <c r="J60" s="439" t="s">
        <v>261</v>
      </c>
      <c r="K60" s="439">
        <f t="shared" si="5"/>
        <v>282.58</v>
      </c>
    </row>
    <row r="61" spans="1:11" ht="14.25" x14ac:dyDescent="0.15">
      <c r="A61" s="446"/>
      <c r="B61" s="446"/>
      <c r="C61" s="446"/>
      <c r="D61" s="446"/>
      <c r="E61" s="446"/>
      <c r="F61" s="439"/>
      <c r="G61" s="439"/>
      <c r="H61" s="439"/>
      <c r="I61" s="447"/>
      <c r="J61" s="439" t="s">
        <v>262</v>
      </c>
      <c r="K61" s="439">
        <f t="shared" si="5"/>
        <v>1362.56</v>
      </c>
    </row>
    <row r="62" spans="1:11" x14ac:dyDescent="0.15">
      <c r="A62" s="446"/>
      <c r="B62" s="446"/>
      <c r="C62" s="446"/>
      <c r="D62" s="446"/>
      <c r="E62" s="446"/>
      <c r="F62" s="439"/>
      <c r="G62" s="439"/>
      <c r="H62" s="439"/>
      <c r="I62" s="448" t="s">
        <v>264</v>
      </c>
      <c r="J62" s="449"/>
      <c r="K62" s="450">
        <f>K58+K59+K60+K61</f>
        <v>65356.210000000006</v>
      </c>
    </row>
    <row r="63" spans="1:11" ht="14.25" x14ac:dyDescent="0.15">
      <c r="A63" s="446"/>
      <c r="B63" s="446"/>
      <c r="C63" s="446"/>
      <c r="D63" s="446"/>
      <c r="E63" s="446"/>
      <c r="F63" s="439"/>
      <c r="G63" s="439"/>
      <c r="H63" s="439"/>
      <c r="I63" s="445" t="s">
        <v>265</v>
      </c>
      <c r="J63" s="439" t="s">
        <v>266</v>
      </c>
      <c r="K63" s="439">
        <f>ROUND($D$58/$C$49*H54,2)</f>
        <v>36563.61</v>
      </c>
    </row>
    <row r="64" spans="1:11" ht="14.25" x14ac:dyDescent="0.15">
      <c r="A64" s="446"/>
      <c r="B64" s="446"/>
      <c r="C64" s="446"/>
      <c r="D64" s="446"/>
      <c r="E64" s="446"/>
      <c r="F64" s="439"/>
      <c r="G64" s="439"/>
      <c r="H64" s="439"/>
      <c r="I64" s="447"/>
      <c r="J64" s="439" t="s">
        <v>262</v>
      </c>
      <c r="K64" s="439">
        <f>ROUND($D$58/$C$49*H55,2)</f>
        <v>537.70000000000005</v>
      </c>
    </row>
    <row r="65" spans="1:11" x14ac:dyDescent="0.15">
      <c r="A65" s="446"/>
      <c r="B65" s="446"/>
      <c r="C65" s="446"/>
      <c r="D65" s="446"/>
      <c r="E65" s="446"/>
      <c r="F65" s="439"/>
      <c r="G65" s="439"/>
      <c r="H65" s="439"/>
      <c r="I65" s="448" t="s">
        <v>264</v>
      </c>
      <c r="J65" s="449"/>
      <c r="K65" s="450">
        <f>K63+K64</f>
        <v>37101.31</v>
      </c>
    </row>
    <row r="66" spans="1:11" x14ac:dyDescent="0.15">
      <c r="A66" s="447"/>
      <c r="B66" s="446"/>
      <c r="C66" s="446"/>
      <c r="D66" s="447"/>
      <c r="E66" s="446"/>
      <c r="F66" s="439"/>
      <c r="G66" s="439"/>
      <c r="H66" s="439"/>
      <c r="I66" s="448" t="s">
        <v>269</v>
      </c>
      <c r="J66" s="449"/>
      <c r="K66" s="450">
        <f>K62+K65</f>
        <v>102457.52</v>
      </c>
    </row>
    <row r="67" spans="1:11" ht="25.5" customHeight="1" x14ac:dyDescent="0.15">
      <c r="A67" s="445" t="s">
        <v>288</v>
      </c>
      <c r="B67" s="446"/>
      <c r="C67" s="446"/>
      <c r="D67" s="445">
        <v>11630</v>
      </c>
      <c r="E67" s="446"/>
      <c r="F67" s="439"/>
      <c r="G67" s="439"/>
      <c r="H67" s="439"/>
      <c r="I67" s="445" t="s">
        <v>272</v>
      </c>
      <c r="J67" s="439" t="s">
        <v>273</v>
      </c>
      <c r="K67" s="439">
        <f>ROUND($D$67/$C$49*H49,2)</f>
        <v>32985.25</v>
      </c>
    </row>
    <row r="68" spans="1:11" ht="14.25" x14ac:dyDescent="0.15">
      <c r="A68" s="446"/>
      <c r="B68" s="446"/>
      <c r="C68" s="446"/>
      <c r="D68" s="446"/>
      <c r="E68" s="446"/>
      <c r="F68" s="439"/>
      <c r="G68" s="439"/>
      <c r="H68" s="439"/>
      <c r="I68" s="446"/>
      <c r="J68" s="439" t="s">
        <v>274</v>
      </c>
      <c r="K68" s="439">
        <f t="shared" ref="K68:K70" si="6">ROUND($D$67/$C$49*H50,2)</f>
        <v>12118.21</v>
      </c>
    </row>
    <row r="69" spans="1:11" ht="14.25" x14ac:dyDescent="0.15">
      <c r="A69" s="446"/>
      <c r="B69" s="446"/>
      <c r="C69" s="446"/>
      <c r="D69" s="446"/>
      <c r="E69" s="446"/>
      <c r="F69" s="439"/>
      <c r="G69" s="439"/>
      <c r="H69" s="439"/>
      <c r="I69" s="446"/>
      <c r="J69" s="439" t="s">
        <v>261</v>
      </c>
      <c r="K69" s="439">
        <f t="shared" si="6"/>
        <v>200.05</v>
      </c>
    </row>
    <row r="70" spans="1:11" ht="14.25" x14ac:dyDescent="0.15">
      <c r="A70" s="446"/>
      <c r="B70" s="446"/>
      <c r="C70" s="446"/>
      <c r="D70" s="446"/>
      <c r="E70" s="446"/>
      <c r="F70" s="439"/>
      <c r="G70" s="439"/>
      <c r="H70" s="439"/>
      <c r="I70" s="447"/>
      <c r="J70" s="439" t="s">
        <v>262</v>
      </c>
      <c r="K70" s="439">
        <f t="shared" si="6"/>
        <v>964.6</v>
      </c>
    </row>
    <row r="71" spans="1:11" x14ac:dyDescent="0.15">
      <c r="A71" s="446"/>
      <c r="B71" s="446"/>
      <c r="C71" s="446"/>
      <c r="D71" s="446"/>
      <c r="E71" s="446"/>
      <c r="F71" s="439"/>
      <c r="G71" s="439"/>
      <c r="H71" s="439"/>
      <c r="I71" s="448" t="s">
        <v>264</v>
      </c>
      <c r="J71" s="449"/>
      <c r="K71" s="450">
        <f>K67+K68+K69+K70</f>
        <v>46268.11</v>
      </c>
    </row>
    <row r="72" spans="1:11" ht="14.25" x14ac:dyDescent="0.15">
      <c r="A72" s="446"/>
      <c r="B72" s="446"/>
      <c r="C72" s="446"/>
      <c r="D72" s="446"/>
      <c r="E72" s="446"/>
      <c r="F72" s="439"/>
      <c r="G72" s="439"/>
      <c r="H72" s="439"/>
      <c r="I72" s="445" t="s">
        <v>265</v>
      </c>
      <c r="J72" s="439" t="s">
        <v>266</v>
      </c>
      <c r="K72" s="439">
        <f>ROUND($D$67/$C$49*H54,2)</f>
        <v>25884.76</v>
      </c>
    </row>
    <row r="73" spans="1:11" ht="14.25" x14ac:dyDescent="0.15">
      <c r="A73" s="446"/>
      <c r="B73" s="446"/>
      <c r="C73" s="446"/>
      <c r="D73" s="446"/>
      <c r="E73" s="446"/>
      <c r="F73" s="439"/>
      <c r="G73" s="439"/>
      <c r="H73" s="439"/>
      <c r="I73" s="447"/>
      <c r="J73" s="439" t="s">
        <v>262</v>
      </c>
      <c r="K73" s="439">
        <f>ROUND($D$67/$C$49*H55,2)</f>
        <v>380.66</v>
      </c>
    </row>
    <row r="74" spans="1:11" x14ac:dyDescent="0.15">
      <c r="A74" s="446"/>
      <c r="B74" s="446"/>
      <c r="C74" s="446"/>
      <c r="D74" s="446"/>
      <c r="E74" s="446"/>
      <c r="F74" s="439"/>
      <c r="G74" s="439"/>
      <c r="H74" s="439"/>
      <c r="I74" s="448" t="s">
        <v>264</v>
      </c>
      <c r="J74" s="449"/>
      <c r="K74" s="450">
        <f>K72+K73</f>
        <v>26265.42</v>
      </c>
    </row>
    <row r="75" spans="1:11" x14ac:dyDescent="0.15">
      <c r="A75" s="447"/>
      <c r="B75" s="447"/>
      <c r="C75" s="447"/>
      <c r="D75" s="447"/>
      <c r="E75" s="447"/>
      <c r="F75" s="439"/>
      <c r="G75" s="439"/>
      <c r="H75" s="439"/>
      <c r="I75" s="448" t="s">
        <v>269</v>
      </c>
      <c r="J75" s="449"/>
      <c r="K75" s="450">
        <f>K71+K74</f>
        <v>72533.53</v>
      </c>
    </row>
    <row r="76" spans="1:11" ht="25.5" customHeight="1" x14ac:dyDescent="0.15">
      <c r="A76" s="457" t="s">
        <v>289</v>
      </c>
      <c r="B76" s="445" t="s">
        <v>290</v>
      </c>
      <c r="C76" s="445">
        <v>45356.3</v>
      </c>
      <c r="D76" s="445">
        <v>8758</v>
      </c>
      <c r="E76" s="445">
        <v>2</v>
      </c>
      <c r="F76" s="439"/>
      <c r="G76" s="439"/>
      <c r="H76" s="439"/>
      <c r="I76" s="439" t="s">
        <v>272</v>
      </c>
      <c r="J76" s="439" t="s">
        <v>274</v>
      </c>
      <c r="K76" s="439">
        <f>D76*E76</f>
        <v>17516</v>
      </c>
    </row>
    <row r="77" spans="1:11" x14ac:dyDescent="0.15">
      <c r="A77" s="446"/>
      <c r="B77" s="446"/>
      <c r="C77" s="446"/>
      <c r="D77" s="446"/>
      <c r="E77" s="446"/>
      <c r="F77" s="439"/>
      <c r="G77" s="439"/>
      <c r="H77" s="439"/>
      <c r="I77" s="448" t="s">
        <v>264</v>
      </c>
      <c r="J77" s="449"/>
      <c r="K77" s="450">
        <f>K76</f>
        <v>17516</v>
      </c>
    </row>
    <row r="78" spans="1:11" ht="14.25" x14ac:dyDescent="0.15">
      <c r="A78" s="446"/>
      <c r="B78" s="446"/>
      <c r="C78" s="446"/>
      <c r="D78" s="446"/>
      <c r="E78" s="446"/>
      <c r="F78" s="439"/>
      <c r="G78" s="439"/>
      <c r="H78" s="439"/>
      <c r="I78" s="439" t="s">
        <v>265</v>
      </c>
      <c r="J78" s="439" t="s">
        <v>291</v>
      </c>
      <c r="K78" s="439">
        <v>0</v>
      </c>
    </row>
    <row r="79" spans="1:11" x14ac:dyDescent="0.15">
      <c r="A79" s="446"/>
      <c r="B79" s="446"/>
      <c r="C79" s="446"/>
      <c r="D79" s="446"/>
      <c r="E79" s="446"/>
      <c r="F79" s="439"/>
      <c r="G79" s="439"/>
      <c r="H79" s="439"/>
      <c r="I79" s="448" t="s">
        <v>264</v>
      </c>
      <c r="J79" s="449"/>
      <c r="K79" s="450">
        <v>0</v>
      </c>
    </row>
    <row r="80" spans="1:11" x14ac:dyDescent="0.15">
      <c r="A80" s="447"/>
      <c r="B80" s="447"/>
      <c r="C80" s="447"/>
      <c r="D80" s="447"/>
      <c r="E80" s="447"/>
      <c r="F80" s="439"/>
      <c r="G80" s="439"/>
      <c r="H80" s="439"/>
      <c r="I80" s="448" t="s">
        <v>269</v>
      </c>
      <c r="J80" s="449"/>
      <c r="K80" s="450">
        <f>K77+K79</f>
        <v>17516</v>
      </c>
    </row>
    <row r="81" spans="1:11" x14ac:dyDescent="0.15">
      <c r="K81" s="443">
        <f>K10+K20+K30+K39+K48+K57+K66+K75+K80</f>
        <v>606164.5</v>
      </c>
    </row>
    <row r="82" spans="1:11" ht="28.5" x14ac:dyDescent="0.15">
      <c r="A82" s="443" t="s">
        <v>273</v>
      </c>
      <c r="B82" s="443" t="s">
        <v>292</v>
      </c>
      <c r="C82" s="443" t="s">
        <v>293</v>
      </c>
      <c r="J82" s="443">
        <f>C76*E76</f>
        <v>90712.6</v>
      </c>
    </row>
    <row r="83" spans="1:11" ht="55.5" x14ac:dyDescent="0.15">
      <c r="A83" s="443" t="s">
        <v>274</v>
      </c>
      <c r="B83" s="443" t="s">
        <v>292</v>
      </c>
      <c r="C83" s="443" t="s">
        <v>294</v>
      </c>
    </row>
    <row r="84" spans="1:11" ht="28.5" x14ac:dyDescent="0.15">
      <c r="A84" s="443" t="s">
        <v>295</v>
      </c>
      <c r="B84" s="443" t="s">
        <v>292</v>
      </c>
      <c r="C84" s="443" t="s">
        <v>296</v>
      </c>
    </row>
  </sheetData>
  <mergeCells count="101">
    <mergeCell ref="A76:A80"/>
    <mergeCell ref="B76:B80"/>
    <mergeCell ref="C76:C80"/>
    <mergeCell ref="D76:D80"/>
    <mergeCell ref="E76:E80"/>
    <mergeCell ref="I77:J77"/>
    <mergeCell ref="I79:J79"/>
    <mergeCell ref="I80:J80"/>
    <mergeCell ref="A67:A75"/>
    <mergeCell ref="D67:D75"/>
    <mergeCell ref="I67:I70"/>
    <mergeCell ref="I71:J71"/>
    <mergeCell ref="I72:I73"/>
    <mergeCell ref="I74:J74"/>
    <mergeCell ref="I75:J75"/>
    <mergeCell ref="A58:A66"/>
    <mergeCell ref="D58:D66"/>
    <mergeCell ref="I58:I61"/>
    <mergeCell ref="I62:J62"/>
    <mergeCell ref="I63:I64"/>
    <mergeCell ref="I65:J65"/>
    <mergeCell ref="I66:J66"/>
    <mergeCell ref="F54:F55"/>
    <mergeCell ref="I54:I55"/>
    <mergeCell ref="F56:G56"/>
    <mergeCell ref="I56:J56"/>
    <mergeCell ref="F57:G57"/>
    <mergeCell ref="I57:J57"/>
    <mergeCell ref="I48:J48"/>
    <mergeCell ref="A49:A57"/>
    <mergeCell ref="B49:B75"/>
    <mergeCell ref="C49:C75"/>
    <mergeCell ref="D49:D57"/>
    <mergeCell ref="E49:E75"/>
    <mergeCell ref="F49:F52"/>
    <mergeCell ref="I49:I52"/>
    <mergeCell ref="F53:G53"/>
    <mergeCell ref="I53:J53"/>
    <mergeCell ref="I40:I43"/>
    <mergeCell ref="F44:G44"/>
    <mergeCell ref="I44:J44"/>
    <mergeCell ref="F45:F46"/>
    <mergeCell ref="I45:I46"/>
    <mergeCell ref="F47:G47"/>
    <mergeCell ref="I47:J47"/>
    <mergeCell ref="A40:A48"/>
    <mergeCell ref="B40:B48"/>
    <mergeCell ref="C40:C48"/>
    <mergeCell ref="D40:D48"/>
    <mergeCell ref="E40:E48"/>
    <mergeCell ref="F40:F43"/>
    <mergeCell ref="F48:G48"/>
    <mergeCell ref="F31:F34"/>
    <mergeCell ref="F35:G35"/>
    <mergeCell ref="F36:F37"/>
    <mergeCell ref="F38:G38"/>
    <mergeCell ref="I38:J38"/>
    <mergeCell ref="F39:G39"/>
    <mergeCell ref="I39:J39"/>
    <mergeCell ref="I21:I25"/>
    <mergeCell ref="I26:J26"/>
    <mergeCell ref="I27:I28"/>
    <mergeCell ref="I29:J29"/>
    <mergeCell ref="I30:J30"/>
    <mergeCell ref="A31:A39"/>
    <mergeCell ref="B31:B39"/>
    <mergeCell ref="C31:C39"/>
    <mergeCell ref="D31:D39"/>
    <mergeCell ref="E31:E39"/>
    <mergeCell ref="I11:I15"/>
    <mergeCell ref="I16:J16"/>
    <mergeCell ref="F17:F18"/>
    <mergeCell ref="I17:I18"/>
    <mergeCell ref="I19:J19"/>
    <mergeCell ref="F20:G20"/>
    <mergeCell ref="I20:J20"/>
    <mergeCell ref="A11:A20"/>
    <mergeCell ref="B11:B30"/>
    <mergeCell ref="C11:C30"/>
    <mergeCell ref="D11:D20"/>
    <mergeCell ref="E11:E30"/>
    <mergeCell ref="F11:F15"/>
    <mergeCell ref="A21:A30"/>
    <mergeCell ref="D21:D30"/>
    <mergeCell ref="I6:J6"/>
    <mergeCell ref="F7:F8"/>
    <mergeCell ref="I7:I8"/>
    <mergeCell ref="F9:G9"/>
    <mergeCell ref="I9:J9"/>
    <mergeCell ref="F10:G10"/>
    <mergeCell ref="I10:J10"/>
    <mergeCell ref="F1:H1"/>
    <mergeCell ref="I1:K1"/>
    <mergeCell ref="A2:A10"/>
    <mergeCell ref="B2:B10"/>
    <mergeCell ref="C2:C10"/>
    <mergeCell ref="D2:D10"/>
    <mergeCell ref="E2:E10"/>
    <mergeCell ref="F2:F5"/>
    <mergeCell ref="I2:I5"/>
    <mergeCell ref="F6:G6"/>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系统读取表</vt:lpstr>
      <vt:lpstr>结果表</vt:lpstr>
      <vt:lpstr>面积表</vt: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2019-05-29T03:08:51Z</dcterms:modified>
</cp:coreProperties>
</file>