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1"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规证" sheetId="79" r:id="rId14"/>
    <sheet name="技术指标" sheetId="82" r:id="rId15"/>
    <sheet name="测绘" sheetId="80"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77" r:id="rId25"/>
    <sheet name="Sheet2" sheetId="78" r:id="rId26"/>
    <sheet name="假设开发法" sheetId="12" r:id="rId27"/>
    <sheet name="收益法 (元)" sheetId="67" state="hidden" r:id="rId28"/>
    <sheet name="收益法（汇总）" sheetId="70" state="hidden" r:id="rId29"/>
    <sheet name="酒店收入计算" sheetId="66" state="hidden" r:id="rId30"/>
    <sheet name="比较法-住宅" sheetId="21" r:id="rId31"/>
    <sheet name="收益法" sheetId="15"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4" sheetId="81"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_____________PE12">'[1]SW-TEO'!#REF!</definedName>
    <definedName name="____SW2">[2]系数516!$C$3</definedName>
    <definedName name="____SW3">[2]系数516!$C$4</definedName>
    <definedName name="____SW4">[2]系数516!$C$5</definedName>
    <definedName name="____SW8">[2]系数516!$C$9</definedName>
    <definedName name="___SW1">[2]系数516!$C$2</definedName>
    <definedName name="___SW2">[2]系数516!$C$3</definedName>
    <definedName name="___SW3">[2]系数516!$C$4</definedName>
    <definedName name="___SW4">[2]系数516!$C$5</definedName>
    <definedName name="___SW8">[2]系数516!$C$9</definedName>
    <definedName name="__APr44">#REF!</definedName>
    <definedName name="__SW3">[2]系数516!$C$4</definedName>
    <definedName name="__SW4">[2]系数516!$C$5</definedName>
    <definedName name="__SW8">[2]系数516!$C$9</definedName>
    <definedName name="_1">#REF!</definedName>
    <definedName name="_2">#REF!</definedName>
    <definedName name="_3">#REF!</definedName>
    <definedName name="_4">#REF!</definedName>
    <definedName name="_5">#REF!</definedName>
    <definedName name="_6">#REF!</definedName>
    <definedName name="_7">#REF!</definedName>
    <definedName name="_8">#REF!</definedName>
    <definedName name="_9">#REF!</definedName>
    <definedName name="_a">#REF!</definedName>
    <definedName name="_d">#REF!</definedName>
    <definedName name="_dd">#REF!</definedName>
    <definedName name="_dddddddddd">#REF!</definedName>
    <definedName name="_dfgfg">#REF!</definedName>
    <definedName name="_f">#REF!</definedName>
    <definedName name="_Fill" hidden="1">[3]eqpmad2!#REF!</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g">#REF!</definedName>
    <definedName name="_gggggggggggggg">#REF!</definedName>
    <definedName name="_h">#REF!</definedName>
    <definedName name="_j">#REF!</definedName>
    <definedName name="_k">#REF!</definedName>
    <definedName name="_kkkkkk">#REF!</definedName>
    <definedName name="_mmmmmmmmmmmmmmmmm">#REF!</definedName>
    <definedName name="_nnnnnnnnnnnnnnnnnn">#REF!</definedName>
    <definedName name="_Order1" hidden="1">255</definedName>
    <definedName name="_s">#REF!</definedName>
    <definedName name="_SW3">[2]系数516!$C$4</definedName>
    <definedName name="_SW4">[2]系数516!$C$5</definedName>
    <definedName name="_SW8">[2]系数516!$C$9</definedName>
    <definedName name="_w">#REF!</definedName>
    <definedName name="_www">#REF!</definedName>
    <definedName name="_wwwwwwwwwwwwwwwwwwwww">#REF!</definedName>
    <definedName name="aa">[4]目录!$B$4</definedName>
    <definedName name="aaa">#REF!</definedName>
    <definedName name="aaaffff">#REF!</definedName>
    <definedName name="bd">"1/1/2004"</definedName>
    <definedName name="bdc">"2004年1月1日"</definedName>
    <definedName name="bg_charge">[5]Sheet9!$I$58</definedName>
    <definedName name="bo_num">[5]Sheet9!$C$17</definedName>
    <definedName name="Bust">[6]XL4Poppy!$C$31</definedName>
    <definedName name="cc">[7]Parameters!$B$7</definedName>
    <definedName name="cctv">'[8]99CCTV'!$A$6:$C$800</definedName>
    <definedName name="CRC">[9]目录!$A$1</definedName>
    <definedName name="Currency">[9]目录!$CA$3</definedName>
    <definedName name="d">"31/10/2004"</definedName>
    <definedName name="dc">"2004年10月31日"</definedName>
    <definedName name="ggfg">#REF!</definedName>
    <definedName name="PCName">[9]目录!$B$4</definedName>
    <definedName name="_xlnm.Print_Area" localSheetId="8">估价师及机构信息!$A$1:$F$29</definedName>
    <definedName name="_xlnm.Print_Area" localSheetId="31">收益法!$A$1:$AK$69</definedName>
    <definedName name="_xlnm.Print_Area" localSheetId="27">'收益法 (元)'!$A$1:$AK$69</definedName>
    <definedName name="_xlnm.Print_Area" localSheetId="16">'数据-汇总表'!$A$1:$P$32</definedName>
    <definedName name="_xlnm.Print_Area">#REF!</definedName>
    <definedName name="ReportDate">[10]Parameters!$B$6</definedName>
    <definedName name="ReportType">[9]目录!$CA$2</definedName>
    <definedName name="ReportYearRange">[9]目录!$CA$4</definedName>
    <definedName name="SAPBEXrevision" hidden="1">4</definedName>
    <definedName name="SAPBEXsysID" hidden="1">"BW1"</definedName>
    <definedName name="SAPBEXwbID" hidden="1">"8DZFG4M4NA6MVVGNLO7J4SRAY"</definedName>
    <definedName name="ss7fee">'[11]Financ. Overview'!$H$18</definedName>
    <definedName name="ssddd">#REF!</definedName>
    <definedName name="subsfee">'[11]Financ. Overview'!$H$14</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1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1_2"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2"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2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3"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3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1_4"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2"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2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2_2"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3"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3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4"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4_1"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_5"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阿瑟">'[12]5201.2004'!$A$1:$I$24</definedName>
    <definedName name="八级">区片价!$O$1:$O$40</definedName>
    <definedName name="板式住宅">'[13]基础资料（B）'!$C$8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本月月份">[14]Parameters!$B$3</definedName>
    <definedName name="表一">#REF!</definedName>
    <definedName name="滨江路写字楼">'[13]基础资料（B）'!$C$16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'[13]基础资料（B）'!$C$9</definedName>
    <definedName name="超高层写字楼">'[13]基础资料（B）'!$C$15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'[13]基础资料（B）'!$C$13</definedName>
    <definedName name="单价内涵">定义!$V$1:$V$3</definedName>
    <definedName name="道路面积">'[13]基础资料（B）'!$C$21</definedName>
    <definedName name="地类判定">定义!$H$1:$H$9</definedName>
    <definedName name="地下车库">'[13]基础资料（B）'!$C$17</definedName>
    <definedName name="二级">区片价!$I$1:$I$20</definedName>
    <definedName name="二级分类">修正!$C$17:$C$39</definedName>
    <definedName name="法定最高年限">定义!$G$1:$G$4</definedName>
    <definedName name="付款台账付款总笔数">COUNTA([15]付款台账!$A:$A)-1</definedName>
    <definedName name="附表.建筑形式列表">OFFSET([15]附表1!$D$2,0,0,COUNTA([15]附表1!$D$2:$D$20),1)</definedName>
    <definedName name="附表.结构形式列表">OFFSET([15]附表1!$C$2,0,0,COUNTA([15]附表1!$C$2:$C$50),1)</definedName>
    <definedName name="附表.责任部门列表">OFFSET([15]附表1!$A$2,0,0,COUNTA([15]附表1!$A$2:$A$20),1)</definedName>
    <definedName name="附表1.区域公司列表">OFFSET([15]附表1!$E$2,0,0,COUNTA([15]附表1!$E$2:$E$20),1)</definedName>
    <definedName name="附表1.项目类别列表">OFFSET([15]附表1!$G$2,0,0,COUNTA([15]附表1!$G$2:$G$10),1)</definedName>
    <definedName name="高层塔式住宅">'[13]基础资料（B）'!$C$10</definedName>
    <definedName name="工程单位">[16]基本设置!$D$5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司名称">[14]Parameters!$B$2</definedName>
    <definedName name="估价方法">定义!$B$1:$B$50</definedName>
    <definedName name="豪华装修">'[13]基础资料（B）'!$C$31</definedName>
    <definedName name="合同台账合同总数">(COUNTA([15]合同台账!$A:$A)-1)/8</definedName>
    <definedName name="合同台账活动区域总行数">COUNTA([15]合同台账!$A:$A)</definedName>
    <definedName name="环境">定义!$S$1:$S$6</definedName>
    <definedName name="会所">'[13]基础资料（B）'!$C$23</definedName>
    <definedName name="基础设施水平">定义!$R$1:$R$6</definedName>
    <definedName name="季度">基准地价修正!$Q$19:$AD$19</definedName>
    <definedName name="价值类型2">定义!$B$54:$B$56</definedName>
    <definedName name="交通便捷度">定义!$O$1:$O$6</definedName>
    <definedName name="景观面积">'[13]基础资料（B）'!$C$32</definedName>
    <definedName name="九级">区片价!$P$1:$P$46</definedName>
    <definedName name="酒店式公寓">'[13]基础资料（B）'!$C$11</definedName>
    <definedName name="居住户数">'[13]基础资料（B）'!$C$35</definedName>
    <definedName name="居住社区成熟度">定义!$K$1:$K$6</definedName>
    <definedName name="类别">定义!$J$1:$J$3</definedName>
    <definedName name="临规划路商业">'[13]基础资料（B）'!$C$14</definedName>
    <definedName name="临街状况">定义!$T$1:$T$5</definedName>
    <definedName name="六级">区片价!$M$1:$M$49</definedName>
    <definedName name="明细分类账">#REF!</definedName>
    <definedName name="内部装修维护情况">定义!$U$1:$U$6</definedName>
    <definedName name="年度预算">[17]Parameters!$B$3</definedName>
    <definedName name="判定">定义!$D$1:$D$4</definedName>
    <definedName name="七级">区片价!$N$1:$N$49</definedName>
    <definedName name="七通一平">修正!$A$6:$A$14</definedName>
    <definedName name="汽车展示厅">'[13]基础资料（B）'!$C$12</definedName>
    <definedName name="区域土地利用方向">定义!$P$1:$P$6</definedName>
    <definedName name="人防">'[13]基础资料（B）'!$C$26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'[13]基础资料（B）'!$C$24</definedName>
    <definedName name="项目类型">'数据-汇总表'!$C$17:$C$26</definedName>
    <definedName name="项目总用地面积">'[13]基础资料（B）'!$C$4</definedName>
    <definedName name="写字楼等级">'比较法-办公'!$B$113:$M$113</definedName>
    <definedName name="学校">'[13]基础资料（B）'!$C$27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'[13]基础资料（B）'!$C$40</definedName>
    <definedName name="用途明细">定义!$A$1:$A$50</definedName>
    <definedName name="有无电梯">'比较法-仓储'!$B$84:$M$84</definedName>
    <definedName name="幼儿园">'[13]基础资料（B）'!$C$25</definedName>
    <definedName name="预算明细科目.总行数">[15]动态成本!$IR$2</definedName>
    <definedName name="周界长度">'[13]基础资料（B）'!$C$39</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总建筑面积">'[13]基础资料（B）'!$C$7</definedName>
    <definedName name="最后修订日期">[17]Parameters!$B$4</definedName>
  </definedNames>
  <calcPr calcId="145621"/>
</workbook>
</file>

<file path=xl/calcChain.xml><?xml version="1.0" encoding="utf-8"?>
<calcChain xmlns="http://schemas.openxmlformats.org/spreadsheetml/2006/main">
  <c r="AL13" i="3" l="1"/>
  <c r="M5" i="80"/>
  <c r="M7" i="80"/>
  <c r="H4" i="80"/>
  <c r="H3" i="80"/>
  <c r="H9" i="68" l="1"/>
  <c r="H18" i="12" s="1"/>
  <c r="C21" i="1" l="1"/>
  <c r="D40" i="9" l="1"/>
  <c r="Q13" i="80"/>
  <c r="Q12" i="80"/>
  <c r="P12" i="80"/>
  <c r="R12" i="80" s="1"/>
  <c r="P13" i="80"/>
  <c r="P11" i="80"/>
  <c r="AH13" i="3"/>
  <c r="M6" i="80"/>
  <c r="M13" i="3" s="1"/>
  <c r="H5" i="80"/>
  <c r="M4" i="80" s="1"/>
  <c r="Q11" i="80"/>
  <c r="M3" i="80"/>
  <c r="I13" i="3" s="1"/>
  <c r="M2" i="80"/>
  <c r="K13" i="3" s="1"/>
  <c r="AN13" i="3"/>
  <c r="F64" i="80"/>
  <c r="AD13" i="3" l="1"/>
  <c r="R11" i="80"/>
  <c r="F22" i="82"/>
  <c r="F23" i="82" s="1"/>
  <c r="F19" i="82"/>
  <c r="F15" i="82"/>
  <c r="F14" i="82"/>
  <c r="F13" i="82"/>
  <c r="F11" i="82" s="1"/>
  <c r="F10" i="82"/>
  <c r="F8" i="82"/>
  <c r="F7" i="82" s="1"/>
  <c r="G28" i="82" s="1"/>
  <c r="M8" i="80" l="1"/>
  <c r="F6" i="82"/>
  <c r="H42" i="80"/>
  <c r="F5" i="82" l="1"/>
  <c r="F28" i="82"/>
  <c r="H6" i="79"/>
  <c r="H7" i="79"/>
  <c r="H8" i="79"/>
  <c r="H9" i="79"/>
  <c r="H10" i="79"/>
  <c r="H11" i="79"/>
  <c r="H12" i="79"/>
  <c r="H13" i="79"/>
  <c r="H14" i="79"/>
  <c r="H15" i="79"/>
  <c r="H16" i="79"/>
  <c r="H17" i="79"/>
  <c r="H18" i="79"/>
  <c r="H19" i="79"/>
  <c r="H20" i="79"/>
  <c r="H5" i="79"/>
  <c r="H21" i="79" s="1"/>
  <c r="M6" i="79"/>
  <c r="M7" i="79" s="1"/>
  <c r="M8" i="79" s="1"/>
  <c r="M9" i="79" s="1"/>
  <c r="M10" i="79" s="1"/>
  <c r="M11" i="79" s="1"/>
  <c r="M12" i="79" s="1"/>
  <c r="M13" i="79" s="1"/>
  <c r="M14" i="79" s="1"/>
  <c r="M15" i="79" s="1"/>
  <c r="M16" i="79" s="1"/>
  <c r="M17" i="79" s="1"/>
  <c r="M18" i="79" s="1"/>
  <c r="K20" i="79"/>
  <c r="O20" i="79" s="1"/>
  <c r="P20" i="79" s="1"/>
  <c r="Q20" i="79" s="1"/>
  <c r="K5" i="79"/>
  <c r="K6" i="79" s="1"/>
  <c r="K7" i="79" s="1"/>
  <c r="K8" i="79" s="1"/>
  <c r="K9" i="79" s="1"/>
  <c r="K10" i="79" s="1"/>
  <c r="K11" i="79" s="1"/>
  <c r="K12" i="79" s="1"/>
  <c r="K13" i="79" s="1"/>
  <c r="K14" i="79" s="1"/>
  <c r="K15" i="79" s="1"/>
  <c r="K16" i="79" s="1"/>
  <c r="K17" i="79" s="1"/>
  <c r="K18" i="79" s="1"/>
  <c r="G21" i="6"/>
  <c r="F19" i="6"/>
  <c r="F20" i="6"/>
  <c r="F21" i="79"/>
  <c r="G21" i="79"/>
  <c r="I21" i="79"/>
  <c r="I7" i="21"/>
  <c r="G7" i="21"/>
  <c r="B7" i="4"/>
  <c r="B5" i="4"/>
  <c r="I46" i="39"/>
  <c r="G46" i="39"/>
  <c r="E46" i="39"/>
  <c r="I38" i="39"/>
  <c r="G38" i="39"/>
  <c r="E38" i="39"/>
  <c r="D71" i="39"/>
  <c r="E71" i="39" s="1"/>
  <c r="F71" i="39" s="1"/>
  <c r="G71" i="39" s="1"/>
  <c r="H71" i="39" s="1"/>
  <c r="I71" i="39" s="1"/>
  <c r="J71" i="39" s="1"/>
  <c r="K71" i="39" s="1"/>
  <c r="L71" i="39" s="1"/>
  <c r="M71" i="39" s="1"/>
  <c r="N71" i="39" s="1"/>
  <c r="O71" i="39" s="1"/>
  <c r="O5" i="79" l="1"/>
  <c r="P5" i="79" s="1"/>
  <c r="Q5" i="79" s="1"/>
  <c r="O17" i="79"/>
  <c r="P17" i="79" s="1"/>
  <c r="O15" i="79"/>
  <c r="P15" i="79" s="1"/>
  <c r="O13" i="79"/>
  <c r="P13" i="79" s="1"/>
  <c r="O11" i="79"/>
  <c r="P11" i="79" s="1"/>
  <c r="O9" i="79"/>
  <c r="P9" i="79" s="1"/>
  <c r="O7" i="79"/>
  <c r="P7" i="79" s="1"/>
  <c r="O6" i="79"/>
  <c r="P6" i="79" s="1"/>
  <c r="O18" i="79"/>
  <c r="P18" i="79" s="1"/>
  <c r="O16" i="79"/>
  <c r="P16" i="79" s="1"/>
  <c r="O14" i="79"/>
  <c r="P14" i="79" s="1"/>
  <c r="O12" i="79"/>
  <c r="P12" i="79" s="1"/>
  <c r="O10" i="79"/>
  <c r="P10" i="79" s="1"/>
  <c r="O8" i="79"/>
  <c r="P8" i="79" s="1"/>
  <c r="D75" i="39"/>
  <c r="I6" i="39"/>
  <c r="G6" i="39"/>
  <c r="E6" i="39"/>
  <c r="I7" i="39"/>
  <c r="G7" i="39"/>
  <c r="E7" i="39"/>
  <c r="I5" i="39"/>
  <c r="G5" i="39"/>
  <c r="E5" i="39"/>
  <c r="Q6" i="79" l="1"/>
  <c r="P21" i="79"/>
  <c r="O21" i="79" s="1"/>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C11" i="71"/>
  <c r="C10" i="71"/>
  <c r="C9" i="71" s="1"/>
  <c r="D9" i="71" s="1"/>
  <c r="E11" i="71"/>
  <c r="E10" i="71"/>
  <c r="E9" i="71" s="1"/>
  <c r="F11" i="71"/>
  <c r="F10" i="71" s="1"/>
  <c r="F9" i="71" s="1"/>
  <c r="D11" i="71"/>
  <c r="D12" i="71"/>
  <c r="B13" i="71"/>
  <c r="B14" i="71" s="1"/>
  <c r="B15" i="71" s="1"/>
  <c r="C13" i="71"/>
  <c r="D13" i="71"/>
  <c r="E13" i="71"/>
  <c r="F13" i="71"/>
  <c r="F14" i="71" s="1"/>
  <c r="F15" i="71" s="1"/>
  <c r="C14" i="71"/>
  <c r="D14" i="71" s="1"/>
  <c r="E14" i="71"/>
  <c r="E15" i="71" s="1"/>
  <c r="D16" i="71"/>
  <c r="B17" i="71"/>
  <c r="B18" i="71" s="1"/>
  <c r="B19" i="71" s="1"/>
  <c r="C17" i="71"/>
  <c r="D17" i="71"/>
  <c r="E17" i="71"/>
  <c r="F17" i="71"/>
  <c r="F18" i="71" s="1"/>
  <c r="F19" i="71" s="1"/>
  <c r="C18" i="71"/>
  <c r="D18" i="71" s="1"/>
  <c r="E18" i="71"/>
  <c r="E19" i="71" s="1"/>
  <c r="D20" i="71"/>
  <c r="B21" i="71"/>
  <c r="B22" i="71" s="1"/>
  <c r="B23" i="71" s="1"/>
  <c r="C21" i="71"/>
  <c r="D21" i="71"/>
  <c r="E21" i="71"/>
  <c r="F21" i="71"/>
  <c r="F22" i="71" s="1"/>
  <c r="F23" i="71" s="1"/>
  <c r="C22" i="71"/>
  <c r="D22" i="71" s="1"/>
  <c r="E22" i="71"/>
  <c r="E23" i="71" s="1"/>
  <c r="M19" i="43"/>
  <c r="G2" i="43"/>
  <c r="C6" i="43" s="1"/>
  <c r="H17" i="43"/>
  <c r="J17" i="43"/>
  <c r="G20" i="43"/>
  <c r="J20" i="43"/>
  <c r="I20" i="43"/>
  <c r="C20" i="43" s="1"/>
  <c r="C24" i="43"/>
  <c r="F39" i="43"/>
  <c r="F38" i="43"/>
  <c r="F37" i="43"/>
  <c r="D5" i="43"/>
  <c r="F36" i="43"/>
  <c r="F35" i="43"/>
  <c r="F34" i="43"/>
  <c r="M47" i="67"/>
  <c r="J53" i="67"/>
  <c r="F1" i="67" s="1"/>
  <c r="M47" i="15"/>
  <c r="C18" i="43"/>
  <c r="AD5" i="3"/>
  <c r="AH5" i="3"/>
  <c r="AL5" i="3"/>
  <c r="AP5" i="3"/>
  <c r="F33" i="43"/>
  <c r="H33" i="43"/>
  <c r="D1" i="43"/>
  <c r="C10" i="43"/>
  <c r="C11" i="43" s="1"/>
  <c r="E8" i="43" s="1"/>
  <c r="E10"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s="1"/>
  <c r="AZ17" i="3" s="1"/>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L48" i="3" s="1"/>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L68" i="3" s="1"/>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L102" i="3" s="1"/>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L112" i="3" s="1"/>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L116" i="3" s="1"/>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L122" i="3" s="1"/>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A132" i="3" s="1"/>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A134" i="3" s="1"/>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L221" i="3" s="1"/>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L223" i="3" s="1"/>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L225" i="3" s="1"/>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L227" i="3" s="1"/>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L231" i="3" s="1"/>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L233" i="3" s="1"/>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L235" i="3" s="1"/>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A247" i="3" s="1"/>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A275" i="3" s="1"/>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A285" i="3" s="1"/>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L286" i="3" s="1"/>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A361" i="3" s="1"/>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A369" i="3" s="1"/>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A385" i="3" s="1"/>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A387" i="3" s="1"/>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A395" i="3" s="1"/>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A403" i="3" s="1"/>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A407" i="3" s="1"/>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A411" i="3" s="1"/>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A419" i="3" s="1"/>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A423" i="3" s="1"/>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A427" i="3" s="1"/>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A435" i="3" s="1"/>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A439" i="3" s="1"/>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A443" i="3" s="1"/>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A448" i="3" s="1"/>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A450" i="3" s="1"/>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A452" i="3" s="1"/>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A456" i="3" s="1"/>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A458" i="3" s="1"/>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A464" i="3" s="1"/>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A466" i="3" s="1"/>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L467" i="3" s="1"/>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L469" i="3" s="1"/>
  <c r="BO469" i="3"/>
  <c r="BP469" i="3"/>
  <c r="BQ469" i="3"/>
  <c r="BR469" i="3"/>
  <c r="BS469" i="3"/>
  <c r="BT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L471" i="3" s="1"/>
  <c r="BO471" i="3"/>
  <c r="BP471" i="3"/>
  <c r="BQ471" i="3"/>
  <c r="BR471" i="3"/>
  <c r="BS471" i="3"/>
  <c r="BT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L473" i="3" s="1"/>
  <c r="BO473" i="3"/>
  <c r="BP473" i="3"/>
  <c r="BQ473" i="3"/>
  <c r="BR473" i="3"/>
  <c r="BS473" i="3"/>
  <c r="BT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L475" i="3" s="1"/>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L477" i="3" s="1"/>
  <c r="BO477" i="3"/>
  <c r="BP477" i="3"/>
  <c r="BQ477" i="3"/>
  <c r="BR477" i="3"/>
  <c r="BS477" i="3"/>
  <c r="BT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L574" i="3" s="1"/>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L578" i="3" s="1"/>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L582" i="3" s="1"/>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L584" i="3" s="1"/>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G14" i="3" s="1"/>
  <c r="H15" i="3"/>
  <c r="AC15" i="3"/>
  <c r="G15" i="3" s="1"/>
  <c r="H16" i="3"/>
  <c r="AC16" i="3"/>
  <c r="H17" i="3"/>
  <c r="AC17" i="3"/>
  <c r="G17" i="3"/>
  <c r="H18" i="3"/>
  <c r="AC18" i="3"/>
  <c r="G18" i="3" s="1"/>
  <c r="H19" i="3"/>
  <c r="AC19" i="3"/>
  <c r="G19" i="3" s="1"/>
  <c r="H20" i="3"/>
  <c r="AC20" i="3"/>
  <c r="H21" i="3"/>
  <c r="AC21" i="3"/>
  <c r="G21" i="3"/>
  <c r="H22" i="3"/>
  <c r="AC22" i="3"/>
  <c r="G22" i="3" s="1"/>
  <c r="H23" i="3"/>
  <c r="AC23" i="3"/>
  <c r="G23" i="3" s="1"/>
  <c r="H24" i="3"/>
  <c r="AC24" i="3"/>
  <c r="H25" i="3"/>
  <c r="AC25" i="3"/>
  <c r="G25" i="3"/>
  <c r="H26" i="3"/>
  <c r="AC26" i="3"/>
  <c r="G26" i="3" s="1"/>
  <c r="H27" i="3"/>
  <c r="AC27" i="3"/>
  <c r="G27" i="3" s="1"/>
  <c r="H28" i="3"/>
  <c r="AC28" i="3"/>
  <c r="H29" i="3"/>
  <c r="AC29" i="3"/>
  <c r="G29" i="3"/>
  <c r="H30" i="3"/>
  <c r="AC30" i="3"/>
  <c r="G30" i="3" s="1"/>
  <c r="H31" i="3"/>
  <c r="AC31" i="3"/>
  <c r="G31" i="3" s="1"/>
  <c r="H32" i="3"/>
  <c r="AC32" i="3"/>
  <c r="H33" i="3"/>
  <c r="AC33" i="3"/>
  <c r="G33" i="3"/>
  <c r="H34" i="3"/>
  <c r="AC34" i="3"/>
  <c r="G34" i="3" s="1"/>
  <c r="H35" i="3"/>
  <c r="AC35" i="3"/>
  <c r="G35" i="3" s="1"/>
  <c r="H36" i="3"/>
  <c r="AC36" i="3"/>
  <c r="H37" i="3"/>
  <c r="AC37" i="3"/>
  <c r="G37" i="3"/>
  <c r="H38" i="3"/>
  <c r="AC38" i="3"/>
  <c r="G38" i="3" s="1"/>
  <c r="H39" i="3"/>
  <c r="AC39" i="3"/>
  <c r="G39" i="3" s="1"/>
  <c r="H40" i="3"/>
  <c r="AC40" i="3"/>
  <c r="H41" i="3"/>
  <c r="AC41" i="3"/>
  <c r="G41" i="3"/>
  <c r="H42" i="3"/>
  <c r="AC42" i="3"/>
  <c r="G42" i="3" s="1"/>
  <c r="H43" i="3"/>
  <c r="AC43" i="3"/>
  <c r="G43" i="3" s="1"/>
  <c r="H44" i="3"/>
  <c r="AC44" i="3"/>
  <c r="H45" i="3"/>
  <c r="AC45" i="3"/>
  <c r="G45" i="3"/>
  <c r="H46" i="3"/>
  <c r="AC46" i="3"/>
  <c r="G46" i="3" s="1"/>
  <c r="H47" i="3"/>
  <c r="AC47" i="3"/>
  <c r="G47" i="3" s="1"/>
  <c r="H48" i="3"/>
  <c r="AC48" i="3"/>
  <c r="H49" i="3"/>
  <c r="AC49" i="3"/>
  <c r="G49" i="3"/>
  <c r="H50" i="3"/>
  <c r="AC50" i="3"/>
  <c r="G50" i="3" s="1"/>
  <c r="H51" i="3"/>
  <c r="AC51" i="3"/>
  <c r="G51" i="3" s="1"/>
  <c r="H52" i="3"/>
  <c r="AC52" i="3"/>
  <c r="H53" i="3"/>
  <c r="AC53" i="3"/>
  <c r="G53" i="3"/>
  <c r="H54" i="3"/>
  <c r="AC54" i="3"/>
  <c r="G54" i="3" s="1"/>
  <c r="H55" i="3"/>
  <c r="AC55" i="3"/>
  <c r="G55" i="3" s="1"/>
  <c r="H56" i="3"/>
  <c r="AC56" i="3"/>
  <c r="H57" i="3"/>
  <c r="AC57" i="3"/>
  <c r="G57" i="3"/>
  <c r="H58" i="3"/>
  <c r="AC58" i="3"/>
  <c r="G58" i="3" s="1"/>
  <c r="H59" i="3"/>
  <c r="AC59" i="3"/>
  <c r="G59" i="3" s="1"/>
  <c r="H60" i="3"/>
  <c r="AC60" i="3"/>
  <c r="H61" i="3"/>
  <c r="AC61" i="3"/>
  <c r="G61" i="3"/>
  <c r="H62" i="3"/>
  <c r="AC62" i="3"/>
  <c r="G62" i="3" s="1"/>
  <c r="H63" i="3"/>
  <c r="AC63" i="3"/>
  <c r="G63" i="3" s="1"/>
  <c r="H64" i="3"/>
  <c r="AC64" i="3"/>
  <c r="H65" i="3"/>
  <c r="AC65" i="3"/>
  <c r="G65" i="3"/>
  <c r="H66" i="3"/>
  <c r="AC66" i="3"/>
  <c r="G66" i="3" s="1"/>
  <c r="H67" i="3"/>
  <c r="AC67" i="3"/>
  <c r="G67" i="3" s="1"/>
  <c r="H68" i="3"/>
  <c r="AC68" i="3"/>
  <c r="H69" i="3"/>
  <c r="AC69" i="3"/>
  <c r="G69" i="3"/>
  <c r="H70" i="3"/>
  <c r="AC70" i="3"/>
  <c r="G70" i="3" s="1"/>
  <c r="H71" i="3"/>
  <c r="AC71" i="3"/>
  <c r="G71" i="3" s="1"/>
  <c r="H72" i="3"/>
  <c r="AC72" i="3"/>
  <c r="H73" i="3"/>
  <c r="AC73" i="3"/>
  <c r="G73" i="3"/>
  <c r="H74" i="3"/>
  <c r="AC74" i="3"/>
  <c r="G74" i="3" s="1"/>
  <c r="H75" i="3"/>
  <c r="AC75" i="3"/>
  <c r="G75" i="3" s="1"/>
  <c r="H76" i="3"/>
  <c r="AC76" i="3"/>
  <c r="H77" i="3"/>
  <c r="AC77" i="3"/>
  <c r="G77" i="3"/>
  <c r="H78" i="3"/>
  <c r="AC78" i="3"/>
  <c r="G78" i="3" s="1"/>
  <c r="H79" i="3"/>
  <c r="AC79" i="3"/>
  <c r="G79" i="3" s="1"/>
  <c r="H80" i="3"/>
  <c r="AC80" i="3"/>
  <c r="H81" i="3"/>
  <c r="AC81" i="3"/>
  <c r="G81" i="3"/>
  <c r="H82" i="3"/>
  <c r="AC82" i="3"/>
  <c r="G82" i="3" s="1"/>
  <c r="H83" i="3"/>
  <c r="AC83" i="3"/>
  <c r="G83" i="3" s="1"/>
  <c r="H84" i="3"/>
  <c r="AC84" i="3"/>
  <c r="H85" i="3"/>
  <c r="AC85" i="3"/>
  <c r="G85" i="3"/>
  <c r="H86" i="3"/>
  <c r="AC86" i="3"/>
  <c r="G86" i="3" s="1"/>
  <c r="H87" i="3"/>
  <c r="AC87" i="3"/>
  <c r="G87" i="3" s="1"/>
  <c r="H88" i="3"/>
  <c r="AC88" i="3"/>
  <c r="H89" i="3"/>
  <c r="AC89" i="3"/>
  <c r="G89" i="3"/>
  <c r="H90" i="3"/>
  <c r="AC90" i="3"/>
  <c r="G90" i="3" s="1"/>
  <c r="H91" i="3"/>
  <c r="AC91" i="3"/>
  <c r="G91" i="3" s="1"/>
  <c r="H92" i="3"/>
  <c r="AC92" i="3"/>
  <c r="H93" i="3"/>
  <c r="AC93" i="3"/>
  <c r="G93" i="3"/>
  <c r="H94" i="3"/>
  <c r="AC94" i="3"/>
  <c r="G94" i="3" s="1"/>
  <c r="H95" i="3"/>
  <c r="AC95" i="3"/>
  <c r="G95" i="3" s="1"/>
  <c r="H96" i="3"/>
  <c r="AC96" i="3"/>
  <c r="H97" i="3"/>
  <c r="AC97" i="3"/>
  <c r="G97" i="3"/>
  <c r="H98" i="3"/>
  <c r="AC98" i="3"/>
  <c r="G98" i="3" s="1"/>
  <c r="H99" i="3"/>
  <c r="AC99" i="3"/>
  <c r="G99" i="3" s="1"/>
  <c r="H100" i="3"/>
  <c r="AC100" i="3"/>
  <c r="H101" i="3"/>
  <c r="AC101" i="3"/>
  <c r="G101" i="3"/>
  <c r="H102" i="3"/>
  <c r="AC102" i="3"/>
  <c r="G102" i="3" s="1"/>
  <c r="H103" i="3"/>
  <c r="AC103" i="3"/>
  <c r="G103" i="3" s="1"/>
  <c r="H104" i="3"/>
  <c r="AC104" i="3"/>
  <c r="H105" i="3"/>
  <c r="AC105" i="3"/>
  <c r="G105" i="3"/>
  <c r="H106" i="3"/>
  <c r="AC106" i="3"/>
  <c r="G106" i="3" s="1"/>
  <c r="H107" i="3"/>
  <c r="AC107" i="3"/>
  <c r="G107" i="3" s="1"/>
  <c r="H108" i="3"/>
  <c r="AC108" i="3"/>
  <c r="H109" i="3"/>
  <c r="AC109" i="3"/>
  <c r="G109" i="3"/>
  <c r="H110" i="3"/>
  <c r="AC110" i="3"/>
  <c r="G110" i="3" s="1"/>
  <c r="H111" i="3"/>
  <c r="AC111" i="3"/>
  <c r="G111" i="3" s="1"/>
  <c r="H112" i="3"/>
  <c r="AC112" i="3"/>
  <c r="H113" i="3"/>
  <c r="AC113" i="3"/>
  <c r="G113" i="3"/>
  <c r="H114" i="3"/>
  <c r="AC114" i="3"/>
  <c r="G114" i="3" s="1"/>
  <c r="H115" i="3"/>
  <c r="AC115" i="3"/>
  <c r="G115" i="3" s="1"/>
  <c r="H116" i="3"/>
  <c r="AC116" i="3"/>
  <c r="H117" i="3"/>
  <c r="AC117" i="3"/>
  <c r="G117" i="3"/>
  <c r="H118" i="3"/>
  <c r="AC118" i="3"/>
  <c r="G118" i="3" s="1"/>
  <c r="H119" i="3"/>
  <c r="AC119" i="3"/>
  <c r="G119" i="3" s="1"/>
  <c r="H120" i="3"/>
  <c r="AC120" i="3"/>
  <c r="H121" i="3"/>
  <c r="AC121" i="3"/>
  <c r="G121" i="3"/>
  <c r="H122" i="3"/>
  <c r="AC122" i="3"/>
  <c r="G122" i="3" s="1"/>
  <c r="H123" i="3"/>
  <c r="AC123" i="3"/>
  <c r="G123" i="3" s="1"/>
  <c r="H124" i="3"/>
  <c r="AC124" i="3"/>
  <c r="H125" i="3"/>
  <c r="AC125" i="3"/>
  <c r="G125" i="3"/>
  <c r="H126" i="3"/>
  <c r="AC126" i="3"/>
  <c r="G126" i="3" s="1"/>
  <c r="H127" i="3"/>
  <c r="AC127" i="3"/>
  <c r="G127" i="3" s="1"/>
  <c r="H128" i="3"/>
  <c r="AC128" i="3"/>
  <c r="H129" i="3"/>
  <c r="AC129" i="3"/>
  <c r="G129" i="3"/>
  <c r="H130" i="3"/>
  <c r="AC130" i="3"/>
  <c r="G130" i="3" s="1"/>
  <c r="H131" i="3"/>
  <c r="AC131" i="3"/>
  <c r="G131" i="3" s="1"/>
  <c r="H132" i="3"/>
  <c r="AC132" i="3"/>
  <c r="H133" i="3"/>
  <c r="AC133" i="3"/>
  <c r="G133" i="3"/>
  <c r="H134" i="3"/>
  <c r="AC134" i="3"/>
  <c r="G134" i="3" s="1"/>
  <c r="H135" i="3"/>
  <c r="AC135" i="3"/>
  <c r="G135" i="3" s="1"/>
  <c r="H136" i="3"/>
  <c r="AC136" i="3"/>
  <c r="H137" i="3"/>
  <c r="AC137" i="3"/>
  <c r="G137" i="3"/>
  <c r="H138" i="3"/>
  <c r="AC138" i="3"/>
  <c r="G138" i="3" s="1"/>
  <c r="H139" i="3"/>
  <c r="AC139" i="3"/>
  <c r="G139" i="3" s="1"/>
  <c r="H140" i="3"/>
  <c r="AC140" i="3"/>
  <c r="H141" i="3"/>
  <c r="AC141" i="3"/>
  <c r="G141" i="3"/>
  <c r="H142" i="3"/>
  <c r="AC142" i="3"/>
  <c r="G142" i="3" s="1"/>
  <c r="H143" i="3"/>
  <c r="AC143" i="3"/>
  <c r="G143" i="3" s="1"/>
  <c r="H144" i="3"/>
  <c r="AC144" i="3"/>
  <c r="H145" i="3"/>
  <c r="AC145" i="3"/>
  <c r="G145" i="3"/>
  <c r="H146" i="3"/>
  <c r="AC146" i="3"/>
  <c r="G146" i="3" s="1"/>
  <c r="H147" i="3"/>
  <c r="AC147" i="3"/>
  <c r="G147" i="3" s="1"/>
  <c r="H148" i="3"/>
  <c r="AC148" i="3"/>
  <c r="H149" i="3"/>
  <c r="AC149" i="3"/>
  <c r="G149" i="3"/>
  <c r="H150" i="3"/>
  <c r="AC150" i="3"/>
  <c r="G150" i="3" s="1"/>
  <c r="H151" i="3"/>
  <c r="AC151" i="3"/>
  <c r="G151" i="3" s="1"/>
  <c r="H152" i="3"/>
  <c r="AC152" i="3"/>
  <c r="H153" i="3"/>
  <c r="AC153" i="3"/>
  <c r="G153" i="3"/>
  <c r="H154" i="3"/>
  <c r="AC154" i="3"/>
  <c r="G154" i="3" s="1"/>
  <c r="H155" i="3"/>
  <c r="AC155" i="3"/>
  <c r="G155" i="3" s="1"/>
  <c r="H156" i="3"/>
  <c r="AC156" i="3"/>
  <c r="H157" i="3"/>
  <c r="AC157" i="3"/>
  <c r="G157" i="3"/>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H573" i="3"/>
  <c r="AC573" i="3"/>
  <c r="G573" i="3" s="1"/>
  <c r="H574" i="3"/>
  <c r="AC574" i="3"/>
  <c r="H575" i="3"/>
  <c r="AC575" i="3"/>
  <c r="G575" i="3"/>
  <c r="H576" i="3"/>
  <c r="AC576" i="3"/>
  <c r="G576" i="3" s="1"/>
  <c r="H577" i="3"/>
  <c r="AC577" i="3"/>
  <c r="G577" i="3" s="1"/>
  <c r="H578" i="3"/>
  <c r="AC578" i="3"/>
  <c r="H579" i="3"/>
  <c r="AC579" i="3"/>
  <c r="G579" i="3"/>
  <c r="H580" i="3"/>
  <c r="AC580" i="3"/>
  <c r="G580" i="3" s="1"/>
  <c r="H581" i="3"/>
  <c r="AC581" i="3"/>
  <c r="G581" i="3" s="1"/>
  <c r="H582" i="3"/>
  <c r="AC582" i="3"/>
  <c r="H583" i="3"/>
  <c r="AC583" i="3"/>
  <c r="G583" i="3"/>
  <c r="H584" i="3"/>
  <c r="AC584" i="3"/>
  <c r="G584" i="3" s="1"/>
  <c r="H585" i="3"/>
  <c r="AC585" i="3"/>
  <c r="G585" i="3" s="1"/>
  <c r="H586" i="3"/>
  <c r="AC586" i="3"/>
  <c r="H587" i="3"/>
  <c r="AC587" i="3"/>
  <c r="G587" i="3"/>
  <c r="AT5" i="3"/>
  <c r="AD7" i="71"/>
  <c r="AG7" i="71"/>
  <c r="AH7" i="71"/>
  <c r="AE7" i="71"/>
  <c r="AF7" i="71"/>
  <c r="X6" i="71"/>
  <c r="AB6" i="71"/>
  <c r="AA6" i="71"/>
  <c r="Y6" i="71"/>
  <c r="Z6" i="71" s="1"/>
  <c r="T7" i="71"/>
  <c r="S7" i="71"/>
  <c r="V7" i="71"/>
  <c r="U7" i="71"/>
  <c r="AB7" i="71"/>
  <c r="Y7" i="71"/>
  <c r="Z7" i="71"/>
  <c r="X7" i="71"/>
  <c r="AA7"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A15" i="51"/>
  <c r="C76" i="9"/>
  <c r="I107" i="40"/>
  <c r="K6" i="4"/>
  <c r="M56" i="9" s="1"/>
  <c r="B22" i="31"/>
  <c r="E15" i="74"/>
  <c r="F15" i="74"/>
  <c r="E16" i="74"/>
  <c r="F16" i="74"/>
  <c r="E17" i="74"/>
  <c r="F17" i="74"/>
  <c r="E18" i="74"/>
  <c r="F18" i="74"/>
  <c r="E19" i="74"/>
  <c r="F19" i="74"/>
  <c r="E20" i="74"/>
  <c r="F20" i="74"/>
  <c r="E21" i="74"/>
  <c r="F21" i="74"/>
  <c r="E22" i="74"/>
  <c r="F22" i="74"/>
  <c r="E23" i="74"/>
  <c r="F23" i="74"/>
  <c r="B3" i="74"/>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66" i="72"/>
  <c r="B12" i="72"/>
  <c r="B10" i="72"/>
  <c r="C53" i="10"/>
  <c r="B51" i="10"/>
  <c r="B19" i="72"/>
  <c r="A18" i="51"/>
  <c r="B13" i="72" s="1"/>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C62" i="71"/>
  <c r="E62" i="71"/>
  <c r="E61" i="71" s="1"/>
  <c r="D63" i="71"/>
  <c r="C66" i="71"/>
  <c r="C70" i="71"/>
  <c r="D70" i="71" s="1"/>
  <c r="T11" i="71"/>
  <c r="S11" i="71"/>
  <c r="AB3" i="71"/>
  <c r="AB8" i="71"/>
  <c r="AB9" i="71"/>
  <c r="AB10" i="71"/>
  <c r="AB11" i="71"/>
  <c r="AA3" i="71"/>
  <c r="AA8" i="71"/>
  <c r="AA9" i="71"/>
  <c r="AA10" i="71"/>
  <c r="AA11" i="71"/>
  <c r="U11" i="71"/>
  <c r="C49" i="71"/>
  <c r="O49" i="71" s="1"/>
  <c r="O50" i="71"/>
  <c r="D50" i="71"/>
  <c r="D66" i="71"/>
  <c r="C65" i="71"/>
  <c r="D65" i="71" s="1"/>
  <c r="D58" i="71"/>
  <c r="C57" i="71"/>
  <c r="D57" i="71"/>
  <c r="C69" i="71"/>
  <c r="D69" i="71" s="1"/>
  <c r="D62" i="71"/>
  <c r="C61" i="71"/>
  <c r="D61" i="71"/>
  <c r="P50" i="71"/>
  <c r="C27" i="71"/>
  <c r="T27" i="71" s="1"/>
  <c r="V11" i="71"/>
  <c r="D49" i="71"/>
  <c r="D27" i="71"/>
  <c r="O27" i="6"/>
  <c r="N27" i="6"/>
  <c r="P20" i="6"/>
  <c r="P21" i="6"/>
  <c r="P22" i="6"/>
  <c r="P23" i="6"/>
  <c r="P24" i="6"/>
  <c r="P25" i="6"/>
  <c r="P26" i="6"/>
  <c r="P19" i="6"/>
  <c r="AP8"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D83" i="21"/>
  <c r="F21" i="21" s="1"/>
  <c r="AA21" i="21" s="1"/>
  <c r="D81" i="21"/>
  <c r="G20" i="20"/>
  <c r="B86" i="43" s="1"/>
  <c r="C22" i="20"/>
  <c r="B75" i="43" s="1"/>
  <c r="B55" i="43"/>
  <c r="C25" i="40"/>
  <c r="S25" i="40"/>
  <c r="U18" i="36"/>
  <c r="S21" i="34"/>
  <c r="F94" i="40"/>
  <c r="H25" i="40"/>
  <c r="G94" i="40"/>
  <c r="J25" i="40"/>
  <c r="H29" i="39"/>
  <c r="AB29" i="39" s="1"/>
  <c r="J29" i="39"/>
  <c r="AC29" i="39" s="1"/>
  <c r="J18" i="36"/>
  <c r="F68" i="35"/>
  <c r="H18" i="35"/>
  <c r="AB18" i="35" s="1"/>
  <c r="S18" i="35"/>
  <c r="G68" i="35"/>
  <c r="J18" i="35"/>
  <c r="H21" i="37"/>
  <c r="F21" i="37"/>
  <c r="AA21" i="37" s="1"/>
  <c r="F84" i="34"/>
  <c r="H21" i="34"/>
  <c r="AB21" i="34" s="1"/>
  <c r="H21" i="33"/>
  <c r="U21" i="33" s="1"/>
  <c r="F21" i="33"/>
  <c r="E83" i="21"/>
  <c r="F83" i="21" s="1"/>
  <c r="G83" i="21" s="1"/>
  <c r="H1" i="69"/>
  <c r="AC25" i="40"/>
  <c r="W25" i="40"/>
  <c r="AB25" i="40"/>
  <c r="U25" i="40"/>
  <c r="W29" i="39"/>
  <c r="AC18" i="36"/>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C21" i="69" s="1"/>
  <c r="F20" i="69"/>
  <c r="E10" i="69"/>
  <c r="E9" i="69"/>
  <c r="F7" i="69"/>
  <c r="C7" i="69" s="1"/>
  <c r="W21" i="37"/>
  <c r="W21" i="34"/>
  <c r="W21" i="33"/>
  <c r="J21" i="21"/>
  <c r="W21" i="21" s="1"/>
  <c r="F38" i="68"/>
  <c r="E37" i="68"/>
  <c r="F36" i="68"/>
  <c r="F35" i="68"/>
  <c r="F21" i="68"/>
  <c r="C21" i="68" s="1"/>
  <c r="F20" i="68"/>
  <c r="E10" i="68"/>
  <c r="E9" i="68"/>
  <c r="F7" i="68"/>
  <c r="AC21" i="21"/>
  <c r="Q72" i="67"/>
  <c r="Q59" i="67"/>
  <c r="Q58" i="67"/>
  <c r="Q51" i="67"/>
  <c r="J50"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A8" i="1"/>
  <c r="B8" i="1" s="1"/>
  <c r="E8" i="1" s="1"/>
  <c r="A9" i="1"/>
  <c r="A10" i="1"/>
  <c r="K10" i="1" s="1"/>
  <c r="M10" i="1" s="1"/>
  <c r="O10" i="1" s="1"/>
  <c r="P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s="1"/>
  <c r="C58" i="40" s="1"/>
  <c r="H57" i="40"/>
  <c r="I57" i="40" s="1"/>
  <c r="C57" i="40" s="1"/>
  <c r="H56" i="40"/>
  <c r="I56" i="40" s="1"/>
  <c r="C56" i="40"/>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C10" i="39" s="1"/>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B22" i="1"/>
  <c r="B23" i="1"/>
  <c r="B24" i="1"/>
  <c r="B43" i="1"/>
  <c r="D78" i="9" s="1"/>
  <c r="E19" i="6"/>
  <c r="E20" i="6"/>
  <c r="E21" i="6"/>
  <c r="F23" i="15"/>
  <c r="D24" i="15" s="1"/>
  <c r="E22" i="6"/>
  <c r="E23" i="6"/>
  <c r="E24" i="6"/>
  <c r="E25" i="6"/>
  <c r="E26" i="6"/>
  <c r="BC10" i="3"/>
  <c r="BD10" i="3"/>
  <c r="BB10" i="3"/>
  <c r="I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s="1"/>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1" i="21"/>
  <c r="H19"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S40" i="21"/>
  <c r="U34" i="21"/>
  <c r="S34" i="21"/>
  <c r="C25" i="39"/>
  <c r="C27" i="39"/>
  <c r="C21" i="39"/>
  <c r="S40" i="39"/>
  <c r="C15" i="39"/>
  <c r="H32" i="33"/>
  <c r="AB32" i="33"/>
  <c r="H37" i="40"/>
  <c r="U37" i="40"/>
  <c r="H36" i="40"/>
  <c r="AB36" i="40"/>
  <c r="F35" i="40"/>
  <c r="AA35" i="40"/>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c r="F27" i="21"/>
  <c r="AA27" i="21"/>
  <c r="H29" i="21"/>
  <c r="U29" i="21"/>
  <c r="J31" i="21"/>
  <c r="AC31" i="21"/>
  <c r="F31" i="21"/>
  <c r="S31" i="2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s="1"/>
  <c r="H17" i="21"/>
  <c r="AB17"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s="1"/>
  <c r="J107" i="37" s="1"/>
  <c r="K107" i="37" s="1"/>
  <c r="L107" i="37" s="1"/>
  <c r="M107" i="37"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34" i="39"/>
  <c r="U40" i="39"/>
  <c r="W8" i="39"/>
  <c r="J19" i="40"/>
  <c r="AC19" i="40"/>
  <c r="J50" i="40"/>
  <c r="B16" i="53"/>
  <c r="B33" i="72" s="1"/>
  <c r="C7" i="37"/>
  <c r="C7" i="34"/>
  <c r="C7" i="36"/>
  <c r="W35" i="40"/>
  <c r="A118" i="9"/>
  <c r="A4" i="52"/>
  <c r="B41" i="72" s="1"/>
  <c r="G4" i="4"/>
  <c r="I4" i="4"/>
  <c r="K5" i="4"/>
  <c r="B47" i="48" s="1"/>
  <c r="A2" i="9"/>
  <c r="N2" i="43"/>
  <c r="F59" i="43"/>
  <c r="H62" i="43" s="1"/>
  <c r="BO5" i="3"/>
  <c r="BM5" i="3"/>
  <c r="BJ5" i="3"/>
  <c r="BH5" i="3"/>
  <c r="BF5" i="3"/>
  <c r="BD5" i="3"/>
  <c r="BQ5" i="3"/>
  <c r="AC5" i="3"/>
  <c r="BS5" i="3"/>
  <c r="BP5" i="3"/>
  <c r="BN5" i="3"/>
  <c r="BK5" i="3"/>
  <c r="BI5" i="3"/>
  <c r="BG5" i="3"/>
  <c r="BE5" i="3"/>
  <c r="BC5" i="3"/>
  <c r="BT5" i="3"/>
  <c r="BB5" i="3"/>
  <c r="BR5" i="3"/>
  <c r="G28" i="6" s="1"/>
  <c r="U36" i="40"/>
  <c r="N4" i="43"/>
  <c r="F81" i="43"/>
  <c r="H83" i="43" s="1"/>
  <c r="F48" i="43"/>
  <c r="H52" i="43" s="1"/>
  <c r="N7" i="43"/>
  <c r="F70" i="43"/>
  <c r="H73" i="43" s="1"/>
  <c r="M6" i="43"/>
  <c r="M11" i="43"/>
  <c r="E17" i="43"/>
  <c r="F6" i="1"/>
  <c r="S14" i="35"/>
  <c r="AC35" i="21"/>
  <c r="G8" i="1"/>
  <c r="G9" i="1"/>
  <c r="G10"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2" i="43"/>
  <c r="K9" i="1"/>
  <c r="M9" i="1" s="1"/>
  <c r="AE9" i="1"/>
  <c r="D93" i="9"/>
  <c r="K6" i="1"/>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s="1"/>
  <c r="F39" i="40"/>
  <c r="S12" i="1"/>
  <c r="AQ12" i="1" s="1"/>
  <c r="R12" i="1"/>
  <c r="B12" i="1"/>
  <c r="E12" i="1" s="1"/>
  <c r="S10" i="1"/>
  <c r="AQ10" i="1" s="1"/>
  <c r="R10" i="1"/>
  <c r="B10" i="1"/>
  <c r="E10" i="1" s="1"/>
  <c r="D1" i="66"/>
  <c r="E10" i="66" s="1"/>
  <c r="K12" i="1"/>
  <c r="M12" i="1" s="1"/>
  <c r="O12" i="1" s="1"/>
  <c r="P12" i="1" s="1"/>
  <c r="S13" i="1"/>
  <c r="AR13" i="1" s="1"/>
  <c r="R13" i="1"/>
  <c r="S11" i="1"/>
  <c r="AQ11" i="1" s="1"/>
  <c r="R11" i="1"/>
  <c r="J51" i="67"/>
  <c r="C42" i="1"/>
  <c r="H100" i="43"/>
  <c r="C30" i="66"/>
  <c r="E26" i="66" s="1"/>
  <c r="AC34" i="33"/>
  <c r="B41" i="1"/>
  <c r="F48" i="9" s="1"/>
  <c r="O52" i="9" s="1"/>
  <c r="S22" i="31"/>
  <c r="J100" i="43"/>
  <c r="AB37" i="40"/>
  <c r="S35" i="40"/>
  <c r="U35" i="40"/>
  <c r="AC36" i="40"/>
  <c r="AA32" i="40"/>
  <c r="S17" i="40"/>
  <c r="S23" i="40"/>
  <c r="AC17" i="40"/>
  <c r="AC15" i="40"/>
  <c r="AB27" i="40"/>
  <c r="AA19" i="40"/>
  <c r="S28" i="40"/>
  <c r="AA27" i="40"/>
  <c r="U21" i="40"/>
  <c r="AB19" i="40"/>
  <c r="W42" i="39"/>
  <c r="U37" i="39"/>
  <c r="W39" i="39"/>
  <c r="S43" i="39"/>
  <c r="S37" i="39"/>
  <c r="U35" i="39"/>
  <c r="U25" i="39"/>
  <c r="U31" i="39"/>
  <c r="S25" i="39"/>
  <c r="J21" i="39"/>
  <c r="F21" i="39"/>
  <c r="H21" i="39"/>
  <c r="AB21" i="39" s="1"/>
  <c r="W19" i="39"/>
  <c r="U19"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AA38" i="21"/>
  <c r="AC40" i="21"/>
  <c r="F23" i="21"/>
  <c r="S23" i="21" s="1"/>
  <c r="E85" i="21"/>
  <c r="F85" i="21" s="1"/>
  <c r="G85" i="21" s="1"/>
  <c r="AA14" i="21"/>
  <c r="S8" i="21"/>
  <c r="M3" i="43"/>
  <c r="N10" i="43"/>
  <c r="M1" i="43"/>
  <c r="M8" i="43"/>
  <c r="N8" i="43"/>
  <c r="N9" i="43"/>
  <c r="C18" i="9"/>
  <c r="D18" i="9" s="1"/>
  <c r="F34" i="67"/>
  <c r="F62" i="67" s="1"/>
  <c r="M20" i="67"/>
  <c r="F34" i="15"/>
  <c r="F62" i="15" s="1"/>
  <c r="E10" i="6"/>
  <c r="A24" i="51"/>
  <c r="B18" i="72"/>
  <c r="U29" i="34"/>
  <c r="E5" i="6"/>
  <c r="D9" i="11" s="1"/>
  <c r="C9" i="11" s="1"/>
  <c r="E32" i="6"/>
  <c r="L19" i="6"/>
  <c r="G1" i="68"/>
  <c r="K1" i="12"/>
  <c r="AR10" i="1"/>
  <c r="T10" i="1"/>
  <c r="E19" i="69"/>
  <c r="E19" i="68"/>
  <c r="E19" i="11"/>
  <c r="E1" i="73"/>
  <c r="G41" i="69"/>
  <c r="G22" i="69"/>
  <c r="G41" i="68"/>
  <c r="G22" i="68"/>
  <c r="G27" i="12"/>
  <c r="G26" i="12"/>
  <c r="G41" i="11"/>
  <c r="G22" i="11"/>
  <c r="G25" i="12"/>
  <c r="E81" i="43"/>
  <c r="B79" i="43" s="1"/>
  <c r="E48" i="43"/>
  <c r="B46" i="43" s="1"/>
  <c r="E70" i="43"/>
  <c r="B68" i="43" s="1"/>
  <c r="F100" i="43"/>
  <c r="G6" i="1"/>
  <c r="H81" i="43"/>
  <c r="H88" i="43"/>
  <c r="H54" i="43"/>
  <c r="H78" i="43"/>
  <c r="H70" i="43"/>
  <c r="H71" i="43"/>
  <c r="M7" i="43"/>
  <c r="N6" i="43"/>
  <c r="M2" i="43"/>
  <c r="M10" i="43"/>
  <c r="N3" i="43"/>
  <c r="N11" i="43"/>
  <c r="M9" i="43"/>
  <c r="N12" i="43"/>
  <c r="N5" i="43"/>
  <c r="M5" i="43"/>
  <c r="M12" i="43"/>
  <c r="M4" i="43"/>
  <c r="B19" i="53"/>
  <c r="B37" i="72" s="1"/>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C46" i="36"/>
  <c r="D46" i="36" s="1"/>
  <c r="C59" i="34"/>
  <c r="D59" i="34" s="1"/>
  <c r="E59" i="34" s="1"/>
  <c r="F59" i="34" s="1"/>
  <c r="G59" i="34" s="1"/>
  <c r="H59" i="34" s="1"/>
  <c r="I59" i="34" s="1"/>
  <c r="C52" i="37"/>
  <c r="D52" i="37" s="1"/>
  <c r="E52" i="37" s="1"/>
  <c r="F52" i="37" s="1"/>
  <c r="G52" i="37" s="1"/>
  <c r="A4" i="51"/>
  <c r="B6" i="72" s="1"/>
  <c r="C58" i="21"/>
  <c r="D58" i="21" s="1"/>
  <c r="E58" i="21" s="1"/>
  <c r="F58" i="21" s="1"/>
  <c r="H66" i="43"/>
  <c r="H65" i="43"/>
  <c r="H64" i="43"/>
  <c r="H63" i="43"/>
  <c r="H55" i="43"/>
  <c r="H56" i="43"/>
  <c r="H76" i="43"/>
  <c r="H72" i="43"/>
  <c r="H77" i="43"/>
  <c r="L20" i="6"/>
  <c r="B6" i="1"/>
  <c r="E6" i="1" s="1"/>
  <c r="K11" i="1"/>
  <c r="M11" i="1" s="1"/>
  <c r="O11" i="1" s="1"/>
  <c r="P11" i="1" s="1"/>
  <c r="AP6" i="1"/>
  <c r="B9" i="1"/>
  <c r="E9" i="1" s="1"/>
  <c r="K7" i="1"/>
  <c r="A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AA26" i="21"/>
  <c r="AB14" i="21"/>
  <c r="AB46" i="21"/>
  <c r="U40" i="21"/>
  <c r="AB31" i="21"/>
  <c r="U31" i="21"/>
  <c r="W8" i="21"/>
  <c r="J17" i="21"/>
  <c r="AC17" i="21" s="1"/>
  <c r="AC19" i="21"/>
  <c r="W39" i="21"/>
  <c r="AC14" i="21"/>
  <c r="W30" i="21"/>
  <c r="S46" i="21"/>
  <c r="H45" i="21"/>
  <c r="U45" i="21" s="1"/>
  <c r="F29" i="21"/>
  <c r="S29" i="21" s="1"/>
  <c r="F13" i="21"/>
  <c r="AA13" i="21" s="1"/>
  <c r="AC38" i="21"/>
  <c r="H32" i="21"/>
  <c r="AB32" i="21" s="1"/>
  <c r="H9" i="21"/>
  <c r="AB9" i="21" s="1"/>
  <c r="J9" i="21"/>
  <c r="AC9" i="21" s="1"/>
  <c r="J32" i="21"/>
  <c r="W32" i="21" s="1"/>
  <c r="F32" i="21"/>
  <c r="S32" i="21" s="1"/>
  <c r="AA31" i="21"/>
  <c r="U17" i="21"/>
  <c r="S9" i="21"/>
  <c r="AA9" i="21"/>
  <c r="K141" i="21"/>
  <c r="K144" i="21"/>
  <c r="K143" i="21"/>
  <c r="U27" i="21"/>
  <c r="AB25" i="21"/>
  <c r="AB44" i="21"/>
  <c r="AA30" i="21"/>
  <c r="W13" i="21"/>
  <c r="W42" i="21"/>
  <c r="F10" i="21"/>
  <c r="AA10" i="21" s="1"/>
  <c r="K145" i="21"/>
  <c r="W25" i="21"/>
  <c r="W31" i="21"/>
  <c r="S27" i="21"/>
  <c r="S1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C30" i="68" s="1"/>
  <c r="F30" i="11"/>
  <c r="C48" i="11" s="1"/>
  <c r="F28" i="67"/>
  <c r="C28" i="67" s="1"/>
  <c r="F31" i="12"/>
  <c r="F52" i="9"/>
  <c r="M18" i="67"/>
  <c r="F32" i="67"/>
  <c r="F60" i="67" s="1"/>
  <c r="F30" i="69"/>
  <c r="C48" i="69" s="1"/>
  <c r="F32" i="15"/>
  <c r="F60" i="15" s="1"/>
  <c r="M18" i="15"/>
  <c r="F28" i="15"/>
  <c r="C28" i="15"/>
  <c r="C77" i="9"/>
  <c r="C74" i="9" s="1"/>
  <c r="C30" i="69"/>
  <c r="E7" i="70"/>
  <c r="C24" i="12"/>
  <c r="AA39" i="40"/>
  <c r="S39" i="40"/>
  <c r="S12" i="33"/>
  <c r="AA12" i="33"/>
  <c r="D68" i="9"/>
  <c r="F54" i="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J23" i="21"/>
  <c r="W23" i="21" s="1"/>
  <c r="H23" i="21"/>
  <c r="AB23" i="21" s="1"/>
  <c r="R22" i="31"/>
  <c r="B21" i="31"/>
  <c r="O19" i="43"/>
  <c r="AC32" i="21"/>
  <c r="U9" i="21"/>
  <c r="W9" i="21"/>
  <c r="S10" i="21"/>
  <c r="E6" i="70"/>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Q52" i="67"/>
  <c r="AC11" i="37"/>
  <c r="W11" i="37"/>
  <c r="W11" i="34"/>
  <c r="AE7" i="1"/>
  <c r="AE6" i="1"/>
  <c r="AG6" i="1"/>
  <c r="F7" i="33"/>
  <c r="S7" i="33" s="1"/>
  <c r="H112" i="9"/>
  <c r="D21" i="53" s="1"/>
  <c r="B39" i="72" s="1"/>
  <c r="H111" i="9"/>
  <c r="D126" i="9" s="1"/>
  <c r="I14" i="74" s="1"/>
  <c r="B8" i="74" s="1"/>
  <c r="D59" i="9"/>
  <c r="M55" i="9" s="1"/>
  <c r="AD3" i="71"/>
  <c r="P21" i="43"/>
  <c r="P22" i="43"/>
  <c r="P23" i="43"/>
  <c r="B71" i="39" s="1"/>
  <c r="P24" i="43"/>
  <c r="B66" i="40" s="1"/>
  <c r="P25" i="43"/>
  <c r="F31" i="15"/>
  <c r="M26" i="67"/>
  <c r="M28" i="15"/>
  <c r="M22" i="15"/>
  <c r="F26" i="15"/>
  <c r="F13" i="15"/>
  <c r="B10" i="76"/>
  <c r="B9" i="76"/>
  <c r="F36" i="67"/>
  <c r="F37" i="67"/>
  <c r="F6" i="67"/>
  <c r="F6" i="15"/>
  <c r="D3" i="73"/>
  <c r="M28" i="67"/>
  <c r="F9" i="15"/>
  <c r="F42" i="67"/>
  <c r="F40" i="67"/>
  <c r="E9" i="76"/>
  <c r="F4" i="73"/>
  <c r="AO6" i="1"/>
  <c r="E7" i="76"/>
  <c r="E12" i="76"/>
  <c r="E8" i="76"/>
  <c r="D6" i="73"/>
  <c r="E2" i="69"/>
  <c r="F20" i="31"/>
  <c r="E10" i="76"/>
  <c r="F5" i="73"/>
  <c r="AO13" i="1"/>
  <c r="M24" i="15"/>
  <c r="M9" i="15"/>
  <c r="AO9" i="1"/>
  <c r="D2" i="34"/>
  <c r="F8" i="15"/>
  <c r="AO7" i="1"/>
  <c r="F42" i="15"/>
  <c r="F38" i="67"/>
  <c r="E2" i="68"/>
  <c r="M23" i="67"/>
  <c r="C76" i="67"/>
  <c r="M6" i="67"/>
  <c r="F7" i="67"/>
  <c r="D2" i="21"/>
  <c r="B13" i="76"/>
  <c r="E11" i="76"/>
  <c r="J15" i="67"/>
  <c r="F3" i="73"/>
  <c r="M9" i="67"/>
  <c r="F6" i="73"/>
  <c r="F9" i="67"/>
  <c r="C76" i="15"/>
  <c r="AO12" i="1"/>
  <c r="F41" i="67"/>
  <c r="F7" i="73"/>
  <c r="D2" i="33"/>
  <c r="B7" i="76"/>
  <c r="D2" i="36"/>
  <c r="AO10" i="1"/>
  <c r="B12" i="76"/>
  <c r="D2" i="35"/>
  <c r="B11" i="76"/>
  <c r="AO11" i="1"/>
  <c r="D4" i="73"/>
  <c r="D5" i="73"/>
  <c r="D2" i="37"/>
  <c r="M6" i="15"/>
  <c r="J15" i="15"/>
  <c r="E13" i="76"/>
  <c r="M8" i="67"/>
  <c r="D7" i="73"/>
  <c r="B8" i="76"/>
  <c r="F26" i="67"/>
  <c r="AB13" i="21" l="1"/>
  <c r="U13" i="21"/>
  <c r="S12" i="21"/>
  <c r="AA12" i="21"/>
  <c r="W45" i="21"/>
  <c r="AC45" i="21"/>
  <c r="H7" i="33"/>
  <c r="J7" i="33"/>
  <c r="W7" i="33" s="1"/>
  <c r="C30" i="11"/>
  <c r="AA19" i="33"/>
  <c r="U44" i="34"/>
  <c r="AB27" i="36"/>
  <c r="S30" i="40"/>
  <c r="F53" i="9"/>
  <c r="AA34" i="33"/>
  <c r="AA7" i="33"/>
  <c r="R48" i="33" s="1"/>
  <c r="AA14" i="37"/>
  <c r="AA14" i="33"/>
  <c r="AA44" i="33"/>
  <c r="F81" i="21"/>
  <c r="G81" i="21" s="1"/>
  <c r="F19" i="21"/>
  <c r="P49" i="71"/>
  <c r="P48" i="71"/>
  <c r="C39" i="71"/>
  <c r="D38" i="71"/>
  <c r="D45" i="71"/>
  <c r="C46" i="71"/>
  <c r="H9" i="34"/>
  <c r="F34" i="35"/>
  <c r="H34" i="35"/>
  <c r="J36" i="35"/>
  <c r="H38" i="40"/>
  <c r="J38" i="40"/>
  <c r="H39" i="40"/>
  <c r="C35" i="71"/>
  <c r="D34" i="71"/>
  <c r="C43" i="71"/>
  <c r="D42" i="71"/>
  <c r="Q49" i="71"/>
  <c r="Q48" i="71"/>
  <c r="S18" i="36"/>
  <c r="C29" i="39"/>
  <c r="B66" i="43"/>
  <c r="O48" i="71"/>
  <c r="C54" i="71"/>
  <c r="Q50" i="71"/>
  <c r="B50" i="71"/>
  <c r="AH10" i="43"/>
  <c r="AD10" i="43"/>
  <c r="Z10" i="43"/>
  <c r="AG10" i="43"/>
  <c r="AC10" i="43"/>
  <c r="P74" i="67"/>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340" i="3"/>
  <c r="BA340" i="3"/>
  <c r="BL339" i="3"/>
  <c r="AZ339" i="3" s="1"/>
  <c r="BL336" i="3"/>
  <c r="BA336" i="3"/>
  <c r="AZ336" i="3" s="1"/>
  <c r="BL335" i="3"/>
  <c r="AZ335" i="3" s="1"/>
  <c r="BL587" i="3"/>
  <c r="AZ587" i="3" s="1"/>
  <c r="BA586" i="3"/>
  <c r="AZ586" i="3" s="1"/>
  <c r="BL585" i="3"/>
  <c r="AZ585" i="3" s="1"/>
  <c r="BA584" i="3"/>
  <c r="AZ584" i="3" s="1"/>
  <c r="BL583" i="3"/>
  <c r="AZ583"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BA485" i="3"/>
  <c r="BL484" i="3"/>
  <c r="AZ484" i="3" s="1"/>
  <c r="BA483" i="3"/>
  <c r="AZ483" i="3" s="1"/>
  <c r="BL482" i="3"/>
  <c r="AZ482" i="3" s="1"/>
  <c r="BA481" i="3"/>
  <c r="AZ481" i="3" s="1"/>
  <c r="BL480" i="3"/>
  <c r="AZ480" i="3" s="1"/>
  <c r="BA479" i="3"/>
  <c r="AZ479" i="3" s="1"/>
  <c r="BL478" i="3"/>
  <c r="AZ478" i="3" s="1"/>
  <c r="BA477" i="3"/>
  <c r="AZ477" i="3" s="1"/>
  <c r="BL476" i="3"/>
  <c r="AZ476" i="3" s="1"/>
  <c r="BA475" i="3"/>
  <c r="AZ475" i="3" s="1"/>
  <c r="BL474" i="3"/>
  <c r="AZ474" i="3" s="1"/>
  <c r="BA473" i="3"/>
  <c r="AZ473" i="3" s="1"/>
  <c r="BL472" i="3"/>
  <c r="AZ472" i="3" s="1"/>
  <c r="BA471" i="3"/>
  <c r="AZ471" i="3" s="1"/>
  <c r="BL470" i="3"/>
  <c r="AZ470" i="3" s="1"/>
  <c r="BA469" i="3"/>
  <c r="AZ469" i="3" s="1"/>
  <c r="BL468" i="3"/>
  <c r="AZ468" i="3" s="1"/>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AZ457" i="3" s="1"/>
  <c r="BL456" i="3"/>
  <c r="AZ456" i="3" s="1"/>
  <c r="BA455" i="3"/>
  <c r="AZ455" i="3" s="1"/>
  <c r="BL454" i="3"/>
  <c r="AZ454" i="3" s="1"/>
  <c r="BA453" i="3"/>
  <c r="AZ453" i="3" s="1"/>
  <c r="BL452" i="3"/>
  <c r="AZ452" i="3" s="1"/>
  <c r="BA451" i="3"/>
  <c r="AZ451" i="3" s="1"/>
  <c r="BL450" i="3"/>
  <c r="AZ450" i="3" s="1"/>
  <c r="BA449" i="3"/>
  <c r="AZ449" i="3" s="1"/>
  <c r="BL448" i="3"/>
  <c r="AZ448" i="3" s="1"/>
  <c r="BA447" i="3"/>
  <c r="AZ447" i="3" s="1"/>
  <c r="BL446" i="3"/>
  <c r="AZ446" i="3" s="1"/>
  <c r="BA445" i="3"/>
  <c r="AZ445" i="3" s="1"/>
  <c r="BL444" i="3"/>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L338" i="3"/>
  <c r="BA338" i="3"/>
  <c r="AZ338" i="3" s="1"/>
  <c r="BL337" i="3"/>
  <c r="AZ337" i="3" s="1"/>
  <c r="BL334" i="3"/>
  <c r="BA334" i="3"/>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BA150" i="3"/>
  <c r="BA146" i="3"/>
  <c r="BA142" i="3"/>
  <c r="BA138" i="3"/>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A148" i="3"/>
  <c r="BA144" i="3"/>
  <c r="BA140" i="3"/>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43" i="3"/>
  <c r="BA39" i="3"/>
  <c r="BA35" i="3"/>
  <c r="BA31" i="3"/>
  <c r="BA27" i="3"/>
  <c r="BA23" i="3"/>
  <c r="BA20" i="3"/>
  <c r="BL16" i="3"/>
  <c r="AZ16" i="3" s="1"/>
  <c r="BA14" i="3"/>
  <c r="BL119" i="3"/>
  <c r="AZ119" i="3" s="1"/>
  <c r="BA118" i="3"/>
  <c r="AZ118" i="3" s="1"/>
  <c r="BL117" i="3"/>
  <c r="AZ117" i="3" s="1"/>
  <c r="BA116" i="3"/>
  <c r="AZ116" i="3" s="1"/>
  <c r="BL115" i="3"/>
  <c r="AZ115" i="3" s="1"/>
  <c r="BA114" i="3"/>
  <c r="AZ114" i="3" s="1"/>
  <c r="BL113" i="3"/>
  <c r="AZ113" i="3" s="1"/>
  <c r="BA112" i="3"/>
  <c r="AZ112" i="3" s="1"/>
  <c r="BL111" i="3"/>
  <c r="AZ111" i="3" s="1"/>
  <c r="BA110" i="3"/>
  <c r="AZ110" i="3" s="1"/>
  <c r="BL109" i="3"/>
  <c r="AZ109" i="3" s="1"/>
  <c r="BA108" i="3"/>
  <c r="AZ108" i="3" s="1"/>
  <c r="BL107" i="3"/>
  <c r="AZ107" i="3" s="1"/>
  <c r="BA106" i="3"/>
  <c r="AZ106" i="3" s="1"/>
  <c r="BL105" i="3"/>
  <c r="AZ105" i="3" s="1"/>
  <c r="BA104" i="3"/>
  <c r="AZ104" i="3" s="1"/>
  <c r="BL103" i="3"/>
  <c r="AZ103" i="3" s="1"/>
  <c r="BA102" i="3"/>
  <c r="AZ102" i="3" s="1"/>
  <c r="BL101" i="3"/>
  <c r="AZ101" i="3" s="1"/>
  <c r="BA100" i="3"/>
  <c r="AZ100" i="3" s="1"/>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AZ86" i="3" s="1"/>
  <c r="BL85" i="3"/>
  <c r="AZ85" i="3" s="1"/>
  <c r="BA84" i="3"/>
  <c r="AZ84" i="3" s="1"/>
  <c r="BL83" i="3"/>
  <c r="AZ83" i="3" s="1"/>
  <c r="BA82" i="3"/>
  <c r="AZ82" i="3" s="1"/>
  <c r="BL81" i="3"/>
  <c r="AZ81" i="3" s="1"/>
  <c r="BA80" i="3"/>
  <c r="AZ80" i="3" s="1"/>
  <c r="BL79" i="3"/>
  <c r="AZ79" i="3" s="1"/>
  <c r="BA78" i="3"/>
  <c r="AZ78" i="3" s="1"/>
  <c r="BL77" i="3"/>
  <c r="AZ77" i="3" s="1"/>
  <c r="BA76" i="3"/>
  <c r="AZ76" i="3" s="1"/>
  <c r="BL75" i="3"/>
  <c r="AZ75"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AZ47" i="3" s="1"/>
  <c r="BA46" i="3"/>
  <c r="AZ46" i="3" s="1"/>
  <c r="BA45" i="3"/>
  <c r="BA41" i="3"/>
  <c r="BA37" i="3"/>
  <c r="BA33" i="3"/>
  <c r="BA29" i="3"/>
  <c r="BA25" i="3"/>
  <c r="BA21" i="3"/>
  <c r="AZ20" i="3"/>
  <c r="BA18" i="3"/>
  <c r="BL15" i="3"/>
  <c r="AZ15" i="3" s="1"/>
  <c r="E9" i="43"/>
  <c r="C7" i="43" s="1"/>
  <c r="E11" i="43"/>
  <c r="D6" i="71"/>
  <c r="C5" i="71"/>
  <c r="D5" i="71" s="1"/>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4" i="3"/>
  <c r="AZ34" i="3" s="1"/>
  <c r="BL33" i="3"/>
  <c r="AZ33" i="3" s="1"/>
  <c r="BA32" i="3"/>
  <c r="AZ32" i="3" s="1"/>
  <c r="BL31" i="3"/>
  <c r="AZ31" i="3" s="1"/>
  <c r="BA30" i="3"/>
  <c r="AZ30" i="3" s="1"/>
  <c r="BL29" i="3"/>
  <c r="AZ29" i="3" s="1"/>
  <c r="BA28" i="3"/>
  <c r="AZ28" i="3" s="1"/>
  <c r="BL27" i="3"/>
  <c r="AZ27" i="3" s="1"/>
  <c r="BA26" i="3"/>
  <c r="AZ26" i="3" s="1"/>
  <c r="BL25" i="3"/>
  <c r="AZ25" i="3" s="1"/>
  <c r="BA24" i="3"/>
  <c r="AZ24" i="3" s="1"/>
  <c r="BL23" i="3"/>
  <c r="AZ23" i="3" s="1"/>
  <c r="BA22" i="3"/>
  <c r="AZ22" i="3" s="1"/>
  <c r="BL21" i="3"/>
  <c r="AZ21" i="3" s="1"/>
  <c r="BA19" i="3"/>
  <c r="AZ19" i="3" s="1"/>
  <c r="BL18" i="3"/>
  <c r="AZ18" i="3" s="1"/>
  <c r="BL14" i="3"/>
  <c r="AZ14" i="3" s="1"/>
  <c r="C17" i="43"/>
  <c r="I17" i="43"/>
  <c r="G17" i="43"/>
  <c r="C23" i="71"/>
  <c r="C19" i="71"/>
  <c r="C15" i="71"/>
  <c r="D10" i="71"/>
  <c r="B22" i="49"/>
  <c r="AA36" i="21"/>
  <c r="D19" i="53"/>
  <c r="F29" i="6"/>
  <c r="E29" i="6" s="1"/>
  <c r="K15" i="1" s="1"/>
  <c r="M7" i="1"/>
  <c r="O7" i="1" s="1"/>
  <c r="H51" i="43"/>
  <c r="H67" i="43"/>
  <c r="H59" i="43"/>
  <c r="H60" i="43"/>
  <c r="H61" i="43"/>
  <c r="H53" i="43"/>
  <c r="H84" i="43"/>
  <c r="H85" i="43"/>
  <c r="H87" i="43"/>
  <c r="H86" i="43"/>
  <c r="H48" i="43"/>
  <c r="H50" i="43"/>
  <c r="F107" i="39"/>
  <c r="G107" i="39" s="1"/>
  <c r="H107" i="39" s="1"/>
  <c r="I107" i="39" s="1"/>
  <c r="J107" i="39" s="1"/>
  <c r="K107" i="39" s="1"/>
  <c r="L107" i="39" s="1"/>
  <c r="M107" i="39" s="1"/>
  <c r="J32" i="39"/>
  <c r="AC32" i="39" s="1"/>
  <c r="F32" i="39"/>
  <c r="H32" i="39"/>
  <c r="J27" i="39"/>
  <c r="AC27" i="39" s="1"/>
  <c r="H27" i="39"/>
  <c r="U35" i="21"/>
  <c r="E8" i="6"/>
  <c r="E51" i="40" s="1"/>
  <c r="F31" i="67"/>
  <c r="L27" i="6"/>
  <c r="F28" i="6"/>
  <c r="T12" i="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AZ485" i="3"/>
  <c r="BL581" i="3"/>
  <c r="AZ581" i="3" s="1"/>
  <c r="BA580" i="3"/>
  <c r="AZ580" i="3" s="1"/>
  <c r="BL577" i="3"/>
  <c r="AZ577" i="3" s="1"/>
  <c r="BA576" i="3"/>
  <c r="AZ576" i="3" s="1"/>
  <c r="BL573" i="3"/>
  <c r="AZ573" i="3" s="1"/>
  <c r="BA572" i="3"/>
  <c r="AZ572" i="3" s="1"/>
  <c r="BL569" i="3"/>
  <c r="AZ569" i="3" s="1"/>
  <c r="BA568" i="3"/>
  <c r="AZ568" i="3" s="1"/>
  <c r="BL565" i="3"/>
  <c r="AZ565" i="3" s="1"/>
  <c r="BA564" i="3"/>
  <c r="AZ564"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AZ373" i="3" s="1"/>
  <c r="BA372" i="3"/>
  <c r="AZ372" i="3" s="1"/>
  <c r="BL369" i="3"/>
  <c r="AZ369" i="3" s="1"/>
  <c r="BA368" i="3"/>
  <c r="AZ368"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AZ230" i="3"/>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34" i="3"/>
  <c r="AZ234" i="3" s="1"/>
  <c r="BA233" i="3"/>
  <c r="AZ233" i="3" s="1"/>
  <c r="BL230" i="3"/>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L125" i="3"/>
  <c r="AZ125" i="3" s="1"/>
  <c r="BA124" i="3"/>
  <c r="AZ124" i="3" s="1"/>
  <c r="BL121" i="3"/>
  <c r="AZ121" i="3" s="1"/>
  <c r="BA120" i="3"/>
  <c r="AZ120" i="3" s="1"/>
  <c r="BL127" i="3"/>
  <c r="AZ127" i="3" s="1"/>
  <c r="BA126" i="3"/>
  <c r="AZ126" i="3" s="1"/>
  <c r="BL123" i="3"/>
  <c r="AZ123" i="3" s="1"/>
  <c r="BA122" i="3"/>
  <c r="AZ122" i="3" s="1"/>
  <c r="BL73" i="3"/>
  <c r="AZ73" i="3" s="1"/>
  <c r="BA72" i="3"/>
  <c r="AZ72" i="3" s="1"/>
  <c r="BL69" i="3"/>
  <c r="AZ69" i="3" s="1"/>
  <c r="BA74" i="3"/>
  <c r="AZ74" i="3" s="1"/>
  <c r="BL71" i="3"/>
  <c r="AZ71" i="3" s="1"/>
  <c r="BA70" i="3"/>
  <c r="AZ70" i="3" s="1"/>
  <c r="AP9" i="1"/>
  <c r="C36" i="69" s="1"/>
  <c r="U23" i="21"/>
  <c r="S42" i="39"/>
  <c r="C40" i="69"/>
  <c r="G13" i="3"/>
  <c r="E12" i="6"/>
  <c r="E62" i="39" s="1"/>
  <c r="E11" i="6"/>
  <c r="E61" i="39" s="1"/>
  <c r="T13" i="1"/>
  <c r="E9" i="49"/>
  <c r="AR12" i="1"/>
  <c r="E14" i="6"/>
  <c r="BL13" i="3"/>
  <c r="F27" i="39"/>
  <c r="G101" i="39"/>
  <c r="AR11" i="1"/>
  <c r="T11" i="1"/>
  <c r="AQ13" i="1"/>
  <c r="K8" i="1"/>
  <c r="BA13" i="3"/>
  <c r="BA5" i="3" s="1"/>
  <c r="E27" i="6" s="1"/>
  <c r="I4" i="6"/>
  <c r="G3" i="43" s="1"/>
  <c r="J22" i="43" s="1"/>
  <c r="D19" i="12"/>
  <c r="C19" i="12" s="1"/>
  <c r="E13" i="6"/>
  <c r="E15" i="6"/>
  <c r="E57" i="40"/>
  <c r="U21" i="39"/>
  <c r="AA23" i="21"/>
  <c r="U21" i="21"/>
  <c r="AB19" i="21"/>
  <c r="U19" i="21"/>
  <c r="F15" i="21"/>
  <c r="J15" i="21"/>
  <c r="W15" i="21" s="1"/>
  <c r="F77" i="21"/>
  <c r="G77" i="21" s="1"/>
  <c r="H15" i="21"/>
  <c r="AB15" i="21" s="1"/>
  <c r="AC23" i="21"/>
  <c r="B5" i="49"/>
  <c r="E4" i="49"/>
  <c r="B11" i="49"/>
  <c r="B14" i="49"/>
  <c r="C23" i="40"/>
  <c r="C15" i="40"/>
  <c r="P61" i="15"/>
  <c r="S21" i="21"/>
  <c r="W17" i="21"/>
  <c r="AC15" i="21"/>
  <c r="F37" i="21"/>
  <c r="H113" i="21"/>
  <c r="H37" i="21"/>
  <c r="J37" i="21"/>
  <c r="W37" i="21" s="1"/>
  <c r="U32" i="21"/>
  <c r="AA32" i="21"/>
  <c r="AC37" i="21"/>
  <c r="B6" i="49"/>
  <c r="E21" i="49"/>
  <c r="B13" i="49"/>
  <c r="C4" i="4" s="1"/>
  <c r="B4" i="62" s="1"/>
  <c r="B71" i="72" s="1"/>
  <c r="E22" i="49"/>
  <c r="B7" i="49"/>
  <c r="E4" i="4" s="1"/>
  <c r="B5" i="62" s="1"/>
  <c r="B73" i="72" s="1"/>
  <c r="S35" i="21"/>
  <c r="S39" i="21"/>
  <c r="AB38" i="21"/>
  <c r="U43" i="21"/>
  <c r="F69" i="21"/>
  <c r="G69" i="21" s="1"/>
  <c r="H69" i="21" s="1"/>
  <c r="I69" i="21" s="1"/>
  <c r="J69" i="21" s="1"/>
  <c r="K69" i="21" s="1"/>
  <c r="L69" i="21" s="1"/>
  <c r="M69" i="21" s="1"/>
  <c r="AB45" i="21"/>
  <c r="W27" i="21"/>
  <c r="AC27" i="21"/>
  <c r="AC29" i="21"/>
  <c r="W29" i="21"/>
  <c r="AA29" i="21"/>
  <c r="S13" i="21"/>
  <c r="AB8" i="21"/>
  <c r="U10" i="21"/>
  <c r="T35" i="4"/>
  <c r="A19" i="51" s="1"/>
  <c r="B14" i="72" s="1"/>
  <c r="A15" i="62"/>
  <c r="B61" i="72" s="1"/>
  <c r="D12" i="52"/>
  <c r="D127" i="9"/>
  <c r="D13" i="52" s="1"/>
  <c r="K56" i="9"/>
  <c r="N56" i="9"/>
  <c r="J56" i="9"/>
  <c r="J57" i="9" s="1"/>
  <c r="J59" i="9" s="1"/>
  <c r="J61" i="9" s="1"/>
  <c r="E28" i="6"/>
  <c r="G30" i="6"/>
  <c r="G31" i="6" s="1"/>
  <c r="D9" i="68"/>
  <c r="C9" i="68" s="1"/>
  <c r="D9" i="69"/>
  <c r="C9" i="69" s="1"/>
  <c r="W14" i="39"/>
  <c r="E11" i="49"/>
  <c r="B8" i="49"/>
  <c r="B4" i="49"/>
  <c r="E5" i="49"/>
  <c r="E10" i="49"/>
  <c r="E8" i="49"/>
  <c r="E16" i="49"/>
  <c r="B9" i="49"/>
  <c r="E6" i="49"/>
  <c r="E7" i="49"/>
  <c r="B16" i="49"/>
  <c r="B10" i="49"/>
  <c r="F89" i="39"/>
  <c r="G89" i="39" s="1"/>
  <c r="H15" i="39"/>
  <c r="U15" i="39" s="1"/>
  <c r="F15" i="39"/>
  <c r="J15" i="39"/>
  <c r="W15" i="39" s="1"/>
  <c r="H17" i="39"/>
  <c r="AB17" i="39" s="1"/>
  <c r="F91" i="39"/>
  <c r="G91" i="39" s="1"/>
  <c r="F17" i="39"/>
  <c r="J17" i="39"/>
  <c r="U29" i="39"/>
  <c r="S29" i="39"/>
  <c r="W27" i="39"/>
  <c r="AB15" i="39"/>
  <c r="C40" i="68"/>
  <c r="D22" i="67"/>
  <c r="C70" i="39"/>
  <c r="D68" i="39"/>
  <c r="O9" i="1"/>
  <c r="P9" i="1" s="1"/>
  <c r="P7" i="1"/>
  <c r="C48" i="68"/>
  <c r="R49" i="33"/>
  <c r="E48" i="33"/>
  <c r="AC7" i="33"/>
  <c r="V48" i="33" s="1"/>
  <c r="I48" i="33" s="1"/>
  <c r="J59" i="34"/>
  <c r="G58" i="21"/>
  <c r="D63" i="40"/>
  <c r="C65" i="40"/>
  <c r="D48" i="35"/>
  <c r="E48" i="35" s="1"/>
  <c r="F48" i="35" s="1"/>
  <c r="G48" i="35" s="1"/>
  <c r="H48" i="35" s="1"/>
  <c r="I48" i="35" s="1"/>
  <c r="J48" i="35" s="1"/>
  <c r="K48" i="35" s="1"/>
  <c r="L48" i="35" s="1"/>
  <c r="M48" i="35" s="1"/>
  <c r="N48" i="35" s="1"/>
  <c r="O48" i="35" s="1"/>
  <c r="H7" i="35"/>
  <c r="H52" i="37"/>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J7" i="36"/>
  <c r="F7" i="36"/>
  <c r="H7" i="36"/>
  <c r="AA41" i="39"/>
  <c r="W32" i="39"/>
  <c r="U9" i="39"/>
  <c r="W9" i="39"/>
  <c r="B20" i="31"/>
  <c r="B7" i="70"/>
  <c r="B6" i="70"/>
  <c r="F69" i="67"/>
  <c r="F70" i="67"/>
  <c r="F64" i="67"/>
  <c r="F65" i="67"/>
  <c r="Q71" i="15"/>
  <c r="M7" i="67"/>
  <c r="J6" i="67" s="1"/>
  <c r="F50" i="67"/>
  <c r="B10" i="70"/>
  <c r="B11" i="70"/>
  <c r="E20" i="43"/>
  <c r="K1" i="73"/>
  <c r="F68" i="67"/>
  <c r="F66" i="67"/>
  <c r="C27" i="15"/>
  <c r="F51" i="15"/>
  <c r="C27" i="67"/>
  <c r="Q71" i="67"/>
  <c r="B12" i="70"/>
  <c r="B13" i="70"/>
  <c r="B9" i="70"/>
  <c r="I1" i="73"/>
  <c r="B39" i="1" s="1"/>
  <c r="F59" i="67"/>
  <c r="F59" i="15"/>
  <c r="M17" i="67"/>
  <c r="M17" i="15"/>
  <c r="L47" i="15"/>
  <c r="M26" i="15"/>
  <c r="L48" i="67"/>
  <c r="M8" i="15"/>
  <c r="M23" i="15"/>
  <c r="M24" i="67"/>
  <c r="M29" i="67"/>
  <c r="M29" i="15"/>
  <c r="F37" i="15"/>
  <c r="F40" i="15"/>
  <c r="L48" i="15"/>
  <c r="F43" i="67"/>
  <c r="F13" i="67"/>
  <c r="G1" i="73"/>
  <c r="L47" i="67"/>
  <c r="F36" i="15"/>
  <c r="F16" i="15"/>
  <c r="M22" i="67"/>
  <c r="F38" i="15"/>
  <c r="F43" i="15"/>
  <c r="F16" i="67"/>
  <c r="F8" i="67"/>
  <c r="M27" i="15"/>
  <c r="M27" i="67"/>
  <c r="F7" i="15"/>
  <c r="F71" i="67" l="1"/>
  <c r="L56" i="15"/>
  <c r="J57" i="15"/>
  <c r="J55" i="15" s="1"/>
  <c r="J58" i="15" s="1"/>
  <c r="Q50" i="15" s="1"/>
  <c r="J53" i="15"/>
  <c r="I54" i="15"/>
  <c r="F51" i="67"/>
  <c r="C49" i="67" s="1"/>
  <c r="C6" i="67"/>
  <c r="F68" i="15"/>
  <c r="F65" i="15"/>
  <c r="N59" i="15"/>
  <c r="M59" i="15"/>
  <c r="L58" i="15"/>
  <c r="F66" i="15"/>
  <c r="F64" i="15"/>
  <c r="J57" i="67"/>
  <c r="J55" i="67" s="1"/>
  <c r="J58" i="67" s="1"/>
  <c r="Q50" i="67" s="1"/>
  <c r="L56" i="67"/>
  <c r="I54" i="67"/>
  <c r="L59" i="67"/>
  <c r="M59" i="67"/>
  <c r="L58" i="67"/>
  <c r="N59" i="67"/>
  <c r="U15" i="21"/>
  <c r="D15" i="71"/>
  <c r="T15" i="71"/>
  <c r="D23" i="71"/>
  <c r="T23" i="71"/>
  <c r="M20" i="43"/>
  <c r="C19" i="43" s="1"/>
  <c r="AZ150" i="3"/>
  <c r="AZ334" i="3"/>
  <c r="AZ340" i="3"/>
  <c r="B49" i="71"/>
  <c r="N50" i="71"/>
  <c r="C53" i="71"/>
  <c r="D53" i="71" s="1"/>
  <c r="D54" i="71"/>
  <c r="D43" i="71"/>
  <c r="T43" i="71"/>
  <c r="D35" i="71"/>
  <c r="T35" i="71"/>
  <c r="AC38" i="40"/>
  <c r="W38" i="40"/>
  <c r="AC36" i="35"/>
  <c r="W36" i="35"/>
  <c r="AA34" i="35"/>
  <c r="S34" i="35"/>
  <c r="D46" i="71"/>
  <c r="C47" i="71"/>
  <c r="AA19" i="21"/>
  <c r="S19" i="21"/>
  <c r="AB7" i="33"/>
  <c r="T48" i="33" s="1"/>
  <c r="G48" i="33" s="1"/>
  <c r="G52" i="33" s="1"/>
  <c r="H52" i="33" s="1"/>
  <c r="U7" i="33"/>
  <c r="G53" i="33"/>
  <c r="H53" i="33" s="1"/>
  <c r="D19" i="71"/>
  <c r="T19" i="71"/>
  <c r="C16" i="43"/>
  <c r="C5" i="43" s="1"/>
  <c r="U39" i="40"/>
  <c r="AB39" i="40"/>
  <c r="AB38" i="40"/>
  <c r="U38" i="40"/>
  <c r="AB34" i="35"/>
  <c r="U34" i="35"/>
  <c r="AB9" i="34"/>
  <c r="U9" i="34"/>
  <c r="D39" i="71"/>
  <c r="T39" i="71"/>
  <c r="D20" i="53"/>
  <c r="B40" i="72" s="1"/>
  <c r="B38" i="72"/>
  <c r="F30" i="6"/>
  <c r="F31" i="6" s="1"/>
  <c r="B40" i="9" s="1"/>
  <c r="F27" i="6"/>
  <c r="AZ13" i="3"/>
  <c r="AZ5" i="3" s="1"/>
  <c r="U32" i="39"/>
  <c r="AB32" i="39"/>
  <c r="AA32" i="39"/>
  <c r="S32" i="39"/>
  <c r="U27" i="39"/>
  <c r="AB27" i="39"/>
  <c r="E56" i="39"/>
  <c r="AG11" i="43"/>
  <c r="AG13" i="43" s="1"/>
  <c r="BL5" i="3"/>
  <c r="K101" i="43"/>
  <c r="K103" i="43" s="1"/>
  <c r="AJ11" i="43"/>
  <c r="AJ13" i="43" s="1"/>
  <c r="F50" i="15"/>
  <c r="C49" i="15" s="1"/>
  <c r="C6" i="15"/>
  <c r="M7" i="15"/>
  <c r="J6" i="15" s="1"/>
  <c r="F71" i="15"/>
  <c r="G16" i="1"/>
  <c r="H10" i="39" s="1"/>
  <c r="U10" i="39" s="1"/>
  <c r="E16" i="6"/>
  <c r="C13" i="12"/>
  <c r="G5" i="3"/>
  <c r="B3" i="3" s="1"/>
  <c r="E56" i="40"/>
  <c r="E64" i="39"/>
  <c r="E59" i="40"/>
  <c r="AA27" i="39"/>
  <c r="S27" i="39"/>
  <c r="J101" i="43"/>
  <c r="Y11" i="43"/>
  <c r="Y13" i="43" s="1"/>
  <c r="AB11" i="43"/>
  <c r="AB13" i="43" s="1"/>
  <c r="H22" i="43"/>
  <c r="L101" i="43"/>
  <c r="N101" i="43"/>
  <c r="N103" i="43" s="1"/>
  <c r="E22" i="43"/>
  <c r="AC11" i="43"/>
  <c r="AC13" i="43" s="1"/>
  <c r="Z7" i="43"/>
  <c r="AF11" i="43"/>
  <c r="AF13" i="43" s="1"/>
  <c r="I101" i="43"/>
  <c r="G22" i="43"/>
  <c r="H101" i="43"/>
  <c r="N104" i="46"/>
  <c r="G101" i="43"/>
  <c r="F101" i="43"/>
  <c r="F107" i="43" s="1"/>
  <c r="D101" i="43"/>
  <c r="C101" i="43"/>
  <c r="C104" i="43" s="1"/>
  <c r="AA11" i="43"/>
  <c r="AA13" i="43" s="1"/>
  <c r="AE11" i="43"/>
  <c r="AE13" i="43" s="1"/>
  <c r="AI11" i="43"/>
  <c r="AI13" i="43" s="1"/>
  <c r="Z11" i="43"/>
  <c r="Z13" i="43" s="1"/>
  <c r="AD11" i="43"/>
  <c r="AD13" i="43" s="1"/>
  <c r="AH11" i="43"/>
  <c r="AH13" i="43" s="1"/>
  <c r="E101" i="43"/>
  <c r="M101" i="43"/>
  <c r="M102" i="43" s="1"/>
  <c r="F22" i="43"/>
  <c r="B113" i="43"/>
  <c r="D116" i="43" s="1"/>
  <c r="E116" i="43" s="1"/>
  <c r="F116" i="43" s="1"/>
  <c r="G116" i="43" s="1"/>
  <c r="H116" i="43" s="1"/>
  <c r="M8" i="1"/>
  <c r="Q16" i="1"/>
  <c r="H16" i="1"/>
  <c r="E58" i="40"/>
  <c r="E63" i="39"/>
  <c r="E60" i="40"/>
  <c r="E65" i="39"/>
  <c r="S15" i="21"/>
  <c r="AA15" i="21"/>
  <c r="L59" i="15"/>
  <c r="Q74" i="15" s="1"/>
  <c r="Q52" i="15"/>
  <c r="F1" i="15"/>
  <c r="U37" i="21"/>
  <c r="AB37" i="21"/>
  <c r="AA37" i="21"/>
  <c r="S37" i="21"/>
  <c r="K4" i="4"/>
  <c r="B46" i="48" s="1"/>
  <c r="B4" i="72" s="1"/>
  <c r="H10" i="40"/>
  <c r="AB10" i="40" s="1"/>
  <c r="E30" i="6"/>
  <c r="E31" i="6" s="1"/>
  <c r="K24" i="6"/>
  <c r="M24" i="6" s="1"/>
  <c r="I24" i="6" s="1"/>
  <c r="S24" i="6" s="1"/>
  <c r="K26" i="6"/>
  <c r="M26" i="6" s="1"/>
  <c r="I26" i="6" s="1"/>
  <c r="S26" i="6" s="1"/>
  <c r="K22" i="6"/>
  <c r="K23" i="6"/>
  <c r="M23" i="6" s="1"/>
  <c r="I23" i="6" s="1"/>
  <c r="S23" i="6" s="1"/>
  <c r="K20" i="6"/>
  <c r="K14" i="1"/>
  <c r="K19" i="6"/>
  <c r="S6" i="1" s="1"/>
  <c r="K25" i="6"/>
  <c r="M25" i="6" s="1"/>
  <c r="I25" i="6" s="1"/>
  <c r="S25" i="6" s="1"/>
  <c r="K21" i="6"/>
  <c r="H102" i="43"/>
  <c r="H103" i="43"/>
  <c r="H104" i="43"/>
  <c r="H109" i="43"/>
  <c r="H107" i="43"/>
  <c r="H106" i="43"/>
  <c r="H105" i="43"/>
  <c r="L109" i="43"/>
  <c r="L106" i="43"/>
  <c r="L107" i="43"/>
  <c r="L103" i="43"/>
  <c r="L102" i="43"/>
  <c r="L105" i="43"/>
  <c r="L104" i="43"/>
  <c r="J104" i="43"/>
  <c r="J105" i="43"/>
  <c r="J103" i="43"/>
  <c r="J107" i="43"/>
  <c r="J102" i="43"/>
  <c r="J106" i="43"/>
  <c r="J109" i="43"/>
  <c r="K102" i="43"/>
  <c r="K109" i="43"/>
  <c r="K104" i="43"/>
  <c r="I109" i="43"/>
  <c r="I104" i="43"/>
  <c r="I107" i="43"/>
  <c r="I105" i="43"/>
  <c r="I102" i="43"/>
  <c r="I106" i="43"/>
  <c r="I103" i="43"/>
  <c r="G105" i="43"/>
  <c r="G102" i="43"/>
  <c r="G107" i="43"/>
  <c r="G104" i="43"/>
  <c r="G109" i="43"/>
  <c r="G103" i="43"/>
  <c r="G106" i="43"/>
  <c r="D102" i="43"/>
  <c r="D104" i="43"/>
  <c r="D106" i="43"/>
  <c r="D103" i="43"/>
  <c r="D105" i="43"/>
  <c r="D107" i="43"/>
  <c r="D109" i="43"/>
  <c r="E102" i="43"/>
  <c r="E106" i="43"/>
  <c r="E103" i="43"/>
  <c r="E104" i="43"/>
  <c r="E107" i="43"/>
  <c r="E105" i="43"/>
  <c r="E109" i="43"/>
  <c r="AC15" i="39"/>
  <c r="AA15" i="39"/>
  <c r="S15" i="39"/>
  <c r="AA17" i="39"/>
  <c r="S17" i="39"/>
  <c r="U17" i="39"/>
  <c r="AC17" i="39"/>
  <c r="W17" i="39"/>
  <c r="F7" i="35"/>
  <c r="J7" i="35"/>
  <c r="AC7" i="35" s="1"/>
  <c r="V38" i="35" s="1"/>
  <c r="I38" i="35" s="1"/>
  <c r="D70" i="39"/>
  <c r="E68" i="39"/>
  <c r="S7" i="36"/>
  <c r="AA7" i="36"/>
  <c r="R36" i="36" s="1"/>
  <c r="U7" i="37"/>
  <c r="AB7" i="37"/>
  <c r="T42" i="37" s="1"/>
  <c r="G42" i="37" s="1"/>
  <c r="AA7" i="35"/>
  <c r="R38" i="35" s="1"/>
  <c r="S7" i="35"/>
  <c r="W7" i="35"/>
  <c r="E53" i="33"/>
  <c r="F53" i="33" s="1"/>
  <c r="E52" i="33"/>
  <c r="F52" i="33" s="1"/>
  <c r="U7" i="36"/>
  <c r="AB7" i="36"/>
  <c r="T36" i="36" s="1"/>
  <c r="G36" i="36" s="1"/>
  <c r="AC7" i="36"/>
  <c r="V36" i="36" s="1"/>
  <c r="I36" i="36" s="1"/>
  <c r="W7" i="36"/>
  <c r="AC7" i="37"/>
  <c r="V42" i="37" s="1"/>
  <c r="I42" i="37" s="1"/>
  <c r="W7" i="37"/>
  <c r="AA7" i="37"/>
  <c r="R42" i="37" s="1"/>
  <c r="S7" i="37"/>
  <c r="U7" i="35"/>
  <c r="AB7" i="35"/>
  <c r="T38" i="35" s="1"/>
  <c r="G38" i="35" s="1"/>
  <c r="E63" i="40"/>
  <c r="D65" i="40"/>
  <c r="H58" i="21"/>
  <c r="K59" i="34"/>
  <c r="L59" i="34" s="1"/>
  <c r="M59" i="34" s="1"/>
  <c r="N59" i="34" s="1"/>
  <c r="O59" i="34" s="1"/>
  <c r="H7" i="34"/>
  <c r="I52" i="33"/>
  <c r="J52" i="33" s="1"/>
  <c r="I53" i="33"/>
  <c r="J53" i="33" s="1"/>
  <c r="C48" i="33"/>
  <c r="C49" i="33"/>
  <c r="B40" i="1"/>
  <c r="Q73" i="15"/>
  <c r="Q60" i="15"/>
  <c r="O17" i="43"/>
  <c r="M17" i="43"/>
  <c r="P17" i="43"/>
  <c r="N17" i="43"/>
  <c r="M11" i="67"/>
  <c r="J10" i="67" s="1"/>
  <c r="J5" i="67" s="1"/>
  <c r="F11" i="15"/>
  <c r="M11" i="15"/>
  <c r="F11" i="67"/>
  <c r="Q60" i="67"/>
  <c r="Q73" i="67"/>
  <c r="Q74" i="67"/>
  <c r="Q61" i="67"/>
  <c r="C16" i="67"/>
  <c r="C16" i="15"/>
  <c r="AE8" i="1"/>
  <c r="F7" i="34" l="1"/>
  <c r="N49" i="71"/>
  <c r="N48" i="71"/>
  <c r="C36" i="43"/>
  <c r="C33" i="43"/>
  <c r="C34" i="43"/>
  <c r="C35" i="43"/>
  <c r="C39" i="43"/>
  <c r="T11" i="43"/>
  <c r="V11" i="43" s="1"/>
  <c r="T14" i="43"/>
  <c r="V14" i="43" s="1"/>
  <c r="T9" i="43"/>
  <c r="V9" i="43" s="1"/>
  <c r="T15" i="43"/>
  <c r="V15" i="43" s="1"/>
  <c r="T10" i="43"/>
  <c r="V10" i="43" s="1"/>
  <c r="C37" i="43"/>
  <c r="T16" i="43"/>
  <c r="V16" i="43" s="1"/>
  <c r="T12" i="43"/>
  <c r="V12" i="43" s="1"/>
  <c r="T8" i="43"/>
  <c r="V8" i="43" s="1"/>
  <c r="T13" i="43"/>
  <c r="V13" i="43" s="1"/>
  <c r="C38" i="43"/>
  <c r="D47" i="71"/>
  <c r="T47" i="71"/>
  <c r="E3" i="6"/>
  <c r="C33" i="21" s="1"/>
  <c r="AY6" i="3"/>
  <c r="E13" i="3"/>
  <c r="AT6" i="3"/>
  <c r="F10" i="39"/>
  <c r="S10" i="39" s="1"/>
  <c r="J10" i="39"/>
  <c r="W10" i="39" s="1"/>
  <c r="F10" i="40"/>
  <c r="AA10" i="40" s="1"/>
  <c r="J10" i="40"/>
  <c r="AC10" i="40" s="1"/>
  <c r="J10" i="15"/>
  <c r="J5" i="15" s="1"/>
  <c r="J24" i="15" s="1"/>
  <c r="K105" i="43"/>
  <c r="K107" i="43"/>
  <c r="K106" i="43"/>
  <c r="O8" i="1"/>
  <c r="P8" i="1" s="1"/>
  <c r="W10" i="40"/>
  <c r="N102" i="43"/>
  <c r="D22" i="43"/>
  <c r="E204" i="3"/>
  <c r="E145" i="3"/>
  <c r="E164" i="3"/>
  <c r="E107" i="3"/>
  <c r="E327" i="3"/>
  <c r="E379" i="3"/>
  <c r="E576" i="3"/>
  <c r="E585" i="3"/>
  <c r="Z6" i="3"/>
  <c r="U6" i="3"/>
  <c r="AG6" i="3"/>
  <c r="E515" i="3"/>
  <c r="AO6"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253" i="3"/>
  <c r="E167" i="3"/>
  <c r="E199" i="3"/>
  <c r="E141" i="3"/>
  <c r="E286" i="3"/>
  <c r="E312" i="3"/>
  <c r="E575" i="3"/>
  <c r="AD6" i="3"/>
  <c r="E499" i="3"/>
  <c r="E542" i="3"/>
  <c r="R6" i="3"/>
  <c r="E552" i="3"/>
  <c r="E502" i="3"/>
  <c r="E421" i="3"/>
  <c r="E411" i="3"/>
  <c r="E442" i="3"/>
  <c r="E448" i="3"/>
  <c r="E464" i="3"/>
  <c r="E478" i="3"/>
  <c r="E466" i="3"/>
  <c r="E485" i="3"/>
  <c r="E487" i="3"/>
  <c r="E548" i="3"/>
  <c r="E541" i="3"/>
  <c r="P6" i="3"/>
  <c r="E398" i="3"/>
  <c r="E414" i="3"/>
  <c r="E430" i="3"/>
  <c r="E400" i="3"/>
  <c r="E416" i="3"/>
  <c r="E432" i="3"/>
  <c r="E449" i="3"/>
  <c r="E443" i="3"/>
  <c r="E459" i="3"/>
  <c r="E255" i="3"/>
  <c r="E374" i="3"/>
  <c r="I3" i="6"/>
  <c r="E566" i="3"/>
  <c r="AP6" i="3"/>
  <c r="E500" i="3"/>
  <c r="E554" i="3"/>
  <c r="E582" i="3"/>
  <c r="E517" i="3"/>
  <c r="E413" i="3"/>
  <c r="E435" i="3"/>
  <c r="E460" i="3"/>
  <c r="E491" i="3"/>
  <c r="E520" i="3"/>
  <c r="E417" i="3"/>
  <c r="E436" i="3"/>
  <c r="E479" i="3"/>
  <c r="E39" i="3"/>
  <c r="E56" i="3"/>
  <c r="E90" i="3"/>
  <c r="E37" i="3"/>
  <c r="E57" i="3"/>
  <c r="E95" i="3"/>
  <c r="E131"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77" i="3"/>
  <c r="E345" i="3"/>
  <c r="E367" i="3"/>
  <c r="E558" i="3"/>
  <c r="E505" i="3"/>
  <c r="E557" i="3"/>
  <c r="E547" i="3"/>
  <c r="E581" i="3"/>
  <c r="AS6" i="3"/>
  <c r="E531" i="3"/>
  <c r="E403" i="3"/>
  <c r="E444" i="3"/>
  <c r="E476" i="3"/>
  <c r="E489" i="3"/>
  <c r="E546" i="3"/>
  <c r="E404" i="3"/>
  <c r="E447" i="3"/>
  <c r="E28" i="3"/>
  <c r="E71" i="3"/>
  <c r="E88" i="3"/>
  <c r="E27" i="3"/>
  <c r="E70" i="3"/>
  <c r="E92" i="3"/>
  <c r="E12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60" i="3"/>
  <c r="E67" i="3"/>
  <c r="E87" i="3"/>
  <c r="E184" i="3"/>
  <c r="E233" i="3"/>
  <c r="E355" i="3"/>
  <c r="E381" i="3"/>
  <c r="E51" i="3"/>
  <c r="E19" i="3"/>
  <c r="E154" i="3"/>
  <c r="E179" i="3"/>
  <c r="E222" i="3"/>
  <c r="E309" i="3"/>
  <c r="E513" i="3"/>
  <c r="E21"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2" i="3"/>
  <c r="E200" i="3"/>
  <c r="E267" i="3"/>
  <c r="E249" i="3"/>
  <c r="E300" i="3"/>
  <c r="E371" i="3"/>
  <c r="E310" i="3"/>
  <c r="E492" i="3"/>
  <c r="E23" i="3"/>
  <c r="E84" i="3"/>
  <c r="E33" i="3"/>
  <c r="E144" i="3"/>
  <c r="E127" i="3"/>
  <c r="E250" i="3"/>
  <c r="E284" i="3"/>
  <c r="E341" i="3"/>
  <c r="Y6" i="3"/>
  <c r="E68" i="3"/>
  <c r="E63" i="3"/>
  <c r="E81" i="3"/>
  <c r="E118" i="3"/>
  <c r="E264" i="3"/>
  <c r="E283" i="3"/>
  <c r="E323" i="3"/>
  <c r="E373" i="3"/>
  <c r="E82" i="3"/>
  <c r="E53" i="3"/>
  <c r="E319" i="3"/>
  <c r="E501" i="3"/>
  <c r="E153" i="3"/>
  <c r="E426" i="3"/>
  <c r="E328" i="3"/>
  <c r="E583" i="3"/>
  <c r="X6" i="3"/>
  <c r="E336" i="3"/>
  <c r="E246" i="3"/>
  <c r="E293" i="3"/>
  <c r="E314" i="3"/>
  <c r="E511" i="3"/>
  <c r="E16" i="3"/>
  <c r="AK6" i="3"/>
  <c r="E434" i="3"/>
  <c r="E306" i="3"/>
  <c r="E296" i="3"/>
  <c r="E262" i="3"/>
  <c r="E136" i="3"/>
  <c r="E134" i="3"/>
  <c r="E254" i="3"/>
  <c r="E91" i="3"/>
  <c r="E221" i="3"/>
  <c r="E180" i="3"/>
  <c r="E140" i="3"/>
  <c r="E85" i="3"/>
  <c r="E223" i="3"/>
  <c r="E238" i="3"/>
  <c r="E197" i="3"/>
  <c r="E116" i="3"/>
  <c r="E173" i="3"/>
  <c r="E105" i="3"/>
  <c r="E369" i="3"/>
  <c r="E393" i="3"/>
  <c r="E525" i="3"/>
  <c r="E493" i="3"/>
  <c r="E534" i="3"/>
  <c r="E564" i="3"/>
  <c r="T6" i="3"/>
  <c r="E543" i="3"/>
  <c r="E405" i="3"/>
  <c r="E217" i="3"/>
  <c r="E526" i="3"/>
  <c r="E268" i="3"/>
  <c r="E322" i="3"/>
  <c r="AJ6" i="3"/>
  <c r="E539" i="3"/>
  <c r="E567" i="3"/>
  <c r="E461" i="3"/>
  <c r="E227" i="3"/>
  <c r="E165" i="3"/>
  <c r="E353" i="3"/>
  <c r="E495" i="3"/>
  <c r="AN6" i="3"/>
  <c r="E586" i="3"/>
  <c r="E402" i="3"/>
  <c r="E350" i="3"/>
  <c r="E303" i="3"/>
  <c r="E301" i="3"/>
  <c r="E159" i="3"/>
  <c r="E156" i="3"/>
  <c r="E236" i="3"/>
  <c r="E148" i="3"/>
  <c r="E269" i="3"/>
  <c r="E122" i="3"/>
  <c r="E89" i="3"/>
  <c r="E207" i="3"/>
  <c r="E252" i="3"/>
  <c r="E27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75" i="3"/>
  <c r="E530" i="3"/>
  <c r="E343" i="3"/>
  <c r="E305" i="3"/>
  <c r="E508" i="3"/>
  <c r="E347" i="3"/>
  <c r="AA6" i="3"/>
  <c r="E399" i="3"/>
  <c r="E280" i="3"/>
  <c r="E124" i="3"/>
  <c r="E397" i="3"/>
  <c r="E568" i="3"/>
  <c r="I6" i="3"/>
  <c r="E536" i="3"/>
  <c r="E549" i="3"/>
  <c r="E453" i="3"/>
  <c r="E368" i="3"/>
  <c r="E244" i="3"/>
  <c r="E196" i="3"/>
  <c r="E185" i="3"/>
  <c r="E61" i="3"/>
  <c r="E135" i="3"/>
  <c r="E290" i="3"/>
  <c r="E161" i="3"/>
  <c r="E117" i="3"/>
  <c r="E120" i="3"/>
  <c r="E45" i="3"/>
  <c r="E277" i="3"/>
  <c r="E224" i="3"/>
  <c r="E177" i="3"/>
  <c r="E193" i="3"/>
  <c r="E133" i="3"/>
  <c r="E313" i="3"/>
  <c r="E330" i="3"/>
  <c r="E519" i="3"/>
  <c r="K6" i="3"/>
  <c r="E532" i="3"/>
  <c r="Q6" i="3"/>
  <c r="E573" i="3"/>
  <c r="E560" i="3"/>
  <c r="E529" i="3"/>
  <c r="E125" i="3"/>
  <c r="E366" i="3"/>
  <c r="E553" i="3"/>
  <c r="E282" i="3"/>
  <c r="N6" i="3"/>
  <c r="E329" i="3"/>
  <c r="E545" i="3"/>
  <c r="E510" i="3"/>
  <c r="E352" i="3"/>
  <c r="E205" i="3"/>
  <c r="E128" i="3"/>
  <c r="E385" i="3"/>
  <c r="E518" i="3"/>
  <c r="AI6" i="3"/>
  <c r="E578" i="3"/>
  <c r="E423" i="3"/>
  <c r="E382" i="3"/>
  <c r="E263" i="3"/>
  <c r="E245" i="3"/>
  <c r="E191" i="3"/>
  <c r="E99" i="3"/>
  <c r="E188" i="3"/>
  <c r="E228" i="3"/>
  <c r="E181" i="3"/>
  <c r="E157" i="3"/>
  <c r="E149" i="3"/>
  <c r="E77" i="3"/>
  <c r="E212"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M22" i="6"/>
  <c r="I22" i="6" s="1"/>
  <c r="S22" i="6" s="1"/>
  <c r="S9" i="1"/>
  <c r="D118" i="43"/>
  <c r="E118" i="43" s="1"/>
  <c r="F118" i="43" s="1"/>
  <c r="N105" i="43"/>
  <c r="D115" i="43"/>
  <c r="E115" i="43" s="1"/>
  <c r="F115" i="43" s="1"/>
  <c r="G115" i="43" s="1"/>
  <c r="H115" i="43" s="1"/>
  <c r="M109" i="43"/>
  <c r="C109" i="43"/>
  <c r="F104" i="43"/>
  <c r="N109" i="43"/>
  <c r="N106" i="43"/>
  <c r="AB10" i="39"/>
  <c r="B115" i="43"/>
  <c r="C115" i="43" s="1"/>
  <c r="M104" i="43"/>
  <c r="C106" i="43"/>
  <c r="F102" i="43"/>
  <c r="N107" i="43"/>
  <c r="N104" i="43"/>
  <c r="I115" i="43"/>
  <c r="J115" i="43" s="1"/>
  <c r="K115" i="43" s="1"/>
  <c r="L115" i="43" s="1"/>
  <c r="M115" i="43" s="1"/>
  <c r="B117" i="43"/>
  <c r="C117" i="43" s="1"/>
  <c r="I117" i="43"/>
  <c r="J117" i="43" s="1"/>
  <c r="K117" i="43" s="1"/>
  <c r="L117" i="43" s="1"/>
  <c r="M117" i="43" s="1"/>
  <c r="M105" i="43"/>
  <c r="M106" i="43"/>
  <c r="C105" i="43"/>
  <c r="C102" i="43"/>
  <c r="F109" i="43"/>
  <c r="F106" i="43"/>
  <c r="U10" i="40"/>
  <c r="I118" i="43"/>
  <c r="J118" i="43" s="1"/>
  <c r="K118" i="43" s="1"/>
  <c r="L118" i="43" s="1"/>
  <c r="M118" i="43" s="1"/>
  <c r="D117" i="43"/>
  <c r="E117" i="43" s="1"/>
  <c r="F117" i="43" s="1"/>
  <c r="G117" i="43" s="1"/>
  <c r="H117" i="43" s="1"/>
  <c r="B118" i="43"/>
  <c r="C118" i="43" s="1"/>
  <c r="B116" i="43"/>
  <c r="C116" i="43" s="1"/>
  <c r="I116" i="43"/>
  <c r="J116" i="43" s="1"/>
  <c r="K116" i="43" s="1"/>
  <c r="L116" i="43" s="1"/>
  <c r="M116" i="43" s="1"/>
  <c r="G118" i="43"/>
  <c r="H118" i="43" s="1"/>
  <c r="M107" i="43"/>
  <c r="M103" i="43"/>
  <c r="C107" i="43"/>
  <c r="C103" i="43"/>
  <c r="F103" i="43"/>
  <c r="F105" i="43"/>
  <c r="M21" i="6"/>
  <c r="I21" i="6" s="1"/>
  <c r="S21" i="6" s="1"/>
  <c r="S8" i="1"/>
  <c r="AQ6" i="1"/>
  <c r="T6" i="1"/>
  <c r="AR6" i="1"/>
  <c r="M20" i="6"/>
  <c r="I20" i="6" s="1"/>
  <c r="S20" i="6" s="1"/>
  <c r="S7" i="1"/>
  <c r="F27" i="69"/>
  <c r="F28" i="12"/>
  <c r="C29" i="12" s="1"/>
  <c r="D28" i="12" s="1"/>
  <c r="F27" i="11"/>
  <c r="F27" i="68"/>
  <c r="E66" i="39"/>
  <c r="J33" i="21"/>
  <c r="F33" i="21"/>
  <c r="H33" i="21"/>
  <c r="Q61" i="15"/>
  <c r="M14" i="1"/>
  <c r="C34" i="69"/>
  <c r="K16"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83" i="3"/>
  <c r="AY23" i="3"/>
  <c r="AY155" i="3"/>
  <c r="AY59" i="3"/>
  <c r="AY131" i="3"/>
  <c r="AY58" i="3"/>
  <c r="AY268" i="3"/>
  <c r="AY371" i="3"/>
  <c r="AY318" i="3"/>
  <c r="AY428" i="3"/>
  <c r="AY106" i="3"/>
  <c r="AY245" i="3"/>
  <c r="AY395" i="3"/>
  <c r="AY342"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76" i="3"/>
  <c r="AY188" i="3"/>
  <c r="AY297" i="3"/>
  <c r="AY335" i="3"/>
  <c r="AY409" i="3"/>
  <c r="AY228" i="3"/>
  <c r="AY465" i="3"/>
  <c r="AY401" i="3"/>
  <c r="AY544" i="3"/>
  <c r="BE6" i="3"/>
  <c r="AY92"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15" i="3"/>
  <c r="AY276" i="3"/>
  <c r="AY225" i="3"/>
  <c r="AY470" i="3"/>
  <c r="AY180" i="3"/>
  <c r="AY358" i="3"/>
  <c r="AY420" i="3"/>
  <c r="AY549" i="3"/>
  <c r="AY533" i="3"/>
  <c r="AY97" i="3"/>
  <c r="AY61"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M18" i="9"/>
  <c r="B118" i="9" s="1"/>
  <c r="B14" i="74" s="1"/>
  <c r="B1" i="74" s="1"/>
  <c r="D3" i="21"/>
  <c r="D19" i="11"/>
  <c r="C19" i="11" s="1"/>
  <c r="C20" i="11" s="1"/>
  <c r="C28" i="11" s="1"/>
  <c r="C27" i="11" s="1"/>
  <c r="D37" i="11"/>
  <c r="D14" i="12"/>
  <c r="D17" i="12" s="1"/>
  <c r="C17" i="12" s="1"/>
  <c r="D3" i="34"/>
  <c r="C17" i="4"/>
  <c r="B4" i="52" s="1"/>
  <c r="B43" i="72" s="1"/>
  <c r="L18" i="9"/>
  <c r="D3" i="37"/>
  <c r="D3" i="33"/>
  <c r="B2" i="33" s="1"/>
  <c r="B3" i="33" s="1"/>
  <c r="E6" i="6"/>
  <c r="S6" i="43"/>
  <c r="T6" i="43" s="1"/>
  <c r="V6" i="43" s="1"/>
  <c r="S3" i="43"/>
  <c r="T3" i="43" s="1"/>
  <c r="V3" i="43" s="1"/>
  <c r="S4" i="43"/>
  <c r="T4" i="43" s="1"/>
  <c r="V4" i="43" s="1"/>
  <c r="S2" i="43"/>
  <c r="T2" i="43" s="1"/>
  <c r="V2" i="43" s="1"/>
  <c r="C23" i="43"/>
  <c r="C21" i="43" s="1"/>
  <c r="C29" i="43" s="1"/>
  <c r="S5" i="43"/>
  <c r="T5" i="43" s="1"/>
  <c r="V5" i="43" s="1"/>
  <c r="S7" i="43"/>
  <c r="T7" i="43" s="1"/>
  <c r="V7" i="43" s="1"/>
  <c r="F68" i="39"/>
  <c r="E70" i="39"/>
  <c r="F50" i="11"/>
  <c r="F50" i="68"/>
  <c r="F50" i="69"/>
  <c r="G42" i="35"/>
  <c r="H42" i="35" s="1"/>
  <c r="G43" i="35"/>
  <c r="H43" i="35" s="1"/>
  <c r="G40" i="36"/>
  <c r="H40" i="36" s="1"/>
  <c r="G41" i="36"/>
  <c r="H41" i="36" s="1"/>
  <c r="I42" i="35"/>
  <c r="J42" i="35" s="1"/>
  <c r="E38" i="35"/>
  <c r="I43" i="35" s="1"/>
  <c r="J43" i="35" s="1"/>
  <c r="R39" i="35"/>
  <c r="S7" i="34"/>
  <c r="AA7" i="34"/>
  <c r="R49" i="34" s="1"/>
  <c r="U7" i="34"/>
  <c r="AB7" i="34"/>
  <c r="T49" i="34" s="1"/>
  <c r="G49" i="34" s="1"/>
  <c r="I58" i="21"/>
  <c r="E65" i="40"/>
  <c r="F63" i="40"/>
  <c r="E42" i="37"/>
  <c r="R43" i="37"/>
  <c r="I47" i="37"/>
  <c r="J47" i="37" s="1"/>
  <c r="I46" i="37"/>
  <c r="J46" i="37" s="1"/>
  <c r="I40" i="36"/>
  <c r="J40" i="36" s="1"/>
  <c r="G46" i="37"/>
  <c r="H46" i="37" s="1"/>
  <c r="G47" i="37"/>
  <c r="H47" i="37" s="1"/>
  <c r="E36" i="36"/>
  <c r="R37" i="36"/>
  <c r="J7" i="34"/>
  <c r="J18" i="15"/>
  <c r="J26" i="15"/>
  <c r="C10" i="67"/>
  <c r="C5" i="67" s="1"/>
  <c r="C53" i="67"/>
  <c r="C48" i="67" s="1"/>
  <c r="C10" i="15"/>
  <c r="C5" i="15" s="1"/>
  <c r="C53" i="15"/>
  <c r="C48" i="15" s="1"/>
  <c r="J18" i="67"/>
  <c r="J24" i="67"/>
  <c r="J26" i="67"/>
  <c r="J29" i="67" s="1"/>
  <c r="F25" i="12"/>
  <c r="F24" i="15"/>
  <c r="C24" i="15" s="1"/>
  <c r="F22" i="11"/>
  <c r="F22" i="69"/>
  <c r="F24" i="67"/>
  <c r="C24" i="67" s="1"/>
  <c r="F22" i="68"/>
  <c r="C14" i="67"/>
  <c r="C17" i="15"/>
  <c r="F41" i="15"/>
  <c r="C17" i="67"/>
  <c r="E37" i="43" l="1"/>
  <c r="G37" i="43"/>
  <c r="I37" i="43" s="1"/>
  <c r="G39" i="43"/>
  <c r="I39" i="43" s="1"/>
  <c r="E39" i="43"/>
  <c r="E34" i="43"/>
  <c r="G34" i="43"/>
  <c r="I34" i="43" s="1"/>
  <c r="E36" i="43"/>
  <c r="G36" i="43"/>
  <c r="I36" i="43" s="1"/>
  <c r="E38" i="43"/>
  <c r="G38" i="43"/>
  <c r="I38" i="43" s="1"/>
  <c r="E35" i="43"/>
  <c r="G35" i="43"/>
  <c r="I35" i="43" s="1"/>
  <c r="E33" i="43"/>
  <c r="G33" i="43"/>
  <c r="I33" i="43" s="1"/>
  <c r="D113" i="43"/>
  <c r="AC10" i="39"/>
  <c r="C15" i="67"/>
  <c r="C18" i="67"/>
  <c r="AA10" i="39"/>
  <c r="S10" i="40"/>
  <c r="F69" i="15"/>
  <c r="J29" i="15"/>
  <c r="AC6" i="3"/>
  <c r="E8" i="70"/>
  <c r="E2" i="70" s="1"/>
  <c r="H6" i="3"/>
  <c r="AR9" i="1"/>
  <c r="AQ9" i="1"/>
  <c r="T9" i="1"/>
  <c r="S16" i="1"/>
  <c r="AQ7" i="1"/>
  <c r="T7" i="1"/>
  <c r="AR7" i="1"/>
  <c r="AR8" i="1"/>
  <c r="AQ8" i="1"/>
  <c r="T8" i="1"/>
  <c r="C29" i="11"/>
  <c r="D27" i="11" s="1"/>
  <c r="C47" i="11"/>
  <c r="D45" i="11" s="1"/>
  <c r="C47" i="68"/>
  <c r="D45" i="68" s="1"/>
  <c r="C29" i="68"/>
  <c r="D27" i="68" s="1"/>
  <c r="C47" i="69"/>
  <c r="D45" i="69" s="1"/>
  <c r="C29" i="69"/>
  <c r="D27" i="69" s="1"/>
  <c r="AA33" i="21"/>
  <c r="S33" i="21"/>
  <c r="AB33" i="21"/>
  <c r="U33" i="21"/>
  <c r="AC33" i="21"/>
  <c r="W33" i="21"/>
  <c r="I19" i="6"/>
  <c r="H19" i="6" s="1"/>
  <c r="M27" i="6"/>
  <c r="C38" i="39"/>
  <c r="D25" i="6"/>
  <c r="D22" i="6"/>
  <c r="D24" i="6"/>
  <c r="D5" i="6"/>
  <c r="D11" i="6"/>
  <c r="D28" i="6"/>
  <c r="D19" i="6"/>
  <c r="C18" i="4"/>
  <c r="D23" i="6"/>
  <c r="D6" i="6"/>
  <c r="D10" i="6"/>
  <c r="D29" i="6"/>
  <c r="H21" i="6"/>
  <c r="H20" i="6"/>
  <c r="M19" i="9"/>
  <c r="C118" i="9" s="1"/>
  <c r="C14" i="74" s="1"/>
  <c r="B2" i="74" s="1"/>
  <c r="D15" i="6"/>
  <c r="D21" i="6"/>
  <c r="D20" i="6"/>
  <c r="D12" i="6"/>
  <c r="D13" i="6"/>
  <c r="E61" i="40"/>
  <c r="D26" i="6"/>
  <c r="D8" i="6"/>
  <c r="D14" i="6"/>
  <c r="D9" i="6"/>
  <c r="L19" i="9"/>
  <c r="H26" i="6"/>
  <c r="H25" i="6"/>
  <c r="H23" i="6"/>
  <c r="H22" i="6"/>
  <c r="H24" i="6"/>
  <c r="C38" i="69"/>
  <c r="C35" i="69"/>
  <c r="D10" i="11"/>
  <c r="C10" i="11" s="1"/>
  <c r="D10" i="68"/>
  <c r="D20" i="12"/>
  <c r="C20" i="12" s="1"/>
  <c r="C18" i="12" s="1"/>
  <c r="D10" i="69"/>
  <c r="C8" i="74"/>
  <c r="M16" i="1"/>
  <c r="L16" i="1" s="1"/>
  <c r="O14" i="1"/>
  <c r="N16" i="1"/>
  <c r="C30" i="43"/>
  <c r="E30" i="43" s="1"/>
  <c r="C27" i="43" s="1"/>
  <c r="E29" i="43"/>
  <c r="C26" i="43" s="1"/>
  <c r="G68" i="39"/>
  <c r="F70" i="39"/>
  <c r="AC7" i="34"/>
  <c r="V49" i="34" s="1"/>
  <c r="I49" i="34" s="1"/>
  <c r="G54" i="34" s="1"/>
  <c r="H54" i="34" s="1"/>
  <c r="W7" i="34"/>
  <c r="E40" i="36"/>
  <c r="F40" i="36" s="1"/>
  <c r="E41" i="36"/>
  <c r="F41" i="36" s="1"/>
  <c r="I41" i="36"/>
  <c r="J41" i="36" s="1"/>
  <c r="E47" i="37"/>
  <c r="F47" i="37" s="1"/>
  <c r="E46" i="37"/>
  <c r="F46" i="37" s="1"/>
  <c r="C36" i="36"/>
  <c r="C37" i="36"/>
  <c r="B2" i="36" s="1"/>
  <c r="B3" i="36" s="1"/>
  <c r="C42" i="37"/>
  <c r="C43" i="37"/>
  <c r="B2" i="37" s="1"/>
  <c r="B3" i="37" s="1"/>
  <c r="F65" i="40"/>
  <c r="G63" i="40"/>
  <c r="J58" i="21"/>
  <c r="E43" i="35"/>
  <c r="F43" i="35" s="1"/>
  <c r="E42" i="35"/>
  <c r="F42" i="35" s="1"/>
  <c r="G53" i="34"/>
  <c r="H53" i="34" s="1"/>
  <c r="R50" i="34"/>
  <c r="E49" i="34"/>
  <c r="C38" i="35"/>
  <c r="C39" i="35"/>
  <c r="B2" i="35" s="1"/>
  <c r="B3" i="35" s="1"/>
  <c r="C25" i="11"/>
  <c r="C44" i="11"/>
  <c r="D41" i="11" s="1"/>
  <c r="C23" i="11"/>
  <c r="C26" i="11"/>
  <c r="D22" i="11" s="1"/>
  <c r="C24" i="11"/>
  <c r="C26" i="12"/>
  <c r="D25" i="12" s="1"/>
  <c r="C32" i="15"/>
  <c r="C38" i="15"/>
  <c r="C26" i="68"/>
  <c r="D22" i="68" s="1"/>
  <c r="C44" i="68"/>
  <c r="D41" i="68" s="1"/>
  <c r="C26" i="69"/>
  <c r="D22" i="69" s="1"/>
  <c r="C44" i="69"/>
  <c r="D41" i="69" s="1"/>
  <c r="C60" i="15"/>
  <c r="C66" i="15"/>
  <c r="C66" i="67"/>
  <c r="C60" i="67"/>
  <c r="C32" i="67"/>
  <c r="C38" i="67"/>
  <c r="C14" i="15"/>
  <c r="E6" i="76"/>
  <c r="E6" i="3" l="1"/>
  <c r="C19" i="67"/>
  <c r="C20" i="67" s="1"/>
  <c r="C26" i="67" s="1"/>
  <c r="C15" i="15"/>
  <c r="C18" i="15"/>
  <c r="T16" i="1"/>
  <c r="H27" i="6"/>
  <c r="D30" i="6"/>
  <c r="D16" i="6"/>
  <c r="P14" i="1"/>
  <c r="P16" i="1" s="1"/>
  <c r="C11" i="12" s="1"/>
  <c r="O16" i="1"/>
  <c r="D8" i="74"/>
  <c r="R21" i="6"/>
  <c r="R8" i="1" s="1"/>
  <c r="A7" i="51"/>
  <c r="B7" i="72" s="1"/>
  <c r="A10" i="51"/>
  <c r="B9" i="72" s="1"/>
  <c r="C4" i="52"/>
  <c r="B45" i="72" s="1"/>
  <c r="R22" i="6"/>
  <c r="R9" i="1" s="1"/>
  <c r="F38" i="39"/>
  <c r="J38" i="39"/>
  <c r="H38" i="39"/>
  <c r="S19" i="6"/>
  <c r="S27" i="6" s="1"/>
  <c r="I27" i="6"/>
  <c r="F34" i="11"/>
  <c r="F11" i="12"/>
  <c r="F34" i="68"/>
  <c r="C10" i="69"/>
  <c r="C8" i="69" s="1"/>
  <c r="C5" i="69" s="1"/>
  <c r="D19" i="69"/>
  <c r="C10" i="68"/>
  <c r="D19" i="68"/>
  <c r="R26" i="6"/>
  <c r="R20" i="6"/>
  <c r="R7" i="1" s="1"/>
  <c r="R23" i="6"/>
  <c r="R19" i="6"/>
  <c r="D27" i="6"/>
  <c r="R24" i="6"/>
  <c r="R25" i="6"/>
  <c r="E2" i="76"/>
  <c r="B2" i="43"/>
  <c r="C22" i="11"/>
  <c r="C31" i="11" s="1"/>
  <c r="H68" i="39"/>
  <c r="G70" i="39"/>
  <c r="C50" i="34"/>
  <c r="B2" i="34" s="1"/>
  <c r="B3" i="34" s="1"/>
  <c r="C49" i="34"/>
  <c r="G65" i="40"/>
  <c r="H63" i="40"/>
  <c r="E54" i="34"/>
  <c r="F54" i="34" s="1"/>
  <c r="E53" i="34"/>
  <c r="F53" i="34" s="1"/>
  <c r="K58" i="21"/>
  <c r="I53" i="34"/>
  <c r="J53" i="34" s="1"/>
  <c r="I54" i="34"/>
  <c r="J54" i="34" s="1"/>
  <c r="M21" i="15"/>
  <c r="B6" i="76"/>
  <c r="F35" i="15"/>
  <c r="F35" i="67"/>
  <c r="M21" i="67"/>
  <c r="D31" i="6" l="1"/>
  <c r="I6" i="6" s="1"/>
  <c r="C23" i="67"/>
  <c r="C29" i="67" s="1"/>
  <c r="C34" i="67"/>
  <c r="F63" i="67"/>
  <c r="C62" i="67" s="1"/>
  <c r="J20" i="67"/>
  <c r="C19" i="15"/>
  <c r="C20" i="15" s="1"/>
  <c r="C23" i="15" s="1"/>
  <c r="C34" i="15"/>
  <c r="F63" i="15"/>
  <c r="C62" i="15" s="1"/>
  <c r="J20" i="15"/>
  <c r="R27" i="6"/>
  <c r="R6" i="1"/>
  <c r="R16" i="1" s="1"/>
  <c r="C19" i="68"/>
  <c r="D37" i="68"/>
  <c r="C37" i="68" s="1"/>
  <c r="D37" i="69"/>
  <c r="C37" i="69" s="1"/>
  <c r="C33" i="69" s="1"/>
  <c r="C19" i="69"/>
  <c r="C24" i="69" s="1"/>
  <c r="C34" i="68"/>
  <c r="C36" i="68"/>
  <c r="C36" i="11"/>
  <c r="C37" i="11"/>
  <c r="C34" i="11"/>
  <c r="W38" i="39"/>
  <c r="AC38" i="39"/>
  <c r="C15" i="12"/>
  <c r="C12" i="12"/>
  <c r="C23" i="69"/>
  <c r="C14" i="12"/>
  <c r="AB38" i="39"/>
  <c r="U38" i="39"/>
  <c r="S38" i="39"/>
  <c r="AA38" i="39"/>
  <c r="B2" i="76"/>
  <c r="B3" i="76" s="1"/>
  <c r="B3" i="43"/>
  <c r="I68" i="39"/>
  <c r="H70" i="39"/>
  <c r="H65" i="40"/>
  <c r="I63" i="40"/>
  <c r="L58" i="21"/>
  <c r="J59" i="15"/>
  <c r="J60" i="15" s="1"/>
  <c r="Q48" i="15" s="1"/>
  <c r="C33" i="15"/>
  <c r="C11" i="39" l="1"/>
  <c r="C11" i="21"/>
  <c r="I5" i="6"/>
  <c r="C13" i="67"/>
  <c r="Q49" i="67"/>
  <c r="C57" i="67"/>
  <c r="C61" i="67" s="1"/>
  <c r="C59" i="67" s="1"/>
  <c r="J59" i="67"/>
  <c r="J60" i="67" s="1"/>
  <c r="Q48" i="67" s="1"/>
  <c r="J14" i="67"/>
  <c r="J13" i="67" s="1"/>
  <c r="J23" i="67" s="1"/>
  <c r="C36" i="67"/>
  <c r="J19" i="67"/>
  <c r="J17" i="67" s="1"/>
  <c r="C33" i="67"/>
  <c r="C31" i="67" s="1"/>
  <c r="C26" i="15"/>
  <c r="C29" i="15" s="1"/>
  <c r="C31" i="15"/>
  <c r="C20" i="69"/>
  <c r="C25" i="69" s="1"/>
  <c r="C22" i="69" s="1"/>
  <c r="C16" i="12"/>
  <c r="C21" i="12" s="1"/>
  <c r="C22" i="12" s="1"/>
  <c r="C38" i="11"/>
  <c r="C35" i="11"/>
  <c r="C35" i="68"/>
  <c r="C38" i="68"/>
  <c r="C39" i="69"/>
  <c r="C42" i="69"/>
  <c r="C24" i="68"/>
  <c r="J68" i="39"/>
  <c r="I70" i="39"/>
  <c r="M58" i="21"/>
  <c r="I65" i="40"/>
  <c r="J63" i="40"/>
  <c r="L46" i="15"/>
  <c r="L46" i="67" l="1"/>
  <c r="C64" i="67"/>
  <c r="J22" i="67"/>
  <c r="J16" i="67" s="1"/>
  <c r="J25" i="67" s="1"/>
  <c r="C56" i="67"/>
  <c r="C65" i="67" s="1"/>
  <c r="C37" i="67"/>
  <c r="C30" i="67" s="1"/>
  <c r="C39" i="67" s="1"/>
  <c r="Q69" i="67" s="1"/>
  <c r="C75" i="67"/>
  <c r="Q70" i="67"/>
  <c r="J19" i="15"/>
  <c r="J17" i="15" s="1"/>
  <c r="C57" i="15"/>
  <c r="Q49" i="15"/>
  <c r="C13" i="15"/>
  <c r="C36" i="15"/>
  <c r="J14" i="15"/>
  <c r="C33" i="68"/>
  <c r="C33" i="11"/>
  <c r="C39" i="11" s="1"/>
  <c r="C43" i="11" s="1"/>
  <c r="H11" i="21"/>
  <c r="F11" i="21"/>
  <c r="J11" i="21"/>
  <c r="J11" i="39"/>
  <c r="H11" i="39"/>
  <c r="F11" i="39"/>
  <c r="C28" i="69"/>
  <c r="C27" i="69" s="1"/>
  <c r="C31" i="69" s="1"/>
  <c r="C46" i="69"/>
  <c r="C45" i="69" s="1"/>
  <c r="C43" i="69"/>
  <c r="C41" i="69" s="1"/>
  <c r="K68" i="39"/>
  <c r="J70" i="39"/>
  <c r="K63" i="40"/>
  <c r="J65" i="40"/>
  <c r="N58" i="21"/>
  <c r="L57" i="15"/>
  <c r="L60" i="15" s="1"/>
  <c r="L51" i="67"/>
  <c r="C42" i="68" l="1"/>
  <c r="C91" i="9"/>
  <c r="C58" i="67"/>
  <c r="C67" i="67" s="1"/>
  <c r="C68" i="67" s="1"/>
  <c r="C71" i="67" s="1"/>
  <c r="Q68" i="67"/>
  <c r="C80" i="67"/>
  <c r="C79" i="67" s="1"/>
  <c r="L57" i="67"/>
  <c r="L60" i="67" s="1"/>
  <c r="Q57" i="67" s="1"/>
  <c r="Q67" i="67"/>
  <c r="C40" i="67"/>
  <c r="J22" i="15"/>
  <c r="J13" i="15"/>
  <c r="J23" i="15" s="1"/>
  <c r="C37" i="15"/>
  <c r="C30" i="15" s="1"/>
  <c r="C39" i="15" s="1"/>
  <c r="Q70" i="15"/>
  <c r="C75" i="15"/>
  <c r="C56" i="15"/>
  <c r="C65" i="15" s="1"/>
  <c r="C64" i="15"/>
  <c r="C61" i="15"/>
  <c r="C59" i="15" s="1"/>
  <c r="C42" i="11"/>
  <c r="C41" i="11" s="1"/>
  <c r="C39" i="68"/>
  <c r="C46" i="68" s="1"/>
  <c r="C45" i="68" s="1"/>
  <c r="U11" i="39"/>
  <c r="AB11" i="39"/>
  <c r="AC11" i="21"/>
  <c r="W11" i="21"/>
  <c r="C46" i="11"/>
  <c r="C45" i="11" s="1"/>
  <c r="AA11" i="39"/>
  <c r="S11" i="39"/>
  <c r="W11" i="39"/>
  <c r="AC11" i="39"/>
  <c r="AA11" i="21"/>
  <c r="S11" i="21"/>
  <c r="U11" i="21"/>
  <c r="AB11" i="21"/>
  <c r="C49" i="69"/>
  <c r="C51" i="69" s="1"/>
  <c r="L68" i="39"/>
  <c r="K70" i="39"/>
  <c r="O58" i="21"/>
  <c r="J7" i="21" s="1"/>
  <c r="H7" i="21"/>
  <c r="K65" i="40"/>
  <c r="L63" i="40"/>
  <c r="Q57" i="15"/>
  <c r="Q66" i="15"/>
  <c r="L51" i="15"/>
  <c r="C92" i="9" l="1"/>
  <c r="C94" i="9"/>
  <c r="Q66" i="67"/>
  <c r="C80" i="15"/>
  <c r="C79" i="15" s="1"/>
  <c r="C45" i="67"/>
  <c r="C46" i="67" s="1"/>
  <c r="C43" i="67"/>
  <c r="Q47" i="67"/>
  <c r="Q53" i="67" s="1"/>
  <c r="D2" i="67"/>
  <c r="Q65" i="67"/>
  <c r="Q75" i="67" s="1"/>
  <c r="Q56" i="67"/>
  <c r="Q62" i="67" s="1"/>
  <c r="C83" i="67"/>
  <c r="C82" i="67" s="1"/>
  <c r="Q67" i="15"/>
  <c r="C58" i="15"/>
  <c r="C67" i="15" s="1"/>
  <c r="C68" i="15" s="1"/>
  <c r="J16" i="15"/>
  <c r="J25" i="15" s="1"/>
  <c r="Q69" i="15"/>
  <c r="Q68" i="15" s="1"/>
  <c r="C40" i="15"/>
  <c r="C43" i="68"/>
  <c r="C41" i="68" s="1"/>
  <c r="C49" i="68" s="1"/>
  <c r="C51" i="68" s="1"/>
  <c r="C49" i="11"/>
  <c r="C51" i="11" s="1"/>
  <c r="C52" i="11" s="1"/>
  <c r="B2" i="11" s="1"/>
  <c r="B3" i="11" s="1"/>
  <c r="C52" i="69"/>
  <c r="B2" i="69" s="1"/>
  <c r="B3" i="69" s="1"/>
  <c r="M68" i="39"/>
  <c r="L70" i="39"/>
  <c r="M63" i="40"/>
  <c r="L65" i="40"/>
  <c r="U7" i="21"/>
  <c r="AB7" i="21"/>
  <c r="T48" i="21" s="1"/>
  <c r="G48" i="21" s="1"/>
  <c r="F7" i="21"/>
  <c r="AC7" i="21"/>
  <c r="V48" i="21" s="1"/>
  <c r="I48" i="21" s="1"/>
  <c r="W7" i="21"/>
  <c r="B3" i="67" l="1"/>
  <c r="B2" i="67"/>
  <c r="Q65" i="15"/>
  <c r="Q75" i="15" s="1"/>
  <c r="C43" i="15"/>
  <c r="Q47" i="15"/>
  <c r="Q53" i="15" s="1"/>
  <c r="Q56" i="15"/>
  <c r="Q62" i="15" s="1"/>
  <c r="B2" i="15"/>
  <c r="C83" i="15"/>
  <c r="C82" i="15" s="1"/>
  <c r="C71" i="15"/>
  <c r="C46" i="15"/>
  <c r="C56" i="11"/>
  <c r="C57" i="11" s="1"/>
  <c r="C57" i="69"/>
  <c r="C56" i="69" s="1"/>
  <c r="N68" i="39"/>
  <c r="M70" i="39"/>
  <c r="I52" i="21"/>
  <c r="J52" i="21" s="1"/>
  <c r="G52" i="21"/>
  <c r="H52" i="21" s="1"/>
  <c r="G53" i="21"/>
  <c r="H53" i="21" s="1"/>
  <c r="AA7" i="21"/>
  <c r="R48" i="21" s="1"/>
  <c r="S7" i="21"/>
  <c r="N63" i="40"/>
  <c r="M65" i="40"/>
  <c r="AO8" i="1"/>
  <c r="B8" i="70" l="1"/>
  <c r="B2" i="70" s="1"/>
  <c r="B3" i="70" s="1"/>
  <c r="E8" i="12"/>
  <c r="B3" i="15"/>
  <c r="E6" i="12" s="1"/>
  <c r="O68" i="39"/>
  <c r="O70" i="39" s="1"/>
  <c r="N70" i="39"/>
  <c r="O63" i="40"/>
  <c r="O65" i="40" s="1"/>
  <c r="N65" i="40"/>
  <c r="E48" i="21"/>
  <c r="R49" i="21"/>
  <c r="H7" i="39" l="1"/>
  <c r="J7" i="39"/>
  <c r="F7" i="39"/>
  <c r="E52" i="21"/>
  <c r="F52" i="21" s="1"/>
  <c r="E53" i="21"/>
  <c r="F53" i="21" s="1"/>
  <c r="I53" i="21"/>
  <c r="J53" i="21" s="1"/>
  <c r="C48" i="21"/>
  <c r="C49" i="21"/>
  <c r="B2" i="21" s="1"/>
  <c r="F7" i="40"/>
  <c r="J7" i="40"/>
  <c r="H7" i="40"/>
  <c r="B3" i="21" l="1"/>
  <c r="D6" i="12" s="1"/>
  <c r="D8" i="12"/>
  <c r="C4" i="12" s="1"/>
  <c r="AC7" i="39"/>
  <c r="V47" i="39" s="1"/>
  <c r="I47" i="39" s="1"/>
  <c r="W7" i="39"/>
  <c r="S7" i="39"/>
  <c r="AA7" i="39"/>
  <c r="R47" i="39" s="1"/>
  <c r="AB7" i="39"/>
  <c r="T47" i="39" s="1"/>
  <c r="G47" i="39" s="1"/>
  <c r="U7" i="39"/>
  <c r="AB7" i="40"/>
  <c r="T42" i="40" s="1"/>
  <c r="G42" i="40" s="1"/>
  <c r="U7" i="40"/>
  <c r="AA7" i="40"/>
  <c r="R42" i="40" s="1"/>
  <c r="S7" i="40"/>
  <c r="W7" i="40"/>
  <c r="AC7" i="40"/>
  <c r="V42" i="40" s="1"/>
  <c r="I42" i="40" s="1"/>
  <c r="C31" i="12" l="1"/>
  <c r="C23" i="12"/>
  <c r="G52" i="39"/>
  <c r="H52" i="39" s="1"/>
  <c r="G51" i="39"/>
  <c r="H51" i="39" s="1"/>
  <c r="I51" i="39"/>
  <c r="J51" i="39" s="1"/>
  <c r="E47" i="39"/>
  <c r="R48" i="39"/>
  <c r="R43" i="40"/>
  <c r="E42" i="40"/>
  <c r="I47" i="40" s="1"/>
  <c r="J47" i="40" s="1"/>
  <c r="I46" i="40"/>
  <c r="J46" i="40" s="1"/>
  <c r="G46" i="40"/>
  <c r="H46" i="40" s="1"/>
  <c r="G47" i="40"/>
  <c r="H47" i="40" s="1"/>
  <c r="C30" i="12" l="1"/>
  <c r="C28" i="12" s="1"/>
  <c r="C27" i="12"/>
  <c r="C25" i="12" s="1"/>
  <c r="E51" i="39"/>
  <c r="F51" i="39" s="1"/>
  <c r="E52" i="39"/>
  <c r="F52" i="39" s="1"/>
  <c r="C48" i="39"/>
  <c r="C40" i="9" s="1"/>
  <c r="C47" i="39"/>
  <c r="I52" i="39"/>
  <c r="J52" i="39" s="1"/>
  <c r="C42" i="40"/>
  <c r="C43" i="40"/>
  <c r="E46" i="40"/>
  <c r="F46" i="40" s="1"/>
  <c r="E47" i="40"/>
  <c r="F47" i="40" s="1"/>
  <c r="E40" i="9" l="1"/>
  <c r="C38" i="9" s="1"/>
  <c r="H106" i="9" s="1"/>
  <c r="H103" i="9" s="1"/>
  <c r="C32" i="12"/>
  <c r="B2" i="12" s="1"/>
  <c r="B60" i="39"/>
  <c r="F60" i="39" s="1"/>
  <c r="B58" i="39"/>
  <c r="F58" i="39" s="1"/>
  <c r="B64" i="39"/>
  <c r="F64" i="39" s="1"/>
  <c r="B57" i="39"/>
  <c r="F57" i="39" s="1"/>
  <c r="B62" i="39"/>
  <c r="F62" i="39" s="1"/>
  <c r="B61" i="39"/>
  <c r="F61" i="39" s="1"/>
  <c r="B56" i="39"/>
  <c r="F56" i="39" s="1"/>
  <c r="B59" i="39"/>
  <c r="F59" i="39" s="1"/>
  <c r="B65" i="39"/>
  <c r="F65" i="39" s="1"/>
  <c r="B63" i="39"/>
  <c r="F63" i="39"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19" i="9"/>
  <c r="D12" i="53" l="1"/>
  <c r="B28" i="72" s="1"/>
  <c r="D8" i="53"/>
  <c r="D120" i="9"/>
  <c r="D102" i="9"/>
  <c r="D21" i="9"/>
  <c r="B3" i="12"/>
  <c r="F66" i="39"/>
  <c r="B2" i="39" s="1"/>
  <c r="B3" i="39" s="1"/>
  <c r="D20" i="9"/>
  <c r="D9" i="53" l="1"/>
  <c r="B25" i="72" s="1"/>
  <c r="B24" i="72"/>
  <c r="D121" i="9"/>
  <c r="D7" i="52" s="1"/>
  <c r="K120" i="9"/>
  <c r="A18" i="62" s="1"/>
  <c r="B64" i="72" s="1"/>
  <c r="D6" i="52"/>
  <c r="D103" i="9"/>
  <c r="C6" i="68"/>
  <c r="C7" i="68" s="1"/>
  <c r="C5" i="68" s="1"/>
  <c r="C23" i="68" s="1"/>
  <c r="C20" i="68" l="1"/>
  <c r="C25" i="68" s="1"/>
  <c r="C22" i="68" s="1"/>
  <c r="C28" i="68" l="1"/>
  <c r="C27" i="68" s="1"/>
  <c r="C31" i="68" s="1"/>
  <c r="C52" i="68" s="1"/>
  <c r="B2" i="68" s="1"/>
  <c r="C19" i="9"/>
  <c r="C57" i="68" l="1"/>
  <c r="C56" i="68" s="1"/>
  <c r="D22" i="9"/>
  <c r="C21" i="9"/>
  <c r="G19" i="9"/>
  <c r="J19" i="9" s="1"/>
  <c r="C102" i="9"/>
  <c r="B3" i="68"/>
  <c r="C20" i="9"/>
  <c r="D34" i="9"/>
  <c r="D35" i="9"/>
  <c r="G20" i="9" l="1"/>
  <c r="C103" i="9"/>
  <c r="G21" i="9"/>
  <c r="C32" i="9"/>
  <c r="H118" i="9" l="1"/>
  <c r="C35" i="9"/>
  <c r="F118" i="9" s="1"/>
  <c r="C34" i="9" l="1"/>
  <c r="D118" i="9" s="1"/>
  <c r="D119" i="9" s="1"/>
  <c r="D5" i="52" s="1"/>
  <c r="B49" i="72" s="1"/>
  <c r="F4" i="52"/>
  <c r="B51" i="72" s="1"/>
  <c r="G118" i="9"/>
  <c r="G4" i="52" s="1"/>
  <c r="B52" i="72" s="1"/>
  <c r="F119" i="9"/>
  <c r="F5" i="52" s="1"/>
  <c r="B53" i="72" s="1"/>
  <c r="H4" i="52"/>
  <c r="H101" i="9"/>
  <c r="H109" i="9" s="1"/>
  <c r="C104" i="9"/>
  <c r="I118" i="9"/>
  <c r="D14" i="74"/>
  <c r="H119" i="9"/>
  <c r="H5" i="52" s="1"/>
  <c r="D124" i="9" l="1"/>
  <c r="H110" i="9"/>
  <c r="D18" i="53" s="1"/>
  <c r="B35" i="72" s="1"/>
  <c r="D16" i="53"/>
  <c r="D4" i="52"/>
  <c r="B47" i="72" s="1"/>
  <c r="H102" i="9"/>
  <c r="D7" i="53" s="1"/>
  <c r="B21" i="72" s="1"/>
  <c r="I4" i="52"/>
  <c r="C105" i="9"/>
  <c r="E118" i="9"/>
  <c r="E4" i="52" s="1"/>
  <c r="B48" i="72" s="1"/>
  <c r="E14" i="74"/>
  <c r="F14" i="74"/>
  <c r="B5" i="74"/>
  <c r="M48" i="9"/>
  <c r="D5" i="53"/>
  <c r="D45" i="9"/>
  <c r="H107" i="9"/>
  <c r="B34" i="72" l="1"/>
  <c r="D17" i="53"/>
  <c r="B36" i="72" s="1"/>
  <c r="D10" i="52"/>
  <c r="D125" i="9"/>
  <c r="D11" i="52" s="1"/>
  <c r="H14" i="74"/>
  <c r="B7" i="74" s="1"/>
  <c r="D55" i="9"/>
  <c r="M53" i="9" s="1"/>
  <c r="D52" i="9"/>
  <c r="C78" i="9"/>
  <c r="C73" i="9" s="1"/>
  <c r="C72" i="9"/>
  <c r="D53" i="9"/>
  <c r="D48" i="9" s="1"/>
  <c r="M52" i="9" s="1"/>
  <c r="C85" i="9"/>
  <c r="C93" i="9"/>
  <c r="C86" i="9" s="1"/>
  <c r="C64" i="9"/>
  <c r="C63" i="9" s="1"/>
  <c r="C67" i="9" s="1"/>
  <c r="C68" i="9" s="1"/>
  <c r="D54" i="9" s="1"/>
  <c r="M49" i="9"/>
  <c r="D122" i="9"/>
  <c r="D13" i="53"/>
  <c r="H108" i="9"/>
  <c r="D15" i="53" s="1"/>
  <c r="B31" i="72" s="1"/>
  <c r="D6" i="53"/>
  <c r="B22" i="72" s="1"/>
  <c r="B20" i="72"/>
  <c r="D5" i="74"/>
  <c r="C5" i="74"/>
  <c r="C7" i="74" l="1"/>
  <c r="D7" i="74"/>
  <c r="D14" i="53"/>
  <c r="B32" i="72" s="1"/>
  <c r="B30" i="72"/>
  <c r="D8" i="52"/>
  <c r="G14" i="74"/>
  <c r="B6" i="74" s="1"/>
  <c r="D123" i="9"/>
  <c r="D9" i="52" s="1"/>
  <c r="C95" i="9"/>
  <c r="C79" i="9"/>
  <c r="L65" i="9"/>
  <c r="M65" i="9" s="1"/>
  <c r="L66" i="9"/>
  <c r="M66" i="9" s="1"/>
  <c r="L64" i="9"/>
  <c r="M64" i="9" s="1"/>
  <c r="L68" i="9"/>
  <c r="M68" i="9" s="1"/>
  <c r="L63" i="9"/>
  <c r="M63" i="9" s="1"/>
  <c r="L67" i="9"/>
  <c r="M67" i="9" s="1"/>
  <c r="M69" i="9" l="1"/>
  <c r="N69" i="9" s="1"/>
  <c r="C80" i="9"/>
  <c r="E80" i="9" s="1"/>
  <c r="E81" i="9" s="1"/>
  <c r="C96" i="9"/>
  <c r="E96" i="9" s="1"/>
  <c r="E97" i="9" s="1"/>
  <c r="C6" i="74"/>
  <c r="D6" i="74"/>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<sst xmlns="http://schemas.openxmlformats.org/spreadsheetml/2006/main" count="8396" uniqueCount="3578">
  <si>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</si>
  <si>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</si>
  <si>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</si>
  <si>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</si>
  <si>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</si>
  <si>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</si>
  <si>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</si>
  <si>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</si>
  <si>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</si>
  <si>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</si>
  <si>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</si>
  <si>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</si>
  <si>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</si>
  <si>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</si>
  <si>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</si>
  <si>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</si>
  <si>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</si>
  <si>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</si>
  <si>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</si>
  <si>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</si>
  <si>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</si>
  <si>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</si>
  <si>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</si>
  <si>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</si>
  <si>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</si>
  <si>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</si>
  <si>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</si>
  <si>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</si>
  <si>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</si>
  <si>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</si>
  <si>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</si>
  <si>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</si>
  <si>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</si>
  <si>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</si>
  <si>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</si>
  <si>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</si>
  <si>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</si>
  <si>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</si>
  <si>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</si>
  <si>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</si>
  <si>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</si>
  <si>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</si>
  <si>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</si>
  <si>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</si>
  <si>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</si>
  <si>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</si>
  <si>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</si>
  <si>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</si>
  <si>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</si>
  <si>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</si>
  <si>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</si>
  <si>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</si>
  <si>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</si>
  <si>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</si>
  <si>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</si>
  <si>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</si>
  <si>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</si>
  <si>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</si>
  <si>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</si>
  <si>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</si>
  <si>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</si>
  <si>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</si>
  <si>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</si>
  <si>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</si>
  <si>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</si>
  <si>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</si>
  <si>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</si>
  <si>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</si>
  <si>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</si>
  <si>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</si>
  <si>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</si>
  <si>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</si>
  <si>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</si>
  <si>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</si>
  <si>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</si>
  <si>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</si>
  <si>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</si>
  <si>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</si>
  <si>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</si>
  <si>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</si>
  <si>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</si>
  <si>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</si>
  <si>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</si>
  <si>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</si>
  <si>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</si>
  <si>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</si>
  <si>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</si>
  <si>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</si>
  <si>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</si>
  <si>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</si>
  <si>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</si>
  <si>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</si>
  <si>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</si>
  <si>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</si>
  <si>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</si>
  <si>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</si>
  <si>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</si>
  <si>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</si>
  <si>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</si>
  <si>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</si>
  <si>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</si>
  <si>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</si>
  <si>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</si>
  <si>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</si>
  <si>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</si>
  <si>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</si>
  <si>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</si>
  <si>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</si>
  <si>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</si>
  <si>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</si>
  <si>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</si>
  <si>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</si>
  <si>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</si>
  <si>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</si>
  <si>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</si>
  <si>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</si>
  <si>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</si>
  <si>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</si>
  <si>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</si>
  <si>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</si>
  <si>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</si>
  <si>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</si>
  <si>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</si>
  <si>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</si>
  <si>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</si>
  <si>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</si>
  <si>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</si>
  <si>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</si>
  <si>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</si>
  <si>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</si>
  <si>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</si>
  <si>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</si>
  <si>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</si>
  <si>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</si>
  <si>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</si>
  <si>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</si>
  <si>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</si>
  <si>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</si>
  <si>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</si>
  <si>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</si>
  <si>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</si>
  <si>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</si>
  <si>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</si>
  <si>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</si>
  <si>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</si>
  <si>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</si>
  <si>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</si>
  <si>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</si>
  <si>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</si>
  <si>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</si>
  <si>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</si>
  <si>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</si>
  <si>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</si>
  <si>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</si>
  <si>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</si>
  <si>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</si>
  <si>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</si>
  <si>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</si>
  <si>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</si>
  <si>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</si>
  <si>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</si>
  <si>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</si>
  <si>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</si>
  <si>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</si>
  <si>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</si>
  <si>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</si>
  <si>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</si>
  <si>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</si>
  <si>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</si>
  <si>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</si>
  <si>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</si>
  <si>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</si>
  <si>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</si>
  <si>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</si>
  <si>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</si>
  <si>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</si>
  <si>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</si>
  <si>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</si>
  <si>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</si>
  <si>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</si>
  <si>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</si>
  <si>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</si>
  <si>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</si>
  <si>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</si>
  <si>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</si>
  <si>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</si>
  <si>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</si>
  <si>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</si>
  <si>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</si>
  <si>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</si>
  <si>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</si>
  <si>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</si>
  <si>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</si>
  <si>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</si>
  <si>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</si>
  <si>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</si>
  <si>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</si>
  <si>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</si>
  <si>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</si>
  <si>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</si>
  <si>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</si>
  <si>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</si>
  <si>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</si>
  <si>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</si>
  <si>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</si>
  <si>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</si>
  <si>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</si>
  <si>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</si>
  <si>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</si>
  <si>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</si>
  <si>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</si>
  <si>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</si>
  <si>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</si>
  <si>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</si>
  <si>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</si>
  <si>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</si>
  <si>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</si>
  <si>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</si>
  <si>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</si>
  <si>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</si>
  <si>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</si>
  <si>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</si>
  <si>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</si>
  <si>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</si>
  <si>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</si>
  <si>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</si>
  <si>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</si>
  <si>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</si>
  <si>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</si>
  <si>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</si>
  <si>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</si>
  <si>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</si>
  <si>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</si>
  <si>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</si>
  <si>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</si>
  <si>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</si>
  <si>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</si>
  <si>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</si>
  <si>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</si>
  <si>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</si>
  <si>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</si>
  <si>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</si>
  <si>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</si>
  <si>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</si>
  <si>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</si>
  <si>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</si>
  <si>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</si>
  <si>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</si>
  <si>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</si>
  <si>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</si>
  <si>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</si>
  <si>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</si>
  <si>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</si>
  <si>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</si>
  <si>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</si>
  <si>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</si>
  <si>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</si>
  <si>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</si>
  <si>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</si>
  <si>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</si>
  <si>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</si>
  <si>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</si>
  <si>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</si>
  <si>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</si>
  <si>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</si>
  <si>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</si>
  <si>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</si>
  <si>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</si>
  <si>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</si>
  <si>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</si>
  <si>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</si>
  <si>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</si>
  <si>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</si>
  <si>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</si>
  <si>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</si>
  <si>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</si>
  <si>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</si>
  <si>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</si>
  <si>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</si>
  <si>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</si>
  <si>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</si>
  <si>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</si>
  <si>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</si>
  <si>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</si>
  <si>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</si>
  <si>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</si>
  <si>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</si>
  <si>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</si>
  <si>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</si>
  <si>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</si>
  <si>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</si>
  <si>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</si>
  <si>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</si>
  <si>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</si>
  <si>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</si>
  <si>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</si>
  <si>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</si>
  <si>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</si>
  <si>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</si>
  <si>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</si>
  <si>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</si>
  <si>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</si>
  <si>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</si>
  <si>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</si>
  <si>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</si>
  <si>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</si>
  <si>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</si>
  <si>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</si>
  <si>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</si>
  <si>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</si>
  <si>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</si>
  <si>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</si>
  <si>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</si>
  <si>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</si>
  <si>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</si>
  <si>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</si>
  <si>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</si>
  <si>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</si>
  <si>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</si>
  <si>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</si>
  <si>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</si>
  <si>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</si>
  <si>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</si>
  <si>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</si>
  <si>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</si>
  <si>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</si>
  <si>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</si>
  <si>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</si>
  <si>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</si>
  <si>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</si>
  <si>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</si>
  <si>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</si>
  <si>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</si>
  <si>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</si>
  <si>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</si>
  <si>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</si>
  <si>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</si>
  <si>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</si>
  <si>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</si>
  <si>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</si>
  <si>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</si>
  <si>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</si>
  <si>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</si>
  <si>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</si>
  <si>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</si>
  <si>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</si>
  <si>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</si>
  <si>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</si>
  <si>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</si>
  <si>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</si>
  <si>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</si>
  <si>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</si>
  <si>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</si>
  <si>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</si>
  <si>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</si>
  <si>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</si>
  <si>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</si>
  <si>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</si>
  <si>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</si>
  <si>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</si>
  <si>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</si>
  <si>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</si>
  <si>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</si>
  <si>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</si>
  <si>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</si>
  <si>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</si>
  <si>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</si>
  <si>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</si>
  <si>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</si>
  <si>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</si>
  <si>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</si>
  <si>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</si>
  <si>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</si>
  <si>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</si>
  <si>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</si>
  <si>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</si>
  <si>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</si>
  <si>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</si>
  <si>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</si>
  <si>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</si>
  <si>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</si>
  <si>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</si>
  <si>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</si>
  <si>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</si>
  <si>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</si>
  <si>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</si>
  <si>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</si>
  <si>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</si>
  <si>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</si>
  <si>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</si>
  <si>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</si>
  <si>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</si>
  <si>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</si>
  <si>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</si>
  <si>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</si>
  <si>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</si>
  <si>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</si>
  <si>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</si>
  <si>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</si>
  <si>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</si>
  <si>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</si>
  <si>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</si>
  <si>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</si>
  <si>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</si>
  <si>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</si>
  <si>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</si>
  <si>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</si>
  <si>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</si>
  <si>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</si>
  <si>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</si>
  <si>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</si>
  <si>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</si>
  <si>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</si>
  <si>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</si>
  <si>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</si>
  <si>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</si>
  <si>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</si>
  <si>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</si>
  <si>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</si>
  <si>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</si>
  <si>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</si>
  <si>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</si>
  <si>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</si>
  <si>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</si>
  <si>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</si>
  <si>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</si>
  <si>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</si>
  <si>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</si>
  <si>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</si>
  <si>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</si>
  <si>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</si>
  <si>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</si>
  <si>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</si>
  <si>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</si>
  <si>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</si>
  <si>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</si>
  <si>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</si>
  <si>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</si>
  <si>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</si>
  <si>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</si>
  <si>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</si>
  <si>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</si>
  <si>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</si>
  <si>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</si>
  <si>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</si>
  <si>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</si>
  <si>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</si>
  <si>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</si>
  <si>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</si>
  <si>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</si>
  <si>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</si>
  <si>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</si>
  <si>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</si>
  <si>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</si>
  <si>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</si>
  <si>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</si>
  <si>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</si>
  <si>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</si>
  <si>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</si>
  <si>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</si>
  <si>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</si>
  <si>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</si>
  <si>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</si>
  <si>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</si>
  <si>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</si>
  <si>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</si>
  <si>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</si>
  <si>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</si>
  <si>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</si>
  <si>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</si>
  <si>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</si>
  <si>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</si>
  <si>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</si>
  <si>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</si>
  <si>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</si>
  <si>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</si>
  <si>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</si>
  <si>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</si>
  <si>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</si>
  <si>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</si>
  <si>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</si>
  <si>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</si>
  <si>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</si>
  <si>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</si>
  <si>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</si>
  <si>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</si>
  <si>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</si>
  <si>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</si>
  <si>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</si>
  <si>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</si>
  <si>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</si>
  <si>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</si>
  <si>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</si>
  <si>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</si>
  <si>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</si>
  <si>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</si>
  <si>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</si>
  <si>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</si>
  <si>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</si>
  <si>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</si>
  <si>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</si>
  <si>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</si>
  <si>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</si>
  <si>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</si>
  <si>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</si>
  <si>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</si>
  <si>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</si>
  <si>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</si>
  <si>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</si>
  <si>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</si>
  <si>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</si>
  <si>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</si>
  <si>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</si>
  <si>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</si>
  <si>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</si>
  <si>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</si>
  <si>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</si>
  <si>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</si>
  <si>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</si>
  <si>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</si>
  <si>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</si>
  <si>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</si>
  <si>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</si>
  <si>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</si>
  <si>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</si>
  <si>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</si>
  <si>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</si>
  <si>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</si>
  <si>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</si>
  <si>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</si>
  <si>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</si>
  <si>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</si>
  <si>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</si>
  <si>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</si>
  <si>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</si>
  <si>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</si>
  <si>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</si>
  <si>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</si>
  <si>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</si>
  <si>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</si>
  <si>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</si>
  <si>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</si>
  <si>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</si>
  <si>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</si>
  <si>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</si>
  <si>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</si>
  <si>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</si>
  <si>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</si>
  <si>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</si>
  <si>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</si>
  <si>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</si>
  <si>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</si>
  <si>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</si>
  <si>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</si>
  <si>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</si>
  <si>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</si>
  <si>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</si>
  <si>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</si>
  <si>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</si>
  <si>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</si>
  <si>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</si>
  <si>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</si>
  <si>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</si>
  <si>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</si>
  <si>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</si>
  <si>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</si>
  <si>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</si>
  <si>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</si>
  <si>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</si>
  <si>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</si>
  <si>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</si>
  <si>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</si>
  <si>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</si>
  <si>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</si>
  <si>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</si>
  <si>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</si>
  <si>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</si>
  <si>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</si>
  <si>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</si>
  <si>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</si>
  <si>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</si>
  <si>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</si>
  <si>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</si>
  <si>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</si>
  <si>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</si>
  <si>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</si>
  <si>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</si>
  <si>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</si>
  <si>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</si>
  <si>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</si>
  <si>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</si>
  <si>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</si>
  <si>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</si>
  <si>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</si>
  <si>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</si>
  <si>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</si>
  <si>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</si>
  <si>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</si>
  <si>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</si>
  <si>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</si>
  <si>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</si>
  <si>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</si>
  <si>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</si>
  <si>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</si>
  <si>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</si>
  <si>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</si>
  <si>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</si>
  <si>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</si>
  <si>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</si>
  <si>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</si>
  <si>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</si>
  <si>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</si>
  <si>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</si>
  <si>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</si>
  <si>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</si>
  <si>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</si>
  <si>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</si>
  <si>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</si>
  <si>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</si>
  <si>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</si>
  <si>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</si>
  <si>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</si>
  <si>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</si>
  <si>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</si>
  <si>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</si>
  <si>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</si>
  <si>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</si>
  <si>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</si>
  <si>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</si>
  <si>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</si>
  <si>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</si>
  <si>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</si>
  <si>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</si>
  <si>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</si>
  <si>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</si>
  <si>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</si>
  <si>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</si>
  <si>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</si>
  <si>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</si>
  <si>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</si>
  <si>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</si>
  <si>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</si>
  <si>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</si>
  <si>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</si>
  <si>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</si>
  <si>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</si>
  <si>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</si>
  <si>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</si>
  <si>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</si>
  <si>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</si>
  <si>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</si>
  <si>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</si>
  <si>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</si>
  <si>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</si>
  <si>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</si>
  <si>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</si>
  <si>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</si>
  <si>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</si>
  <si>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</si>
  <si>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</si>
  <si>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</si>
  <si>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</si>
  <si>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</si>
  <si>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</si>
  <si>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</si>
  <si>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</si>
  <si>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</si>
  <si>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</si>
  <si>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</si>
  <si>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</si>
  <si>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</si>
  <si>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</si>
  <si>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</si>
  <si>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</si>
  <si>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</si>
  <si>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</si>
  <si>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</si>
  <si>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</si>
  <si>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</si>
  <si>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</si>
  <si>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</si>
  <si>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</si>
  <si>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</si>
  <si>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</si>
  <si>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</si>
  <si>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</si>
  <si>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</si>
  <si>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</si>
  <si>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</si>
  <si>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</si>
  <si>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</si>
  <si>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</si>
  <si>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</si>
  <si>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</si>
  <si>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</si>
  <si>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</si>
  <si>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</si>
  <si>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</si>
  <si>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</si>
  <si>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</si>
  <si>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</si>
  <si>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</si>
  <si>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</si>
  <si>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</si>
  <si>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</si>
  <si>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</si>
  <si>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</si>
  <si>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</si>
  <si>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</si>
  <si>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</si>
  <si>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</si>
  <si>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</si>
  <si>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</si>
  <si>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</si>
  <si>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</si>
  <si>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</si>
  <si>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</si>
  <si>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</si>
  <si>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</si>
  <si>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</si>
  <si>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</si>
  <si>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</si>
  <si>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</si>
  <si>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</si>
  <si>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</si>
  <si>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</si>
  <si>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</si>
  <si>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</si>
  <si>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</si>
  <si>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</si>
  <si>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</si>
  <si>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</si>
  <si>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</si>
  <si>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</si>
  <si>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</si>
  <si>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</si>
  <si>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</si>
  <si>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</si>
  <si>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</si>
  <si>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</si>
  <si>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</si>
  <si>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</si>
  <si>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</si>
  <si>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</si>
  <si>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</si>
  <si>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</si>
  <si>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</si>
  <si>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</si>
  <si>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</si>
  <si>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</si>
  <si>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</si>
  <si>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</si>
  <si>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</si>
  <si>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</si>
  <si>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</si>
  <si>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</si>
  <si>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</si>
  <si>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</si>
  <si>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</si>
  <si>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</si>
  <si>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</si>
  <si>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</si>
  <si>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</si>
  <si>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</si>
  <si>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</si>
  <si>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</si>
  <si>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</si>
  <si>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</si>
  <si>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</si>
  <si>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</si>
  <si>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</si>
  <si>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</si>
  <si>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</si>
  <si>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</si>
  <si>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</si>
  <si>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</si>
  <si>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</si>
  <si>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</si>
  <si>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</si>
  <si>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</si>
  <si>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</si>
  <si>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</si>
  <si>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</si>
  <si>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</si>
  <si>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</si>
  <si>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</si>
  <si>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</si>
  <si>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</si>
  <si>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</si>
  <si>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</si>
  <si>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</si>
  <si>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</si>
  <si>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</si>
  <si>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</si>
  <si>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</si>
  <si>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</si>
  <si>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</si>
  <si>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</si>
  <si>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</si>
  <si>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</si>
  <si>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</si>
  <si>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</si>
  <si>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</si>
  <si>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</si>
  <si>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</si>
  <si>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</si>
  <si>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</si>
  <si>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</si>
  <si>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</si>
  <si>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</si>
  <si>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</si>
  <si>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</si>
  <si>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</si>
  <si>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</si>
  <si>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</si>
  <si>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</si>
  <si>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</si>
  <si>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</si>
  <si>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</si>
  <si>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</si>
  <si>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</si>
  <si>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</si>
  <si>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</si>
  <si>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</si>
  <si>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</si>
  <si>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</si>
  <si>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</si>
  <si>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</si>
  <si>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</si>
  <si>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</si>
  <si>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</si>
  <si>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</si>
  <si>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</si>
  <si>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</si>
  <si>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</si>
  <si>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</si>
  <si>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</si>
  <si>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</si>
  <si>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</si>
  <si>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</si>
  <si>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</si>
  <si>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</si>
  <si>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</si>
  <si>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</si>
  <si>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</si>
  <si>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</si>
  <si>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</si>
  <si>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</si>
  <si>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</si>
  <si>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</si>
  <si>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</si>
  <si>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</si>
  <si>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</si>
  <si>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</si>
  <si>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</si>
  <si>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</si>
  <si>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</si>
  <si>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</si>
  <si>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</si>
  <si>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</si>
  <si>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</si>
  <si>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</si>
  <si>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</si>
  <si>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</si>
  <si>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</si>
  <si>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</si>
  <si>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</si>
  <si>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</si>
  <si>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</si>
  <si>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</si>
  <si>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</si>
  <si>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</si>
  <si>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</si>
  <si>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</si>
  <si>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</si>
  <si>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</si>
  <si>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</si>
  <si>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</si>
  <si>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</si>
  <si>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</si>
  <si>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</si>
  <si>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</si>
  <si>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</si>
  <si>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</si>
  <si>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</si>
  <si>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</si>
  <si>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</si>
  <si>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</si>
  <si>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</si>
  <si>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</si>
  <si>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</si>
  <si>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</si>
  <si>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</si>
  <si>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</si>
  <si>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</si>
  <si>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</si>
  <si>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</si>
  <si>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</si>
  <si>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</si>
  <si>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</si>
  <si>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</si>
  <si>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</si>
  <si>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</si>
  <si>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</si>
  <si>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</si>
  <si>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</si>
  <si>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</si>
  <si>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</si>
  <si>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</si>
  <si>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</si>
  <si>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</si>
  <si>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</si>
  <si>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</si>
  <si>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</si>
  <si>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</si>
  <si>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</si>
  <si>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</si>
  <si>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</si>
  <si>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</si>
  <si>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</si>
  <si>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</si>
  <si>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</si>
  <si>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</si>
  <si>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</si>
  <si>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</si>
  <si>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</si>
  <si>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</si>
  <si>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</si>
  <si>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</si>
  <si>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</si>
  <si>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</si>
  <si>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</si>
  <si>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</si>
  <si>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</si>
  <si>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</si>
  <si>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</si>
  <si>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</si>
  <si>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</si>
  <si>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</si>
  <si>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</si>
  <si>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</si>
  <si>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</si>
  <si>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</si>
  <si>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</si>
  <si>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</si>
  <si>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</si>
  <si>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</si>
  <si>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</si>
  <si>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</si>
  <si>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</si>
  <si>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</si>
  <si>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</si>
  <si>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</si>
  <si>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</si>
  <si>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</si>
  <si>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</si>
  <si>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</si>
  <si>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</si>
  <si>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</si>
  <si>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</si>
  <si>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</si>
  <si>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</si>
  <si>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</si>
  <si>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</si>
  <si>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</si>
  <si>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</si>
  <si>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</si>
  <si>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</si>
  <si>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</si>
  <si>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</si>
  <si>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</si>
  <si>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</si>
  <si>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</si>
  <si>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</si>
  <si>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</si>
  <si>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</si>
  <si>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</si>
  <si>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</si>
  <si>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</si>
  <si>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</si>
  <si>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</si>
  <si>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</si>
  <si>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</si>
  <si>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</si>
  <si>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</si>
  <si>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</si>
  <si>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</si>
  <si>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</si>
  <si>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</si>
  <si>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</si>
  <si>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</si>
  <si>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</si>
  <si>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</si>
  <si>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</si>
  <si>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</si>
  <si>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</si>
  <si>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</si>
  <si>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</si>
  <si>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</si>
  <si>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</si>
  <si>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</si>
  <si>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</si>
  <si>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</si>
  <si>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</si>
  <si>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</si>
  <si>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</si>
  <si>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</si>
  <si>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</si>
  <si>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</si>
  <si>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</si>
  <si>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</si>
  <si>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</si>
  <si>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</si>
  <si>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</si>
  <si>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</si>
  <si>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</si>
  <si>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</si>
  <si>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</si>
  <si>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</si>
  <si>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</si>
  <si>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</si>
  <si>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</si>
  <si>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</si>
  <si>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</si>
  <si>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</si>
  <si>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</si>
  <si>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</si>
  <si>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</si>
  <si>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</si>
  <si>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</si>
  <si>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</si>
  <si>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</si>
  <si>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</si>
  <si>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</si>
  <si>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</si>
  <si>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</si>
  <si>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</si>
  <si>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</si>
  <si>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</si>
  <si>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</si>
  <si>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</si>
  <si>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</si>
  <si>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</si>
  <si>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</si>
  <si>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</si>
  <si>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</si>
  <si>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</si>
  <si>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</si>
  <si>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</si>
  <si>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</si>
  <si>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</si>
  <si>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</si>
  <si>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</si>
  <si>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</si>
  <si>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</si>
  <si>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</si>
  <si>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</si>
  <si>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</si>
  <si>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</si>
  <si>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</si>
  <si>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</si>
  <si>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</si>
  <si>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</si>
  <si>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</si>
  <si>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</si>
  <si>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</si>
  <si>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</si>
  <si>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</si>
  <si>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</si>
  <si>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</si>
  <si>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</si>
  <si>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</si>
  <si>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</si>
  <si>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</si>
  <si>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</si>
  <si>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</si>
  <si>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</si>
  <si>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</si>
  <si>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</si>
  <si>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</si>
  <si>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</si>
  <si>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</si>
  <si>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</si>
  <si>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</si>
  <si>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</si>
  <si>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</si>
  <si>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</si>
  <si>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</si>
  <si>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</si>
  <si>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</si>
  <si>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</si>
  <si>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</si>
  <si>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</si>
  <si>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</si>
  <si>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</si>
  <si>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</si>
  <si>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</si>
  <si>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</si>
  <si>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</si>
  <si>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</si>
  <si>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</si>
  <si>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</si>
  <si>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</si>
  <si>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</si>
  <si>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</si>
  <si>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</si>
  <si>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</si>
  <si>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</si>
  <si>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</si>
  <si>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</si>
  <si>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</si>
  <si>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</si>
  <si>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</si>
  <si>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</si>
  <si>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</si>
  <si>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</si>
  <si>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</si>
  <si>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</si>
  <si>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</si>
  <si>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</si>
  <si>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</si>
  <si>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</si>
  <si>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</si>
  <si>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</si>
  <si>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</si>
  <si>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</si>
  <si>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</si>
  <si>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</si>
  <si>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</si>
  <si>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</si>
  <si>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</si>
  <si>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</si>
  <si>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</si>
  <si>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</si>
  <si>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</si>
  <si>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</si>
  <si>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</si>
  <si>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</si>
  <si>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</si>
  <si>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</si>
  <si>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</si>
  <si>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</si>
  <si>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</si>
  <si>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</si>
  <si>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</si>
  <si>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</si>
  <si>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</si>
  <si>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</si>
  <si>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</si>
  <si>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</si>
  <si>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</si>
  <si>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</si>
  <si>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</si>
  <si>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</si>
  <si>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</si>
  <si>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</si>
  <si>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</si>
  <si>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</si>
  <si>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</si>
  <si>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</si>
  <si>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</si>
  <si>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</si>
  <si>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</si>
  <si>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</si>
  <si>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</si>
  <si>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</si>
  <si>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</si>
  <si>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</si>
  <si>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</si>
  <si>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</si>
  <si>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</si>
  <si>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</si>
  <si>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</si>
  <si>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</si>
  <si>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</si>
  <si>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</si>
  <si>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</si>
  <si>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</si>
  <si>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</si>
  <si>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</si>
  <si>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</si>
  <si>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</si>
  <si>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</si>
  <si>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</si>
  <si>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</si>
  <si>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</si>
  <si>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</si>
  <si>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</si>
  <si>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</si>
  <si>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</si>
  <si>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</si>
  <si>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</si>
  <si>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</si>
  <si>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</si>
  <si>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</si>
  <si>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</si>
  <si>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</si>
  <si>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</si>
  <si>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</si>
  <si>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</si>
  <si>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</si>
  <si>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</si>
  <si>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</si>
  <si>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</si>
  <si>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</si>
  <si>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</si>
  <si>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</si>
  <si>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</si>
  <si>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</si>
  <si>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</si>
  <si>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</si>
  <si>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</si>
  <si>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</si>
  <si>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</si>
  <si>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</si>
  <si>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</si>
  <si>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</si>
  <si>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</si>
  <si>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</si>
  <si>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</si>
  <si>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</si>
  <si>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</si>
  <si>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</si>
  <si>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</si>
  <si>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</si>
  <si>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</si>
  <si>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</si>
  <si>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</si>
  <si>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</si>
  <si>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</si>
  <si>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</si>
  <si>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</si>
  <si>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</si>
  <si>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</si>
  <si>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</si>
  <si>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</si>
  <si>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</si>
  <si>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</si>
  <si>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</si>
  <si>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</si>
  <si>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</si>
  <si>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</si>
  <si>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</si>
  <si>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</si>
  <si>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</si>
  <si>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</si>
  <si>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</si>
  <si>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</si>
  <si>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</si>
  <si>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</si>
  <si>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</si>
  <si>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</si>
  <si>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</si>
  <si>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</si>
  <si>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</si>
  <si>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</si>
  <si>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</si>
  <si>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</si>
  <si>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</si>
  <si>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</si>
  <si>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</si>
  <si>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</si>
  <si>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</si>
  <si>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</si>
  <si>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</si>
  <si>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</si>
  <si>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</si>
  <si>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</si>
  <si>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</si>
  <si>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</si>
  <si>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</si>
  <si>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</si>
  <si>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</si>
  <si>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</si>
  <si>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</si>
  <si>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</si>
  <si>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</si>
  <si>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</si>
  <si>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</si>
  <si>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</si>
  <si>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</si>
  <si>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</si>
  <si>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</si>
  <si>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</si>
  <si>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</si>
  <si>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</si>
  <si>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</si>
  <si>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</si>
  <si>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</si>
  <si>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</si>
  <si>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</si>
  <si>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</si>
  <si>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</si>
  <si>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</si>
  <si>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</si>
  <si>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</si>
  <si>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</si>
  <si>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</si>
  <si>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</si>
  <si>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</si>
  <si>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</si>
  <si>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</si>
  <si>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</si>
  <si>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</si>
  <si>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</si>
  <si>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</si>
  <si>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</si>
  <si>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</si>
  <si>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</si>
  <si>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</si>
  <si>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</si>
  <si>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</si>
  <si>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</si>
  <si>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</si>
  <si>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</si>
  <si>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</si>
  <si>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</si>
  <si>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</si>
  <si>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</si>
  <si>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</si>
  <si>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</si>
  <si>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</si>
  <si>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</si>
  <si>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</si>
  <si>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</si>
  <si>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</si>
  <si>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</si>
  <si>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</si>
  <si>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</si>
  <si>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</si>
  <si>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</si>
  <si>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</si>
  <si>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</si>
  <si>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</si>
  <si>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</si>
  <si>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</si>
  <si>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</si>
  <si>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</si>
  <si>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</si>
  <si>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</si>
  <si>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</si>
  <si>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</si>
  <si>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</si>
  <si>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</si>
  <si>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</si>
  <si>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</si>
  <si>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</si>
  <si>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</si>
  <si>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</si>
  <si>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</si>
  <si>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</si>
  <si>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</si>
  <si>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</si>
  <si>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</si>
  <si>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</si>
  <si>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</si>
  <si>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</si>
  <si>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</si>
  <si>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</si>
  <si>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</si>
  <si>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</si>
  <si>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</si>
  <si>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</si>
  <si>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</si>
  <si>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</si>
  <si>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</si>
  <si>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</si>
  <si>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</si>
  <si>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</si>
  <si>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</si>
  <si>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</si>
  <si>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</si>
  <si>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</si>
  <si>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</si>
  <si>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</si>
  <si>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</si>
  <si>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</si>
  <si>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</si>
  <si>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</si>
  <si>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</si>
  <si>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</si>
  <si>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</si>
  <si>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</si>
  <si>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</si>
  <si>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</si>
  <si>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</si>
  <si>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</si>
  <si>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</si>
  <si>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</si>
  <si>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</si>
  <si>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</si>
  <si>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</si>
  <si>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</si>
  <si>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</si>
  <si>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</si>
  <si>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</si>
  <si>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</si>
  <si>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</si>
  <si>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</si>
  <si>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</si>
  <si>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</si>
  <si>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</si>
  <si>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</si>
  <si>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</si>
  <si>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</si>
  <si>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</si>
  <si>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</si>
  <si>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</si>
  <si>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</si>
  <si>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</si>
  <si>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</si>
  <si>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</si>
  <si>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</si>
  <si>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</si>
  <si>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</si>
  <si>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</si>
  <si>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</si>
  <si>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</si>
  <si>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</si>
  <si>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</si>
  <si>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</si>
  <si>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</si>
  <si>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</si>
  <si>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</si>
  <si>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</si>
  <si>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</si>
  <si>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</si>
  <si>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</si>
  <si>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</si>
  <si>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</si>
  <si>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</si>
  <si>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</si>
  <si>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</si>
  <si>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</si>
  <si>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</si>
  <si>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</si>
  <si>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</si>
  <si>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</si>
  <si>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</si>
  <si>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</si>
  <si>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</si>
  <si>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</si>
  <si>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</si>
  <si>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</si>
  <si>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</si>
  <si>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</si>
  <si>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</si>
  <si>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</si>
  <si>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</si>
  <si>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</si>
  <si>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</si>
  <si>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</si>
  <si>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</si>
  <si>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</si>
  <si>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</si>
  <si>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</si>
  <si>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</si>
  <si>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</si>
  <si>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</si>
  <si>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</si>
  <si>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</si>
  <si>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</si>
  <si>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</si>
  <si>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</si>
  <si>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</si>
  <si>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</si>
  <si>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</si>
  <si>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</si>
  <si>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</si>
  <si>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</si>
  <si>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</si>
  <si>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</si>
  <si>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</si>
  <si>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</si>
  <si>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</si>
  <si>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</si>
  <si>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</si>
  <si>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</si>
  <si>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</si>
  <si>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</si>
  <si>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</si>
  <si>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</si>
  <si>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</si>
  <si>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</si>
  <si>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</si>
  <si>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</si>
  <si>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</si>
  <si>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</si>
  <si>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</si>
  <si>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</si>
  <si>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</si>
  <si>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</si>
  <si>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</si>
  <si>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</si>
  <si>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</si>
  <si>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</si>
  <si>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</si>
  <si>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</si>
  <si>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</si>
  <si>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</si>
  <si>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</si>
  <si>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</si>
  <si>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</si>
  <si>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</si>
  <si>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</si>
  <si>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</si>
  <si>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</si>
  <si>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</si>
  <si>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</si>
  <si>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</si>
  <si>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</si>
  <si>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</si>
  <si>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</si>
  <si>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</si>
  <si>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</si>
  <si>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</si>
  <si>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</si>
  <si>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</si>
  <si>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</si>
  <si>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</si>
  <si>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</si>
  <si>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</si>
  <si>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</si>
  <si>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</si>
  <si>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</si>
  <si>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</si>
  <si>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</si>
  <si>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</si>
  <si>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</si>
  <si>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</si>
  <si>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</si>
  <si>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</si>
  <si>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</si>
  <si>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</si>
  <si>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</si>
  <si>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</si>
  <si>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</si>
  <si>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</si>
  <si>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</si>
  <si>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</si>
  <si>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</si>
  <si>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</si>
  <si>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</si>
  <si>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</si>
  <si>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</si>
  <si>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</si>
  <si>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</si>
  <si>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</si>
  <si>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</si>
  <si>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</si>
  <si>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</si>
  <si>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</si>
  <si>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</si>
  <si>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</si>
  <si>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</si>
  <si>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</si>
  <si>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</si>
  <si>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</si>
  <si>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</si>
  <si>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</si>
  <si>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</si>
  <si>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</si>
  <si>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</si>
  <si>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</si>
  <si>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</si>
  <si>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</si>
  <si>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</si>
  <si>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</si>
  <si>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</si>
  <si>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</si>
  <si>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</si>
  <si>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</si>
  <si>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</si>
  <si>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</si>
  <si>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</si>
  <si>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</si>
  <si>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</si>
  <si>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</si>
  <si>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</si>
  <si>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</si>
  <si>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</si>
  <si>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</si>
  <si>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</si>
  <si>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</si>
  <si>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</si>
  <si>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</si>
  <si>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</si>
  <si>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</si>
  <si>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</si>
  <si>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</si>
  <si>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</si>
  <si>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</si>
  <si>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</si>
  <si>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</si>
  <si>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</si>
  <si>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</si>
  <si>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</si>
  <si>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</si>
  <si>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</si>
  <si>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</si>
  <si>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</si>
  <si>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</si>
  <si>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</si>
  <si>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</si>
  <si>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</si>
  <si>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</si>
  <si>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</si>
  <si>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</si>
  <si>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</si>
  <si>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</si>
  <si>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</si>
  <si>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</si>
  <si>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</si>
  <si>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</si>
  <si>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</si>
  <si>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</si>
  <si>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</si>
  <si>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</si>
  <si>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</si>
  <si>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</si>
  <si>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</si>
  <si>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</si>
  <si>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</si>
  <si>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</si>
  <si>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</si>
  <si>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</si>
  <si>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</si>
  <si>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</si>
  <si>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</si>
  <si>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</si>
  <si>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</si>
  <si>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</si>
  <si>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</si>
  <si>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</si>
  <si>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</si>
  <si>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</si>
  <si>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</si>
  <si>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</si>
  <si>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</si>
  <si>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</si>
  <si>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</si>
  <si>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</si>
  <si>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</si>
  <si>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</si>
  <si>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</si>
  <si>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</si>
  <si>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</si>
  <si>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</si>
  <si>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</si>
  <si>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</si>
  <si>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</si>
  <si>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</si>
  <si>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</si>
  <si>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</si>
  <si>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</si>
  <si>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</si>
  <si>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</si>
  <si>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</si>
  <si>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</si>
  <si>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</si>
  <si>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</si>
  <si>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</si>
  <si>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</si>
  <si>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</si>
  <si>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</si>
  <si>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</si>
  <si>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</si>
  <si>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</si>
  <si>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</si>
  <si>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</si>
  <si>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</si>
  <si>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</si>
  <si>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</si>
  <si>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</si>
  <si>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</si>
  <si>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</si>
  <si>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</si>
  <si>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</si>
  <si>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</si>
  <si>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</si>
  <si>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</si>
  <si>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</si>
  <si>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</si>
  <si>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</si>
  <si>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</si>
  <si>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</si>
  <si>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</si>
  <si>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</si>
  <si>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</si>
  <si>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</si>
  <si>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</si>
  <si>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</si>
  <si>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</si>
  <si>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</si>
  <si>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</si>
  <si>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</si>
  <si>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</si>
  <si>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</si>
  <si>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</si>
  <si>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</si>
  <si>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</si>
  <si>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</si>
  <si>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</si>
  <si>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</si>
  <si>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</si>
  <si>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</si>
  <si>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</si>
  <si>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</si>
  <si>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</si>
  <si>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</si>
  <si>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</si>
  <si>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</si>
  <si>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</si>
  <si>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</si>
  <si>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</si>
  <si>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</si>
  <si>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</si>
  <si>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</si>
  <si>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</si>
  <si>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</si>
  <si>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</si>
  <si>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</si>
  <si>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</si>
  <si>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</si>
  <si>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</si>
  <si>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</si>
  <si>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</si>
  <si>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</si>
  <si>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</si>
  <si>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</si>
  <si>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</si>
  <si>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</si>
  <si>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</si>
  <si>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</si>
  <si>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</si>
  <si>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</si>
  <si>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</si>
  <si>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</si>
  <si>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</si>
  <si>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</si>
  <si>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</si>
  <si>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</si>
  <si>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</si>
  <si>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</si>
  <si>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</si>
  <si>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</si>
  <si>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</si>
  <si>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</si>
  <si>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</si>
  <si>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</si>
  <si>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</si>
  <si>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</si>
  <si>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</si>
  <si>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</si>
  <si>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</si>
  <si>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</si>
  <si>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</si>
  <si>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</si>
  <si>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</si>
  <si>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</si>
  <si>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</si>
  <si>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</si>
  <si>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</si>
  <si>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</si>
  <si>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</si>
  <si>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</si>
  <si>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</si>
  <si>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</si>
  <si>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</si>
  <si>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</si>
  <si>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</si>
  <si>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</si>
  <si>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</si>
  <si>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</si>
  <si>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</si>
  <si>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</si>
  <si>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</si>
  <si>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</si>
  <si>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</si>
  <si>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</si>
  <si>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</si>
  <si>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</si>
  <si>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</si>
  <si>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</si>
  <si>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</si>
  <si>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</si>
  <si>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</si>
  <si>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</si>
  <si>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</si>
  <si>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</si>
  <si>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</si>
  <si>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</si>
  <si>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</si>
  <si>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</si>
  <si>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</si>
  <si>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</si>
  <si>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</si>
  <si>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</si>
  <si>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</si>
  <si>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</si>
  <si>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</si>
  <si>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</si>
  <si>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</si>
  <si>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</si>
  <si>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</si>
  <si>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</si>
  <si>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</si>
  <si>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</si>
  <si>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</si>
  <si>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</si>
  <si>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</si>
  <si>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</si>
  <si>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</si>
  <si>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</si>
  <si>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</si>
  <si>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</si>
  <si>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</si>
  <si>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</si>
  <si>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</si>
  <si>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</si>
  <si>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</si>
  <si>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</si>
  <si>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</si>
  <si>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</si>
  <si>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</si>
  <si>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</si>
  <si>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</si>
  <si>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</si>
  <si>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</si>
  <si>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</si>
  <si>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</si>
  <si>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</si>
  <si>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</si>
  <si>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</si>
  <si>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</si>
  <si>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</si>
  <si>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</si>
  <si>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</si>
  <si>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</si>
  <si>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</si>
  <si>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</si>
  <si>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</si>
  <si>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</si>
  <si>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</si>
  <si>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</si>
  <si>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</si>
  <si>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</si>
  <si>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</si>
  <si>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</si>
  <si>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</si>
  <si>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</si>
  <si>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</si>
  <si>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</si>
  <si>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</si>
  <si>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</si>
  <si>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</si>
  <si>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</si>
  <si>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</si>
  <si>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</si>
  <si>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</si>
  <si>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</si>
  <si>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</si>
  <si>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</si>
  <si>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</si>
  <si>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</si>
  <si>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</si>
  <si>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</si>
  <si>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</si>
  <si>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</si>
  <si>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</si>
  <si>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</si>
  <si>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</si>
  <si>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</si>
  <si>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</si>
  <si>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</si>
  <si>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</si>
  <si>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</si>
  <si>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</si>
  <si>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</si>
  <si>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</si>
  <si>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</si>
  <si>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</si>
  <si>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</si>
  <si>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</si>
  <si>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</si>
  <si>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</si>
  <si>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</si>
  <si>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</si>
  <si>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</si>
  <si>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</si>
  <si>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</si>
  <si>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</si>
  <si>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</si>
  <si>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</si>
  <si>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</si>
  <si>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</si>
  <si>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</si>
  <si>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</si>
  <si>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</si>
  <si>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</si>
  <si>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</si>
  <si>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</si>
  <si>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</si>
  <si>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</si>
  <si>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</si>
  <si>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</si>
  <si>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</si>
  <si>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</si>
  <si>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</si>
  <si>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</si>
  <si>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</si>
  <si>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</si>
  <si>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</si>
  <si>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</si>
  <si>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</si>
  <si>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</si>
  <si>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</si>
  <si>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</si>
  <si>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</si>
  <si>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</si>
  <si>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</si>
  <si>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</si>
  <si>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</si>
  <si>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</si>
  <si>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</si>
  <si>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</si>
  <si>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</si>
  <si>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</si>
  <si>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</si>
  <si>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</si>
  <si>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</si>
  <si>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</si>
  <si>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</si>
  <si>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</si>
  <si>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</si>
  <si>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</si>
  <si>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</si>
  <si>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</si>
  <si>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</si>
  <si>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</si>
  <si>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</si>
  <si>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</si>
  <si>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</si>
  <si>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</si>
  <si>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</si>
  <si>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</si>
  <si>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</si>
  <si>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</si>
  <si>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</si>
  <si>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</si>
  <si>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</si>
  <si>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</si>
  <si>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</si>
  <si>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</si>
  <si>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</si>
  <si>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</si>
  <si>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</si>
  <si>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</si>
  <si>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</si>
  <si>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</si>
  <si>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</si>
  <si>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</si>
  <si>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sz val="11"/>
        <color indexed="8"/>
        <rFont val="宋体"/>
        <family val="3"/>
        <charset val="134"/>
      </rPr>
      <t>成新度</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</si>
  <si>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</si>
  <si>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</si>
  <si>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</si>
  <si>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</si>
  <si>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</si>
  <si>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</si>
  <si>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</si>
  <si>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</si>
  <si>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</si>
  <si>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</si>
  <si>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</si>
  <si>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</si>
  <si>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</si>
  <si>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</si>
  <si>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</si>
  <si>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</si>
  <si>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</si>
  <si>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</si>
  <si>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</si>
  <si>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</si>
  <si>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</si>
  <si>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</si>
  <si>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</si>
  <si>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</si>
  <si>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</si>
  <si>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</si>
  <si>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</si>
  <si>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</si>
  <si>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</si>
  <si>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</si>
  <si>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</si>
  <si>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</si>
  <si>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</si>
  <si>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</si>
  <si>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</si>
  <si>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</si>
  <si>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</si>
  <si>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</si>
  <si>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</si>
  <si>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</si>
  <si>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</si>
  <si>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</si>
  <si>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</si>
  <si>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</si>
  <si>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</si>
  <si>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</si>
  <si>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</si>
  <si>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</si>
  <si>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</si>
  <si>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</si>
  <si>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</si>
  <si>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</si>
  <si>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</si>
  <si>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</si>
  <si>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</si>
  <si>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</si>
  <si>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</si>
  <si>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</si>
  <si>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</si>
  <si>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</si>
  <si>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</si>
  <si>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</si>
  <si>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</si>
  <si>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</si>
  <si>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</si>
  <si>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</si>
  <si>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</si>
  <si>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</si>
  <si>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</si>
  <si>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</si>
  <si>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</si>
  <si>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</si>
  <si>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</si>
  <si>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</si>
  <si>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</si>
  <si>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</si>
  <si>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</si>
  <si>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</si>
  <si>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</si>
  <si>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</si>
  <si>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</si>
  <si>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</si>
  <si>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</si>
  <si>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</si>
  <si>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</si>
  <si>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</si>
  <si>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</si>
  <si>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</si>
  <si>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</si>
  <si>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</si>
  <si>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</si>
  <si>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</si>
  <si>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</si>
  <si>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</si>
  <si>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</si>
  <si>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</si>
  <si>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</si>
  <si>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</si>
  <si>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</si>
  <si>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</si>
  <si>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</si>
  <si>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</si>
  <si>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</si>
  <si>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</si>
  <si>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</si>
  <si>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</si>
  <si>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</si>
  <si>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</si>
  <si>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</si>
  <si>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</si>
  <si>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</si>
  <si>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</si>
  <si>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</si>
  <si>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</si>
  <si>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</si>
  <si>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</si>
  <si>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</si>
  <si>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</si>
  <si>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</si>
  <si>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</si>
  <si>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</si>
  <si>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</si>
  <si>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</si>
  <si>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</si>
  <si>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</si>
  <si>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</si>
  <si>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</si>
  <si>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</si>
  <si>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</si>
  <si>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</si>
  <si>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</si>
  <si>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</si>
  <si>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</si>
  <si>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</si>
  <si>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</si>
  <si>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</si>
  <si>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</si>
  <si>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</si>
  <si>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</si>
  <si>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</si>
  <si>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</si>
  <si>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</si>
  <si>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</si>
  <si>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</si>
  <si>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</si>
  <si>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</si>
  <si>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</si>
  <si>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</si>
  <si>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</si>
  <si>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</si>
  <si>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</si>
  <si>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</si>
  <si>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</si>
  <si>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</si>
  <si>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</si>
  <si>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</si>
  <si>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</si>
  <si>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</si>
  <si>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</si>
  <si>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</si>
  <si>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</si>
  <si>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</si>
  <si>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</si>
  <si>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</si>
  <si>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</si>
  <si>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</si>
  <si>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</si>
  <si>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</si>
  <si>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</si>
  <si>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</si>
  <si>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</si>
  <si>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</si>
  <si>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</si>
  <si>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</si>
  <si>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</si>
  <si>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</si>
  <si>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</si>
  <si>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</si>
  <si>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</si>
  <si>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</si>
  <si>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</si>
  <si>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</si>
  <si>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</si>
  <si>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</si>
  <si>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</si>
  <si>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</si>
  <si>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</si>
  <si>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</si>
  <si>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</si>
  <si>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</si>
  <si>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</si>
  <si>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</si>
  <si>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</si>
  <si>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</si>
  <si>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</si>
  <si>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</si>
  <si>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</si>
  <si>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</si>
  <si>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</si>
  <si>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</si>
  <si>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</si>
  <si>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</si>
  <si>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</si>
  <si>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</si>
  <si>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</si>
  <si>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</si>
  <si>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</si>
  <si>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</si>
  <si>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</si>
  <si>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</si>
  <si>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</si>
  <si>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</si>
  <si>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</si>
  <si>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</si>
  <si>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</si>
  <si>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</si>
  <si>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</si>
  <si>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</si>
  <si>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</si>
  <si>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</si>
  <si>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</si>
  <si>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</si>
  <si>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</si>
  <si>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</si>
  <si>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</si>
  <si>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</si>
  <si>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</si>
  <si>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</si>
  <si>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</si>
  <si>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</si>
  <si>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</si>
  <si>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</si>
  <si>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</si>
  <si>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</si>
  <si>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</si>
  <si>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</si>
  <si>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</si>
  <si>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</si>
  <si>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</si>
  <si>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</si>
  <si>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</si>
  <si>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</si>
  <si>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</si>
  <si>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</si>
  <si>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</si>
  <si>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</si>
  <si>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</si>
  <si>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</si>
  <si>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</si>
  <si>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</si>
  <si>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</si>
  <si>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</si>
  <si>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</si>
  <si>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</si>
  <si>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</si>
  <si>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</si>
  <si>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</si>
  <si>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</si>
  <si>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</si>
  <si>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</si>
  <si>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</si>
  <si>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</si>
  <si>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</si>
  <si>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</si>
  <si>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</si>
  <si>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</si>
  <si>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</si>
  <si>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</si>
  <si>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</si>
  <si>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</si>
  <si>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</si>
  <si>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</si>
  <si>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</si>
  <si>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</si>
  <si>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</si>
  <si>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</si>
  <si>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</si>
  <si>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</si>
  <si>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</si>
  <si>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</si>
  <si>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</si>
  <si>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</si>
  <si>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</si>
  <si>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</si>
  <si>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</si>
  <si>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</si>
  <si>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</si>
  <si>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</si>
  <si>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</si>
  <si>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</si>
  <si>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</si>
  <si>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</si>
  <si>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</si>
  <si>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</si>
  <si>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</si>
  <si>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</si>
  <si>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</si>
  <si>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</si>
  <si>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</si>
  <si>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</si>
  <si>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</si>
  <si>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</si>
  <si>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</si>
  <si>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</si>
  <si>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</si>
  <si>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</si>
  <si>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</si>
  <si>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</si>
  <si>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</si>
  <si>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</si>
  <si>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</si>
  <si>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</si>
  <si>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</si>
  <si>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</si>
  <si>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</si>
  <si>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</si>
  <si>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</si>
  <si>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</si>
  <si>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</si>
  <si>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</si>
  <si>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</si>
  <si>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</si>
  <si>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</si>
  <si>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</si>
  <si>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</si>
  <si>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</si>
  <si>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</si>
  <si>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</si>
  <si>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</si>
  <si>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</si>
  <si>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</si>
  <si>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</si>
  <si>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</si>
  <si>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</si>
  <si>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</si>
  <si>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</si>
  <si>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</si>
  <si>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</si>
  <si>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</si>
  <si>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</si>
  <si>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</si>
  <si>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</si>
  <si>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</si>
  <si>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</si>
  <si>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</si>
  <si>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</si>
  <si>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</si>
  <si>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</si>
  <si>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</si>
  <si>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</si>
  <si>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</si>
  <si>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</si>
  <si>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</si>
  <si>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</si>
  <si>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</si>
  <si>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</si>
  <si>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</si>
  <si>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</si>
  <si>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</si>
  <si>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</si>
  <si>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</si>
  <si>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</si>
  <si>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</si>
  <si>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</si>
  <si>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</si>
  <si>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</si>
  <si>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</si>
  <si>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</si>
  <si>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</si>
  <si>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</si>
  <si>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</si>
  <si>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</si>
  <si>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</si>
  <si>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</si>
  <si>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</si>
  <si>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</si>
  <si>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</si>
  <si>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</si>
  <si>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</si>
  <si>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</si>
  <si>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</si>
  <si>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</si>
  <si>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</si>
  <si>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</si>
  <si>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</si>
  <si>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</si>
  <si>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</si>
  <si>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</si>
  <si>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</si>
  <si>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</si>
  <si>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</si>
  <si>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</si>
  <si>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</si>
  <si>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</si>
  <si>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</si>
  <si>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</si>
  <si>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</si>
  <si>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</si>
  <si>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</si>
  <si>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</si>
  <si>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</si>
  <si>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</si>
  <si>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</si>
  <si>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</si>
  <si>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</si>
  <si>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</si>
  <si>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</si>
  <si>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</si>
  <si>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</si>
  <si>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</si>
  <si>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</si>
  <si>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</si>
  <si>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</si>
  <si>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</si>
  <si>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</si>
  <si>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</si>
  <si>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</si>
  <si>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</si>
  <si>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</si>
  <si>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</si>
  <si>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</si>
  <si>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</si>
  <si>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</si>
  <si>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</si>
  <si>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</si>
  <si>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</si>
  <si>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</si>
  <si>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</si>
  <si>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</si>
  <si>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</si>
  <si>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</si>
  <si>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</si>
  <si>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</si>
  <si>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</si>
  <si>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</si>
  <si>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</si>
  <si>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</si>
  <si>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</si>
  <si>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</si>
  <si>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</si>
  <si>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</si>
  <si>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</si>
  <si>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</si>
  <si>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</si>
  <si>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</si>
  <si>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</si>
  <si>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</si>
  <si>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</si>
  <si>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</si>
  <si>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</si>
  <si>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</si>
  <si>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</si>
  <si>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</si>
  <si>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</si>
  <si>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</si>
  <si>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</si>
  <si>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</si>
  <si>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</si>
  <si>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</si>
  <si>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</si>
  <si>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</si>
  <si>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</si>
  <si>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</si>
  <si>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</si>
  <si>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</si>
  <si>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</si>
  <si>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</si>
  <si>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</si>
  <si>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</si>
  <si>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</si>
  <si>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</si>
  <si>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</si>
  <si>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</si>
  <si>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</si>
  <si>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</si>
  <si>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</si>
  <si>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</si>
  <si>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</si>
  <si>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</si>
  <si>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</si>
  <si>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</si>
  <si>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</si>
  <si>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</si>
  <si>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</si>
  <si>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</si>
  <si>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</si>
  <si>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</si>
  <si>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</si>
  <si>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</si>
  <si>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</si>
  <si>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</si>
  <si>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</si>
  <si>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</si>
  <si>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</si>
  <si>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</si>
  <si>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</si>
  <si>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</si>
  <si>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</si>
  <si>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</si>
  <si>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</si>
  <si>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</si>
  <si>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</si>
  <si>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</si>
  <si>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</si>
  <si>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</si>
  <si>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</si>
  <si>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</si>
  <si>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</si>
  <si>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</si>
  <si>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</si>
  <si>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</si>
  <si>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</si>
  <si>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</si>
  <si>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</si>
  <si>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</si>
  <si>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</si>
  <si>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</si>
  <si>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</si>
  <si>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</si>
  <si>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</si>
  <si>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</si>
  <si>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</si>
  <si>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</si>
  <si>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</si>
  <si>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</si>
  <si>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</si>
  <si>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</si>
  <si>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</si>
  <si>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</si>
  <si>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</si>
  <si>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</si>
  <si>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</si>
  <si>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</si>
  <si>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</si>
  <si>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</si>
  <si>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</si>
  <si>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</si>
  <si>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</si>
  <si>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</si>
  <si>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</si>
  <si>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</si>
  <si>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</si>
  <si>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</si>
  <si>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</si>
  <si>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</si>
  <si>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</si>
  <si>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</si>
  <si>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</si>
  <si>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</si>
  <si>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</si>
  <si>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</si>
  <si>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</si>
  <si>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</si>
  <si>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</si>
  <si>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</si>
  <si>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</si>
  <si>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</si>
  <si>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</si>
  <si>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</si>
  <si>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</si>
  <si>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</si>
  <si>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</si>
  <si>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</si>
  <si>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</si>
  <si>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</si>
  <si>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</si>
  <si>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</si>
  <si>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</si>
  <si>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</si>
  <si>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</si>
  <si>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</si>
  <si>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</si>
  <si>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</si>
  <si>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</si>
  <si>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</si>
  <si>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</si>
  <si>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</si>
  <si>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</si>
  <si>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</si>
  <si>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</si>
  <si>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</si>
  <si>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</si>
  <si>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</si>
  <si>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</si>
  <si>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</si>
  <si>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</si>
  <si>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</si>
  <si>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</si>
  <si>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</si>
  <si>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</si>
  <si>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</si>
  <si>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</si>
  <si>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</si>
  <si>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</si>
  <si>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</si>
  <si>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</si>
  <si>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</si>
  <si>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</si>
  <si>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</si>
  <si>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</si>
  <si>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</si>
  <si>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</si>
  <si>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</si>
  <si>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</si>
  <si>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</si>
  <si>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</si>
  <si>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</si>
  <si>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</si>
  <si>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</si>
  <si>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</si>
  <si>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</si>
  <si>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</si>
  <si>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</si>
  <si>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</si>
  <si>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</si>
  <si>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</si>
  <si>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</si>
  <si>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</si>
  <si>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</si>
  <si>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</si>
  <si>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</si>
  <si>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</si>
  <si>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</si>
  <si>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</si>
  <si>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</si>
  <si>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</si>
  <si>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</si>
  <si>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</si>
  <si>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</si>
  <si>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</si>
  <si>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</si>
  <si>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</si>
  <si>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</si>
  <si>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</si>
  <si>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</si>
  <si>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</si>
  <si>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</si>
  <si>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</si>
  <si>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</si>
  <si>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</si>
  <si>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</si>
  <si>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</si>
  <si>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</si>
  <si>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</si>
  <si>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</si>
  <si>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</si>
  <si>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</si>
  <si>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</si>
  <si>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</si>
  <si>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</si>
  <si>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</si>
  <si>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</si>
  <si>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</si>
  <si>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</si>
  <si>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</si>
  <si>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</si>
  <si>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</si>
  <si>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</si>
  <si>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</si>
  <si>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</si>
  <si>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</si>
  <si>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</si>
  <si>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</si>
  <si>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</si>
  <si>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</si>
  <si>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</si>
  <si>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</si>
  <si>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</si>
  <si>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</si>
  <si>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</si>
  <si>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</si>
  <si>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</si>
  <si>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</si>
  <si>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</si>
  <si>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</si>
  <si>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</si>
  <si>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</si>
  <si>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</si>
  <si>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</si>
  <si>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</si>
  <si>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</si>
  <si>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</si>
  <si>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</si>
  <si>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</si>
  <si>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</si>
  <si>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</si>
  <si>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</si>
  <si>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</si>
  <si>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</si>
  <si>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</si>
  <si>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</si>
  <si>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</si>
  <si>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</si>
  <si>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</si>
  <si>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</si>
  <si>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</si>
  <si>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</si>
  <si>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</si>
  <si>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</si>
  <si>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</si>
  <si>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</si>
  <si>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</si>
  <si>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</si>
  <si>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</si>
  <si>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</si>
  <si>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</si>
  <si>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</si>
  <si>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</si>
  <si>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</si>
  <si>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</si>
  <si>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</si>
  <si>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</si>
  <si>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</si>
  <si>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</si>
  <si>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</si>
  <si>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</si>
  <si>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</si>
  <si>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</si>
  <si>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</si>
  <si>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</si>
  <si>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</si>
  <si>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</si>
  <si>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</si>
  <si>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</si>
  <si>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</si>
  <si>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</si>
  <si>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</si>
  <si>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</si>
  <si>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</si>
  <si>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</si>
  <si>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</si>
  <si>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</si>
  <si>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</si>
  <si>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</si>
  <si>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</si>
  <si>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</si>
  <si>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</si>
  <si>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</si>
  <si>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</si>
  <si>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</si>
  <si>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</si>
  <si>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</si>
  <si>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</si>
  <si>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</si>
  <si>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</si>
  <si>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</si>
  <si>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</si>
  <si>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</si>
  <si>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</si>
  <si>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</si>
  <si>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</si>
  <si>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</si>
  <si>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</si>
  <si>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</si>
  <si>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</si>
  <si>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</si>
  <si>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</si>
  <si>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</si>
  <si>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</si>
  <si>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</si>
  <si>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</si>
  <si>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</si>
  <si>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</si>
  <si>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</si>
  <si>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</si>
  <si>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</si>
  <si>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</si>
  <si>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</si>
  <si>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</si>
  <si>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</si>
  <si>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</si>
  <si>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</si>
  <si>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</si>
  <si>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</si>
  <si>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</si>
  <si>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</si>
  <si>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</si>
  <si>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</si>
  <si>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</si>
  <si>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</si>
  <si>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</si>
  <si>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</si>
  <si>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</si>
  <si>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</si>
  <si>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</si>
  <si>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</si>
  <si>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</si>
  <si>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</si>
  <si>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</si>
  <si>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</si>
  <si>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</si>
  <si>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</si>
  <si>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</si>
  <si>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</si>
  <si>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</si>
  <si>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</si>
  <si>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</si>
  <si>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</si>
  <si>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</si>
  <si>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</si>
  <si>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</si>
  <si>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</si>
  <si>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</si>
  <si>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</si>
  <si>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</si>
  <si>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</si>
  <si>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</si>
  <si>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</si>
  <si>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</si>
  <si>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</si>
  <si>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</si>
  <si>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</si>
  <si>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</si>
  <si>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</si>
  <si>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</si>
  <si>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</si>
  <si>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</si>
  <si>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</si>
  <si>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</si>
  <si>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</si>
  <si>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</si>
  <si>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</si>
  <si>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</si>
  <si>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</si>
  <si>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</si>
  <si>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</si>
  <si>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</si>
  <si>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</si>
  <si>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</si>
  <si>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</si>
  <si>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</si>
  <si>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</si>
  <si>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</si>
  <si>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</si>
  <si>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</si>
  <si>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</si>
  <si>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</si>
  <si>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</si>
  <si>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</si>
  <si>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</si>
  <si>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</si>
  <si>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</si>
  <si>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</si>
  <si>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</si>
  <si>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</si>
  <si>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</si>
  <si>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</si>
  <si>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</si>
  <si>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</si>
  <si>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</si>
  <si>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</si>
  <si>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</si>
  <si>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</si>
  <si>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</si>
  <si>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</si>
  <si>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</si>
  <si>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</si>
  <si>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</si>
  <si>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</si>
  <si>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</si>
  <si>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</si>
  <si>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</si>
  <si>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</si>
  <si>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</si>
  <si>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</si>
  <si>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</si>
  <si>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</si>
  <si>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</si>
  <si>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</si>
  <si>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</si>
  <si>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</si>
  <si>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</si>
  <si>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</si>
  <si>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</si>
  <si>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</si>
  <si>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</si>
  <si>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</si>
  <si>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</si>
  <si>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</si>
  <si>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</si>
  <si>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</si>
  <si>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</si>
  <si>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</si>
  <si>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</si>
  <si>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</si>
  <si>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</si>
  <si>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</si>
  <si>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</si>
  <si>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</si>
  <si>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</si>
  <si>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</si>
  <si>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</si>
  <si>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</si>
  <si>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</si>
  <si>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</si>
  <si>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</si>
  <si>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</si>
  <si>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</si>
  <si>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</si>
  <si>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</si>
  <si>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</si>
  <si>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</si>
  <si>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</si>
  <si>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</si>
  <si>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</si>
  <si>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</si>
  <si>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</si>
  <si>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</si>
  <si>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</si>
  <si>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</si>
  <si>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</si>
  <si>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</si>
  <si>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</si>
  <si>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</si>
  <si>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</si>
  <si>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</si>
  <si>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</si>
  <si>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</si>
  <si>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</si>
  <si>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</si>
  <si>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</si>
  <si>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</si>
  <si>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</si>
  <si>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</si>
  <si>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</si>
  <si>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</si>
  <si>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</si>
  <si>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</si>
  <si>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</si>
  <si>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</si>
  <si>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</si>
  <si>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</si>
  <si>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</si>
  <si>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</si>
  <si>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</si>
  <si>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</si>
  <si>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</si>
  <si>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</si>
  <si>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</si>
  <si>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</si>
  <si>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</si>
  <si>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</si>
  <si>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</si>
  <si>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</si>
  <si>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</si>
  <si>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</si>
  <si>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</si>
  <si>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</si>
  <si>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</si>
  <si>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</si>
  <si>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</si>
  <si>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</si>
  <si>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</si>
  <si>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</si>
  <si>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</si>
  <si>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</si>
  <si>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郑燚</t>
  </si>
  <si>
    <t>王鹏</t>
  </si>
  <si>
    <t>地块名称</t>
    <phoneticPr fontId="4" type="noConversion"/>
  </si>
  <si>
    <t>城市</t>
  </si>
  <si>
    <t>用地性质</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</si>
  <si>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</si>
  <si>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</si>
  <si>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</si>
  <si>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</si>
  <si>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</si>
  <si>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</si>
  <si>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</si>
  <si>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</si>
  <si>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</si>
  <si>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</si>
  <si>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</si>
  <si>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</si>
  <si>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</si>
  <si>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推出楼面价(除保障房)(元/㎡)</t>
  </si>
  <si>
    <t>溢价率</t>
  </si>
  <si>
    <t>出让年限</t>
  </si>
  <si>
    <t>松江区车墩镇SJC10027单元30-01号动迁安置房地块</t>
  </si>
  <si>
    <t>上海市</t>
  </si>
  <si>
    <t>住宅用地</t>
  </si>
  <si>
    <t>东至:松盐路,南至:鼎鸿路,西至:跨塘路,北至:乐弘路</t>
  </si>
  <si>
    <t>挂牌</t>
  </si>
  <si>
    <t>动迁安置房</t>
  </si>
  <si>
    <t>2018-04-12</t>
  </si>
  <si>
    <t>沪告字(2018)第033号</t>
  </si>
  <si>
    <t>上海城东投资开发有限公司</t>
  </si>
  <si>
    <t>松江区中山街道SJC10032单元10-07号地块</t>
  </si>
  <si>
    <t>东至:中创路,南至:空地,西至:新开河,北至:施园路</t>
  </si>
  <si>
    <t>租赁住房</t>
  </si>
  <si>
    <t>2018-03-21</t>
  </si>
  <si>
    <t>沪告字(2018)第019号</t>
  </si>
  <si>
    <t>上海中建东孚投资发展有限公司</t>
  </si>
  <si>
    <t>松江区工业区SJC10024单元09-10号地块</t>
  </si>
  <si>
    <t>东至:09-11号,南至:书林路,西至:晨星菜场,北至:九号河</t>
  </si>
  <si>
    <t>2018-01-16</t>
  </si>
  <si>
    <t>沪告字(2017)第168号</t>
  </si>
  <si>
    <t>上海新松江置业(集团)有限公司</t>
  </si>
  <si>
    <t>松江区永丰街道类集建区03-01号动迁安置房(调整)</t>
  </si>
  <si>
    <t>东至:花松路,南至:河道,西至:空地,北至:花园二路</t>
  </si>
  <si>
    <t>2017-12-28</t>
  </si>
  <si>
    <t>沪告字(2017)第158号</t>
  </si>
  <si>
    <t>上海大运置业有限公司</t>
  </si>
  <si>
    <t>松江区永丰街道类集建区02-01号动迁安置房</t>
  </si>
  <si>
    <t>东至:空地,南至:松吉园路,西至:空地,北至:空地</t>
  </si>
  <si>
    <t>松江区车墩镇南站大型居住社区C18-24-01号地块</t>
  </si>
  <si>
    <t>东至:百雀寺路,南至:旗亭路,西至:米市渡路,北至:茶坛路</t>
  </si>
  <si>
    <t>2017-12-20</t>
  </si>
  <si>
    <t>沪告字(2017)第151号</t>
  </si>
  <si>
    <t>上海金外滩(集团)发展有限公司</t>
  </si>
  <si>
    <t>松江区车墩镇松江南站大型居住社区C19-13-02号地块</t>
  </si>
  <si>
    <t>东至:望塔路,南至:车阳路,西至:松卫北路,北至:联梅路</t>
  </si>
  <si>
    <t>2017-12-19</t>
  </si>
  <si>
    <t>沪告字(2017)第150号</t>
  </si>
  <si>
    <t>上海丽华投资发展有限公司</t>
  </si>
  <si>
    <t>松江区新桥镇陈春路一号C-2地块</t>
  </si>
  <si>
    <t>东至:规划道路,南至:河道,西至:规划道路,北至:河道</t>
  </si>
  <si>
    <t>招标</t>
  </si>
  <si>
    <t>居住用地</t>
  </si>
  <si>
    <t>2017-11-28</t>
  </si>
  <si>
    <t>沪告字(2017)第121号</t>
  </si>
  <si>
    <t>太仓市金栎商务咨询有限公司(金地)</t>
  </si>
  <si>
    <t>松江区永丰街道H单元32-01号地块</t>
  </si>
  <si>
    <t>东至:石桥港,南至:花园路,西至:李松路,北至:化工路</t>
  </si>
  <si>
    <t>绿城房地产集团有限公司</t>
  </si>
  <si>
    <t>松江区车墩镇南站大型居住社区C18-37-04号地块</t>
  </si>
  <si>
    <t>东至:洞泾港,南至:旗亭路,西至:大官塘路,北至:三官绍塘横河</t>
  </si>
  <si>
    <t>2017-11-21</t>
  </si>
  <si>
    <t>沪告字(2017)第135号</t>
  </si>
  <si>
    <t>上海华瑭置业有限公司</t>
  </si>
  <si>
    <t>松江区车墩镇南站大型居住社区车墩C19-22-06号动迁安置房地块</t>
  </si>
  <si>
    <t>东至:欣浪路,南至:白联梅路,西至:南乐路,北至:泖亭路</t>
  </si>
  <si>
    <t>上海松联置业有限公司</t>
  </si>
  <si>
    <t>松江区车墩镇南站大型居住社区C19-16-02号地块</t>
  </si>
  <si>
    <t>东至:望塔路,南至:茶亭路,西至:松卫北路,北至:车阳路</t>
  </si>
  <si>
    <t>上海科墨置业发展有限公司</t>
  </si>
  <si>
    <t>松江区中山街道SJC10010单元45-04号地块</t>
  </si>
  <si>
    <t>东至:茸树路,南至:五昆路,西至:茸兴路,北至:45-03号地块</t>
  </si>
  <si>
    <t>2017-11-17</t>
  </si>
  <si>
    <t>中国建筑第八工程局有限公司</t>
  </si>
  <si>
    <t>松江区岳阳街道SJC10012单元28A-06A号动迁安置地块</t>
  </si>
  <si>
    <t>东至:人民南路,南至:人民河,西至:平安小区,北至:松汇中路</t>
  </si>
  <si>
    <t>2017-09-25</t>
  </si>
  <si>
    <t>沪告字(2017)第110号</t>
  </si>
  <si>
    <t>松江区叶榭镇中心区集镇西区B-2号动迁安置房地块</t>
  </si>
  <si>
    <t>东至:G15沈海高速,南至:叶政路,西至:叶旺路,北至:叶新公路</t>
  </si>
  <si>
    <t>2017-07-25</t>
  </si>
  <si>
    <t>沪告字(2017)第071号-1</t>
  </si>
  <si>
    <t>上海欣叶建设有限公司</t>
  </si>
  <si>
    <t>松江区泖港镇中南路6号动迁安置房地块</t>
  </si>
  <si>
    <t>东至:中南路,南至:新旭路延伸段,西至:中兴路,北至:中心河</t>
  </si>
  <si>
    <t>2017-07-18</t>
  </si>
  <si>
    <t>沪告字(2017)第068号</t>
  </si>
  <si>
    <t>上海港强房地产开发有限公司</t>
  </si>
  <si>
    <t>松江区佘山镇G7SJ0002单元E街坊05-05号动迁安置房地块</t>
  </si>
  <si>
    <t>东至:居住小区,南至:佘山天文台,西至:河道,北至:秋潭路</t>
  </si>
  <si>
    <t>2017-07-10</t>
  </si>
  <si>
    <t>沪告字(2017)第064号</t>
  </si>
  <si>
    <t>上海佘山集镇建设开发有限公司</t>
  </si>
  <si>
    <t>松江区佘山镇G7SJ0002单元E街坊05-02号动迁安置房地块</t>
  </si>
  <si>
    <t>东至:河道,南至:官塘河,西至:龙泉山路,北至:秋潭路</t>
  </si>
  <si>
    <t>松江区中山街道光星路2号动迁安置房地块</t>
  </si>
  <si>
    <t>东至:中山街道地段医院,南至:沪松公路,西至:光星支路,北至:49-02-A地块</t>
  </si>
  <si>
    <t>2017-07-03</t>
  </si>
  <si>
    <t>沪告字(2017)第059号</t>
  </si>
  <si>
    <t>上海泉山房地产开发有限公司</t>
  </si>
  <si>
    <t>松江区泗泾镇南拓展大型居住社区25-01号地块</t>
  </si>
  <si>
    <t>东至:河道,南至:河道,西至:横港路,北至:古楼路</t>
  </si>
  <si>
    <t>2017-06-16</t>
  </si>
  <si>
    <t>沪告字(2017)第051号</t>
  </si>
  <si>
    <t>上海会源置业有限公司</t>
  </si>
  <si>
    <t>松江区小昆山镇SJS40001单元17-02号地块</t>
  </si>
  <si>
    <t>东至:昆水街,南至:文南路,西至:中德路,北至:文翔路</t>
  </si>
  <si>
    <t>2017-03-29</t>
  </si>
  <si>
    <t>沪告字(2016)第155号-1</t>
  </si>
  <si>
    <t>中海地产集团有限公司</t>
  </si>
  <si>
    <t>70年</t>
  </si>
  <si>
    <t>松江区小昆山镇SJS40001单元20-01号地块</t>
  </si>
  <si>
    <t>东至:昆港河,南至:崇南路,西至:昆水街,北至:文南路</t>
  </si>
  <si>
    <t>沪告字(2016)第155号-2</t>
  </si>
  <si>
    <t>松江区小昆山镇SJS40001单元18-01号地块</t>
  </si>
  <si>
    <t>东至:昆水街,南至:崇南路,西至:中德路,北至:文南路</t>
  </si>
  <si>
    <t>沪告字(2016)第156号-1</t>
  </si>
  <si>
    <t>松江区车墩镇南站大型居住社区车墩C19-10-04号地块</t>
  </si>
  <si>
    <t>东至:望塔路,南至:白联梅路,西至:松卫北路,北至:泖亭路</t>
  </si>
  <si>
    <t>2016-12-29</t>
  </si>
  <si>
    <t>沪告字(2016)第147号</t>
  </si>
  <si>
    <t>上海菀丽华置业有限公司</t>
  </si>
  <si>
    <t>20年</t>
  </si>
  <si>
    <t>松江区车墩镇南站大型居住社区C19-12-04号地块</t>
  </si>
  <si>
    <t>东至:南乐路,南至:联梅路,西至:荣福路,北至:泖亭路</t>
  </si>
  <si>
    <t>上海欣台置业有限公司</t>
  </si>
  <si>
    <t>松江区车墩镇南站大型居住社区车墩C19-14-01号地块</t>
  </si>
  <si>
    <t>东至:C19-14-02、C19-14-03地块,南至:车阳路,西至:望塔路,北至:联梅路</t>
  </si>
  <si>
    <t>松江区车墩镇南站大型居住社区C18-43-01号地块</t>
  </si>
  <si>
    <t>东至:洞泾港,南至:沈家村河,西至:空地,北至:银圩路</t>
  </si>
  <si>
    <t>2016-11-30</t>
  </si>
  <si>
    <t>沪告字(2016)第124号</t>
  </si>
  <si>
    <t>农工商房地产集团上海汇德置业有限公司</t>
  </si>
  <si>
    <t>松江区佘山镇佘山北大型居住社区14A-03A号</t>
  </si>
  <si>
    <t>东至:中心河,南至:北横河,西至:经五路,北至:九千泾河</t>
  </si>
  <si>
    <t>2016-11-14</t>
  </si>
  <si>
    <t>沪告字(2016)第108号</t>
  </si>
  <si>
    <t>上海永予置业有限公司</t>
  </si>
  <si>
    <t>松江区车墩镇南站大型居住社区C18-36-01号地块</t>
  </si>
  <si>
    <t>东至:官塘路,南至:空地,西至:漕粮路,北至:茶坛路</t>
  </si>
  <si>
    <t>2016-08-31</t>
  </si>
  <si>
    <t>沪告字(2016)第083号-1</t>
  </si>
  <si>
    <t>松江区小昆山镇SJS40001单元23-01、24-01号地块</t>
  </si>
  <si>
    <t>综合用地(含住宅)</t>
  </si>
  <si>
    <t>东至:昆港公路,南至:面丈港,西至:鹤溪街,北至:文南路</t>
  </si>
  <si>
    <t>小昆山镇SJS40001单元24-01号地块:居住用地,小昆山镇SJS40001单元23-01号地块:商业用地</t>
  </si>
  <si>
    <t>小昆山镇sjs40001单元24-01号地块:*1.5;小昆山镇sjs40001单元23-01号地块:*2.0</t>
  </si>
  <si>
    <t>2016-08-24</t>
  </si>
  <si>
    <t>沪告字(2016)第070号</t>
  </si>
  <si>
    <t>上海隽业房地产开发有限公司、上海鸿麦房地产有限公司</t>
  </si>
  <si>
    <t>商业40年、住宅70年</t>
  </si>
  <si>
    <t>松江区车墩镇南站大型居住社区C18-34-01号地块</t>
  </si>
  <si>
    <t>东至:漕粮路,南至:旗亭路,西至:白粮路,北至:茶坛路</t>
  </si>
  <si>
    <t>2016-08-22</t>
  </si>
  <si>
    <t>沪告字(2016)第083号-2</t>
  </si>
  <si>
    <t>上海中建嘉耕房地产开发有限公司</t>
  </si>
  <si>
    <t>上海市松江区方松街道新城主城B单元B06-06号地块</t>
  </si>
  <si>
    <t>东至:龙马路,南至:广富林路,西至:河道,北至:银泽路</t>
  </si>
  <si>
    <t>2016-07-01</t>
  </si>
  <si>
    <t>沪告字(2016)第039号</t>
  </si>
  <si>
    <t>合景泰富</t>
  </si>
  <si>
    <t>松江区中山街道SJC10014单元02A-02A号地块(“城中村”改造项目-沪松公路50弄)</t>
  </si>
  <si>
    <t>东至:绿地博顿广场,南至:育新河,西至:沪松公路,北至:荣乐东路</t>
  </si>
  <si>
    <t>2016-05-16</t>
  </si>
  <si>
    <t>沪告字(2016)第31号</t>
  </si>
  <si>
    <t>上海育新置业有限公司</t>
  </si>
  <si>
    <t>松江区泗泾镇SJSB0003单元10-05号地块</t>
  </si>
  <si>
    <t>东至:横港路,南至:规划道路,西至:外婆泾河,北至:规划道路</t>
  </si>
  <si>
    <t>2016-05-11</t>
  </si>
  <si>
    <t>沪告字(2016)第23号</t>
  </si>
  <si>
    <t>珠海格力房产有限公司、格力地产(香港)有限公司</t>
  </si>
  <si>
    <t>松江区泗泾镇SJSB0003单元12-01号地块</t>
  </si>
  <si>
    <t>东至:横港路,南至:规划路,西至:规划路,北至:规划道路</t>
  </si>
  <si>
    <t>上海家瑞投资有限公司</t>
  </si>
  <si>
    <t>松江区小昆山镇SJS40001单元21-06号地块</t>
  </si>
  <si>
    <t>东至:鹤溪街,南至:面丈港河,西至:昆冈河,北至:崇南路</t>
  </si>
  <si>
    <t>2016-03-24</t>
  </si>
  <si>
    <t>沪告字(2016)第010号-2</t>
  </si>
  <si>
    <t>上海隽翔房地产开发有限公司,上海隽元房地产开发有限公司,上海鸿麦房地产有限公司</t>
  </si>
  <si>
    <t>松江区车墩镇南站大型居住社区C18-28-01号地块</t>
  </si>
  <si>
    <t>东至:百雀寺路,南至:银圩路,西至:米市渡路,北至:旗亭路</t>
  </si>
  <si>
    <t>2016-01-20</t>
  </si>
  <si>
    <t>沪告字(2015)第157号-2</t>
  </si>
  <si>
    <t>上海松江新城投资建设有限公司</t>
  </si>
  <si>
    <t>松江区车墩镇南站大型居住社区C19-09-02号动迁安置房</t>
  </si>
  <si>
    <t>东至:河道南至:泖亭路,西至:华长路,北至:农田</t>
  </si>
  <si>
    <t>沪告字(2015)第157号-1</t>
  </si>
  <si>
    <t>上海车兴房地产开发建设有限公司</t>
  </si>
  <si>
    <t>松江区新桥镇陈春路一号B-1/B-2号地块</t>
  </si>
  <si>
    <t>东至:河道,南至:申浜路,西至:明兴路,北至:河道</t>
  </si>
  <si>
    <t>2015-12-24</t>
  </si>
  <si>
    <t>沪告字(2015)第137号-4</t>
  </si>
  <si>
    <t>深圳市新威标远投资有限公司</t>
  </si>
  <si>
    <t>松江区九亭镇安置小区01-04/02-04号动迁安置房地块</t>
  </si>
  <si>
    <t>东至:规划道路,南至:规划道路,西至:沪亭南路,北至:八千沟河</t>
  </si>
  <si>
    <t>01-04子地块:1.8;02-04子地块:1.7</t>
  </si>
  <si>
    <t>2015-12-17</t>
  </si>
  <si>
    <t>沪告字(2015)第140号-3</t>
  </si>
  <si>
    <t>上海城投置地(集团)有限公司</t>
  </si>
  <si>
    <t>松江区新浜镇SJS80001单元02-10号动迁安置房地块</t>
  </si>
  <si>
    <t>东至:河道,南至:规划四路,西至:02-07、02-15地块,北至:叶新公路</t>
  </si>
  <si>
    <t>沪告字(2015)第140号-2</t>
  </si>
  <si>
    <t>上海新芃房地产开发有限公司</t>
  </si>
  <si>
    <t>松江区车墩镇南站大型居住社区C18-22-06号动迁安置房地块</t>
  </si>
  <si>
    <t>东至:百雀寺路,南至:茶坛路,西至:白苧路,北至:官绍塘</t>
  </si>
  <si>
    <t>沪告字(2015)第140号-1</t>
  </si>
  <si>
    <t>松江区佘山镇佘山北大型居住社区28A-01A号地块</t>
  </si>
  <si>
    <t>东至:经六路,南至:勋业路,西至:经七路,北至:纬三路</t>
  </si>
  <si>
    <t>2015-12-07</t>
  </si>
  <si>
    <t>沪告字(2015)第136号-2</t>
  </si>
  <si>
    <t>上海士宸置业有限公司</t>
  </si>
  <si>
    <t>松江区佘山镇佘山北大型居住社区13A-04A号地块</t>
  </si>
  <si>
    <t>东至:经五路,南至:空地,西至:空地,北至:九千泾河</t>
  </si>
  <si>
    <t>沪告字(2015)第136号-1</t>
  </si>
  <si>
    <t>松江区佘山镇佘山北大型居住社区19A-08A号地块</t>
  </si>
  <si>
    <t>东至:空地,南至:北横河,西至:经三路,北至:空地</t>
  </si>
  <si>
    <t>沪告字(2015)第136号-3</t>
  </si>
  <si>
    <t>农工商房地产(集团)有限公司</t>
  </si>
  <si>
    <t>松江区佘山镇佘山北大型居住社区05A-01A号地块</t>
  </si>
  <si>
    <t>东至:中心河,南至:业煌路,西至:经五路,北至:纬一路</t>
  </si>
  <si>
    <t>沪告字(2015)第136号-5</t>
  </si>
  <si>
    <t>松江区佘山镇佘山北大型居住社区30A-02A号地块</t>
  </si>
  <si>
    <t>东至:经五路,南至:纬三路,西至:赵巷路,北至:士衡路</t>
  </si>
  <si>
    <t>沪告字(2015)第136号-4</t>
  </si>
  <si>
    <t>松江区佘山镇佘山北大型居住社区02A-01A号地块</t>
  </si>
  <si>
    <t>东至:西竖河,南至:业煌路,西至:经六路,北至:纬一路</t>
  </si>
  <si>
    <t>2015-12-03</t>
  </si>
  <si>
    <t>沪告字(2015)第134号-8</t>
  </si>
  <si>
    <t>上海华津房地产开发有限公司</t>
  </si>
  <si>
    <t>松江区车墩镇南站大型居住社区C18-40-05号地块</t>
  </si>
  <si>
    <t>东至:白粮路,南至:沈家村河,西至:一号河,北至:银圩路</t>
  </si>
  <si>
    <t>沪告字(2015)第134号-4</t>
  </si>
  <si>
    <t>松江区佘山镇佘山北大型居住社区04A-01A号地块</t>
  </si>
  <si>
    <t>东至:经五路,南至:业煌路,西至:赵巷路,北至:纬一路</t>
  </si>
  <si>
    <t>沪告字(2015)第134号-6</t>
  </si>
  <si>
    <t>正常</t>
  </si>
  <si>
    <t>70</t>
    <phoneticPr fontId="32" type="noConversion"/>
  </si>
  <si>
    <t>70</t>
    <phoneticPr fontId="32" type="noConversion"/>
  </si>
  <si>
    <t>上海监测指标情况一览表</t>
  </si>
  <si>
    <t>时间</t>
  </si>
  <si>
    <t>水平值</t>
  </si>
  <si>
    <t>环比增长率</t>
  </si>
  <si>
    <t>指数</t>
  </si>
  <si>
    <t>较规则</t>
  </si>
  <si>
    <t>较规则</t>
    <phoneticPr fontId="32" type="noConversion"/>
  </si>
  <si>
    <t>六通一平</t>
  </si>
  <si>
    <t>六通一平</t>
    <phoneticPr fontId="32" type="noConversion"/>
  </si>
  <si>
    <t>五通一平</t>
    <phoneticPr fontId="32" type="noConversion"/>
  </si>
  <si>
    <t>四通一平</t>
    <phoneticPr fontId="32" type="noConversion"/>
  </si>
  <si>
    <t>三通一平</t>
    <phoneticPr fontId="32" type="noConversion"/>
  </si>
  <si>
    <t>较好</t>
  </si>
  <si>
    <t>较好</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</si>
  <si>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</si>
  <si>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</si>
  <si>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</si>
  <si>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</si>
  <si>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</si>
  <si>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一般</t>
  </si>
  <si>
    <t>六通</t>
  </si>
  <si>
    <r>
      <rPr>
        <sz val="11"/>
        <rFont val="宋体"/>
        <family val="3"/>
        <charset val="134"/>
      </rPr>
      <t>中小型住宅</t>
    </r>
    <r>
      <rPr>
        <sz val="11"/>
        <rFont val="Arial"/>
        <family val="2"/>
      </rPr>
      <t>80%</t>
    </r>
    <r>
      <rPr>
        <sz val="11"/>
        <rFont val="宋体"/>
        <family val="3"/>
        <charset val="134"/>
      </rPr>
      <t>；净地</t>
    </r>
    <phoneticPr fontId="32" type="noConversion"/>
  </si>
  <si>
    <r>
      <rPr>
        <sz val="11"/>
        <rFont val="宋体"/>
        <family val="3"/>
        <charset val="134"/>
      </rPr>
      <t>中小型住宅</t>
    </r>
    <r>
      <rPr>
        <sz val="11"/>
        <rFont val="Arial"/>
        <family val="2"/>
      </rPr>
      <t>60%</t>
    </r>
    <r>
      <rPr>
        <sz val="11"/>
        <rFont val="宋体"/>
        <family val="3"/>
        <charset val="134"/>
      </rPr>
      <t>；净地</t>
    </r>
    <phoneticPr fontId="32" type="noConversion"/>
  </si>
  <si>
    <r>
      <rPr>
        <sz val="11"/>
        <rFont val="宋体"/>
        <family val="3"/>
        <charset val="134"/>
      </rPr>
      <t>无偿保障性住房</t>
    </r>
    <r>
      <rPr>
        <sz val="11"/>
        <rFont val="Arial"/>
        <family val="2"/>
      </rPr>
      <t>5%</t>
    </r>
    <r>
      <rPr>
        <sz val="11"/>
        <rFont val="宋体"/>
        <family val="3"/>
        <charset val="134"/>
      </rPr>
      <t>、</t>
    </r>
    <r>
      <rPr>
        <sz val="11"/>
        <rFont val="Arial"/>
        <family val="2"/>
      </rPr>
      <t>6059.19</t>
    </r>
    <phoneticPr fontId="32" type="noConversion"/>
  </si>
  <si>
    <r>
      <rPr>
        <sz val="11"/>
        <rFont val="宋体"/>
        <family val="3"/>
        <charset val="134"/>
      </rPr>
      <t>无偿保障性住房</t>
    </r>
    <r>
      <rPr>
        <sz val="11"/>
        <rFont val="Arial"/>
        <family val="2"/>
      </rPr>
      <t>5%</t>
    </r>
    <r>
      <rPr>
        <sz val="11"/>
        <rFont val="宋体"/>
        <family val="3"/>
        <charset val="134"/>
      </rPr>
      <t>、</t>
    </r>
    <r>
      <rPr>
        <sz val="11"/>
        <rFont val="Arial"/>
        <family val="2"/>
      </rPr>
      <t>2607.85</t>
    </r>
    <phoneticPr fontId="32" type="noConversion"/>
  </si>
  <si>
    <r>
      <rPr>
        <sz val="11"/>
        <rFont val="宋体"/>
        <family val="3"/>
        <charset val="134"/>
      </rPr>
      <t>无偿保障性住房</t>
    </r>
    <r>
      <rPr>
        <sz val="11"/>
        <rFont val="Arial"/>
        <family val="2"/>
      </rPr>
      <t>5%</t>
    </r>
    <r>
      <rPr>
        <sz val="11"/>
        <rFont val="宋体"/>
        <family val="3"/>
        <charset val="134"/>
      </rPr>
      <t>、</t>
    </r>
    <r>
      <rPr>
        <sz val="11"/>
        <rFont val="Arial"/>
        <family val="2"/>
      </rPr>
      <t>3342.22</t>
    </r>
    <phoneticPr fontId="32" type="noConversion"/>
  </si>
  <si>
    <t>地上</t>
  </si>
  <si>
    <t>住宅</t>
  </si>
  <si>
    <t>是</t>
  </si>
  <si>
    <t>出让</t>
  </si>
  <si>
    <t>企业</t>
  </si>
  <si>
    <t>其他：</t>
  </si>
  <si>
    <t>中诚信托有限责任公司</t>
    <phoneticPr fontId="7" type="noConversion"/>
  </si>
  <si>
    <t>上海融创天衡置业有限公司</t>
    <phoneticPr fontId="7" type="noConversion"/>
  </si>
  <si>
    <t>抵押</t>
  </si>
  <si>
    <t>房地产抵押价值</t>
  </si>
  <si>
    <t>上海市</t>
    <phoneticPr fontId="7" type="noConversion"/>
  </si>
  <si>
    <t>住宅、地下车库</t>
    <phoneticPr fontId="7" type="noConversion"/>
  </si>
  <si>
    <r>
      <rPr>
        <sz val="12"/>
        <color theme="9" tint="-0.249977111117893"/>
        <rFont val="宋体"/>
        <family val="3"/>
        <charset val="134"/>
      </rPr>
      <t>住宅</t>
    </r>
    <r>
      <rPr>
        <sz val="12"/>
        <color theme="9" tint="-0.249977111117893"/>
        <rFont val="Arial"/>
        <family val="2"/>
      </rPr>
      <t>68</t>
    </r>
    <r>
      <rPr>
        <sz val="12"/>
        <color theme="9" tint="-0.249977111117893"/>
        <rFont val="宋体"/>
        <family val="3"/>
        <charset val="134"/>
      </rPr>
      <t>年、地下车库</t>
    </r>
    <r>
      <rPr>
        <sz val="12"/>
        <color theme="9" tint="-0.249977111117893"/>
        <rFont val="Arial"/>
        <family val="2"/>
      </rPr>
      <t>48</t>
    </r>
    <r>
      <rPr>
        <sz val="12"/>
        <color theme="9" tint="-0.249977111117893"/>
        <rFont val="宋体"/>
        <family val="3"/>
        <charset val="134"/>
      </rPr>
      <t>年</t>
    </r>
    <phoneticPr fontId="7"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</si>
  <si>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沪松建（</t>
    </r>
    <r>
      <rPr>
        <sz val="12"/>
        <color theme="9" tint="-0.249977111117893"/>
        <rFont val="Arial"/>
        <family val="2"/>
      </rPr>
      <t>2017</t>
    </r>
    <r>
      <rPr>
        <sz val="12"/>
        <color theme="9" tint="-0.249977111117893"/>
        <rFont val="宋体"/>
        <family val="3"/>
        <charset val="134"/>
      </rPr>
      <t>）</t>
    </r>
    <r>
      <rPr>
        <sz val="12"/>
        <color theme="9" tint="-0.249977111117893"/>
        <rFont val="Arial"/>
        <family val="2"/>
      </rPr>
      <t>FA31011720174170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</si>
  <si>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沪房地松字（</t>
    </r>
    <r>
      <rPr>
        <sz val="12"/>
        <color theme="9" tint="-0.249977111117893"/>
        <rFont val="Arial"/>
        <family val="2"/>
      </rPr>
      <t>2016</t>
    </r>
    <r>
      <rPr>
        <sz val="12"/>
        <color theme="9" tint="-0.249977111117893"/>
        <rFont val="宋体"/>
        <family val="3"/>
        <charset val="134"/>
      </rPr>
      <t>）第</t>
    </r>
    <r>
      <rPr>
        <sz val="12"/>
        <color theme="9" tint="-0.249977111117893"/>
        <rFont val="Arial"/>
        <family val="2"/>
      </rPr>
      <t>043248</t>
    </r>
    <r>
      <rPr>
        <sz val="12"/>
        <color theme="9" tint="-0.249977111117893"/>
        <rFont val="宋体"/>
        <family val="3"/>
        <charset val="134"/>
      </rPr>
      <t>号</t>
    </r>
    <r>
      <rPr>
        <sz val="12"/>
        <color theme="9" tint="-0.249977111117893"/>
        <rFont val="Arial"/>
        <family val="2"/>
      </rPr>
      <t>]</t>
    </r>
    <phoneticPr fontId="7" type="noConversion"/>
  </si>
  <si>
    <t>否</t>
  </si>
  <si>
    <t>居住项目</t>
  </si>
  <si>
    <r>
      <rPr>
        <sz val="12"/>
        <color theme="9" tint="-0.249977111117893"/>
        <rFont val="宋体"/>
        <family val="3"/>
        <charset val="134"/>
      </rPr>
      <t>松江区泗泾镇</t>
    </r>
    <r>
      <rPr>
        <sz val="12"/>
        <color theme="9" tint="-0.249977111117893"/>
        <rFont val="Arial"/>
        <family val="2"/>
      </rPr>
      <t>7</t>
    </r>
    <r>
      <rPr>
        <sz val="12"/>
        <color theme="9" tint="-0.249977111117893"/>
        <rFont val="宋体"/>
        <family val="3"/>
        <charset val="134"/>
      </rPr>
      <t>街坊</t>
    </r>
    <r>
      <rPr>
        <sz val="12"/>
        <color theme="9" tint="-0.249977111117893"/>
        <rFont val="Arial"/>
        <family val="2"/>
      </rPr>
      <t>4/20</t>
    </r>
    <r>
      <rPr>
        <sz val="12"/>
        <color theme="9" tint="-0.249977111117893"/>
        <rFont val="宋体"/>
        <family val="3"/>
        <charset val="134"/>
      </rPr>
      <t>丘“融创壹号府”居住项目</t>
    </r>
    <phoneticPr fontId="7" type="noConversion"/>
  </si>
  <si>
    <t>在建</t>
  </si>
  <si>
    <t>通路</t>
  </si>
  <si>
    <t>通电</t>
  </si>
  <si>
    <t>通讯</t>
  </si>
  <si>
    <t>通上水</t>
  </si>
  <si>
    <t>通下水</t>
  </si>
  <si>
    <t>燃气</t>
  </si>
  <si>
    <t xml:space="preserve">金地自在城玺湾 </t>
    <phoneticPr fontId="4" type="noConversion"/>
  </si>
  <si>
    <t>泗宝路泗通路路口</t>
    <phoneticPr fontId="4" type="noConversion"/>
  </si>
  <si>
    <t xml:space="preserve"> 国贸天悦二期（备案名：佘北家园悦山庭）</t>
    <phoneticPr fontId="4" type="noConversion"/>
  </si>
  <si>
    <t>勋业东路188弄（沉塔路勋业路交汇处）</t>
    <phoneticPr fontId="4" type="noConversion"/>
  </si>
  <si>
    <t>信达蓝尊（别名：信达仁泰苑）</t>
    <phoneticPr fontId="4" type="noConversion"/>
  </si>
  <si>
    <t>长水街277弄</t>
    <phoneticPr fontId="4" type="noConversion"/>
  </si>
  <si>
    <t>住宅</t>
    <phoneticPr fontId="26" type="noConversion"/>
  </si>
  <si>
    <t>60-70（含）</t>
  </si>
  <si>
    <t>精装修</t>
  </si>
  <si>
    <t>精装修</t>
    <phoneticPr fontId="26" type="noConversion"/>
  </si>
  <si>
    <t>毛坯</t>
    <phoneticPr fontId="26" type="noConversion"/>
  </si>
  <si>
    <t>平层</t>
  </si>
  <si>
    <t>平层</t>
    <phoneticPr fontId="26" type="noConversion"/>
  </si>
  <si>
    <t>六通</t>
    <phoneticPr fontId="26" type="noConversion"/>
  </si>
  <si>
    <t>专业</t>
  </si>
  <si>
    <t>专业</t>
    <phoneticPr fontId="26" type="noConversion"/>
  </si>
  <si>
    <t>中档</t>
  </si>
  <si>
    <t>钢混</t>
  </si>
  <si>
    <t>钢混</t>
    <phoneticPr fontId="26" type="noConversion"/>
  </si>
  <si>
    <t>小高层</t>
  </si>
  <si>
    <t>小高层</t>
    <phoneticPr fontId="26" type="noConversion"/>
  </si>
  <si>
    <t>高层</t>
  </si>
  <si>
    <t>高层</t>
    <phoneticPr fontId="26" type="noConversion"/>
  </si>
  <si>
    <r>
      <rPr>
        <sz val="11"/>
        <color indexed="8"/>
        <rFont val="宋体"/>
        <family val="3"/>
        <charset val="134"/>
      </rPr>
      <t>装修</t>
    </r>
    <r>
      <rPr>
        <sz val="11"/>
        <color indexed="8"/>
        <rFont val="Arial"/>
        <family val="2"/>
      </rPr>
      <t>2500</t>
    </r>
    <r>
      <rPr>
        <sz val="11"/>
        <color indexed="8"/>
        <rFont val="宋体"/>
        <family val="3"/>
        <charset val="134"/>
      </rPr>
      <t>，</t>
    </r>
    <r>
      <rPr>
        <sz val="11"/>
        <color indexed="8"/>
        <rFont val="Arial"/>
        <family val="2"/>
      </rPr>
      <t>14-18</t>
    </r>
    <r>
      <rPr>
        <sz val="11"/>
        <color indexed="8"/>
        <rFont val="宋体"/>
        <family val="3"/>
        <charset val="134"/>
      </rPr>
      <t>层</t>
    </r>
    <phoneticPr fontId="26" type="noConversion"/>
  </si>
  <si>
    <r>
      <rPr>
        <sz val="11"/>
        <color indexed="8"/>
        <rFont val="宋体"/>
        <family val="3"/>
        <charset val="134"/>
      </rPr>
      <t>装修</t>
    </r>
    <r>
      <rPr>
        <sz val="11"/>
        <color indexed="8"/>
        <rFont val="Arial"/>
        <family val="2"/>
      </rPr>
      <t>5000</t>
    </r>
    <r>
      <rPr>
        <sz val="11"/>
        <color indexed="8"/>
        <rFont val="宋体"/>
        <family val="3"/>
        <charset val="134"/>
      </rPr>
      <t>，</t>
    </r>
    <r>
      <rPr>
        <sz val="11"/>
        <color indexed="8"/>
        <rFont val="Arial"/>
        <family val="2"/>
      </rPr>
      <t>13</t>
    </r>
    <r>
      <rPr>
        <sz val="11"/>
        <color indexed="8"/>
        <rFont val="宋体"/>
        <family val="3"/>
        <charset val="134"/>
      </rPr>
      <t>层</t>
    </r>
    <phoneticPr fontId="26" type="noConversion"/>
  </si>
  <si>
    <r>
      <rPr>
        <sz val="11"/>
        <color indexed="8"/>
        <rFont val="宋体"/>
        <family val="3"/>
        <charset val="134"/>
      </rPr>
      <t>装修</t>
    </r>
    <r>
      <rPr>
        <sz val="11"/>
        <color indexed="8"/>
        <rFont val="Arial"/>
        <family val="2"/>
      </rPr>
      <t>3500-4000</t>
    </r>
    <r>
      <rPr>
        <sz val="11"/>
        <color indexed="8"/>
        <rFont val="宋体"/>
        <family val="3"/>
        <charset val="134"/>
      </rPr>
      <t>，</t>
    </r>
    <r>
      <rPr>
        <sz val="11"/>
        <color indexed="8"/>
        <rFont val="Arial"/>
        <family val="2"/>
      </rPr>
      <t>19</t>
    </r>
    <r>
      <rPr>
        <sz val="11"/>
        <color indexed="8"/>
        <rFont val="宋体"/>
        <family val="3"/>
        <charset val="134"/>
      </rPr>
      <t>层</t>
    </r>
    <phoneticPr fontId="26" type="noConversion"/>
  </si>
  <si>
    <t>在建（套用方法）</t>
  </si>
  <si>
    <t>按租金收入计税</t>
  </si>
  <si>
    <t>非生产用房</t>
  </si>
  <si>
    <r>
      <rPr>
        <sz val="11"/>
        <rFont val="宋体"/>
        <family val="3"/>
        <charset val="134"/>
      </rPr>
      <t>无偿保障性住房</t>
    </r>
    <r>
      <rPr>
        <sz val="11"/>
        <rFont val="Arial"/>
        <family val="2"/>
      </rPr>
      <t>5%</t>
    </r>
    <r>
      <rPr>
        <sz val="11"/>
        <rFont val="宋体"/>
        <family val="3"/>
        <charset val="134"/>
      </rPr>
      <t>、</t>
    </r>
    <r>
      <rPr>
        <sz val="11"/>
        <rFont val="Arial"/>
        <family val="2"/>
      </rPr>
      <t>3923.87</t>
    </r>
    <phoneticPr fontId="32" type="noConversion"/>
  </si>
  <si>
    <t>成本比率</t>
  </si>
  <si>
    <t>成本法</t>
  </si>
  <si>
    <t>非个人房产</t>
  </si>
  <si>
    <t>情况3</t>
  </si>
  <si>
    <t>假设开发法</t>
  </si>
  <si>
    <t>项目全部</t>
  </si>
  <si>
    <t>未包含在土地购买价格中</t>
  </si>
  <si>
    <t>已包含在土地取得成本中</t>
  </si>
  <si>
    <t>较差</t>
  </si>
  <si>
    <t>住宅</t>
    <phoneticPr fontId="144" type="noConversion"/>
  </si>
  <si>
    <t>幢号</t>
    <phoneticPr fontId="144" type="noConversion"/>
  </si>
  <si>
    <t>建筑物名称</t>
    <phoneticPr fontId="144" type="noConversion"/>
  </si>
  <si>
    <t>使用性质</t>
    <phoneticPr fontId="144" type="noConversion"/>
  </si>
  <si>
    <t>层数</t>
    <phoneticPr fontId="144" type="noConversion"/>
  </si>
  <si>
    <t>地上</t>
    <phoneticPr fontId="144" type="noConversion"/>
  </si>
  <si>
    <t>地下</t>
  </si>
  <si>
    <t>地下</t>
    <phoneticPr fontId="144" type="noConversion"/>
  </si>
  <si>
    <t>计容</t>
    <phoneticPr fontId="144" type="noConversion"/>
  </si>
  <si>
    <r>
      <t>1</t>
    </r>
    <r>
      <rPr>
        <sz val="11"/>
        <color theme="1"/>
        <rFont val="宋体"/>
        <family val="3"/>
        <charset val="134"/>
        <scheme val="minor"/>
      </rPr>
      <t>#</t>
    </r>
    <phoneticPr fontId="14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</si>
  <si>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</si>
  <si>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</si>
  <si>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</si>
  <si>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</si>
  <si>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</si>
  <si>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</si>
  <si>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</si>
  <si>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</si>
  <si>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</si>
  <si>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</si>
  <si>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</si>
  <si>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</si>
  <si>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</si>
  <si>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</si>
  <si>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t>24#</t>
    <phoneticPr fontId="144" type="noConversion"/>
  </si>
  <si>
    <r>
      <t>1</t>
    </r>
    <r>
      <rPr>
        <sz val="11"/>
        <color theme="1"/>
        <rFont val="宋体"/>
        <family val="3"/>
        <charset val="134"/>
        <scheme val="minor"/>
      </rPr>
      <t>#楼</t>
    </r>
    <phoneticPr fontId="144" type="noConversion"/>
  </si>
  <si>
    <r>
      <t>2#楼</t>
    </r>
    <r>
      <rPr>
        <sz val="11"/>
        <color theme="1"/>
        <rFont val="宋体"/>
        <family val="3"/>
        <charset val="134"/>
        <scheme val="minor"/>
      </rPr>
      <t/>
    </r>
  </si>
  <si>
    <r>
      <t>3#楼</t>
    </r>
    <r>
      <rPr>
        <sz val="11"/>
        <color theme="1"/>
        <rFont val="宋体"/>
        <family val="3"/>
        <charset val="134"/>
        <scheme val="minor"/>
      </rPr>
      <t/>
    </r>
  </si>
  <si>
    <r>
      <t>4#楼</t>
    </r>
    <r>
      <rPr>
        <sz val="11"/>
        <color theme="1"/>
        <rFont val="宋体"/>
        <family val="3"/>
        <charset val="134"/>
        <scheme val="minor"/>
      </rPr>
      <t/>
    </r>
  </si>
  <si>
    <r>
      <t>5#楼</t>
    </r>
    <r>
      <rPr>
        <sz val="11"/>
        <color theme="1"/>
        <rFont val="宋体"/>
        <family val="3"/>
        <charset val="134"/>
        <scheme val="minor"/>
      </rPr>
      <t/>
    </r>
  </si>
  <si>
    <r>
      <t>6#楼</t>
    </r>
    <r>
      <rPr>
        <sz val="11"/>
        <color theme="1"/>
        <rFont val="宋体"/>
        <family val="3"/>
        <charset val="134"/>
        <scheme val="minor"/>
      </rPr>
      <t/>
    </r>
  </si>
  <si>
    <r>
      <t>7#楼</t>
    </r>
    <r>
      <rPr>
        <sz val="11"/>
        <color theme="1"/>
        <rFont val="宋体"/>
        <family val="3"/>
        <charset val="134"/>
        <scheme val="minor"/>
      </rPr>
      <t/>
    </r>
  </si>
  <si>
    <r>
      <t>8#楼</t>
    </r>
    <r>
      <rPr>
        <sz val="11"/>
        <color theme="1"/>
        <rFont val="宋体"/>
        <family val="3"/>
        <charset val="134"/>
        <scheme val="minor"/>
      </rPr>
      <t/>
    </r>
  </si>
  <si>
    <r>
      <t>9#楼</t>
    </r>
    <r>
      <rPr>
        <sz val="11"/>
        <color theme="1"/>
        <rFont val="宋体"/>
        <family val="3"/>
        <charset val="134"/>
        <scheme val="minor"/>
      </rPr>
      <t/>
    </r>
  </si>
  <si>
    <r>
      <t>10#楼</t>
    </r>
    <r>
      <rPr>
        <sz val="11"/>
        <color theme="1"/>
        <rFont val="宋体"/>
        <family val="3"/>
        <charset val="134"/>
        <scheme val="minor"/>
      </rPr>
      <t/>
    </r>
  </si>
  <si>
    <r>
      <t>11#楼</t>
    </r>
    <r>
      <rPr>
        <sz val="11"/>
        <color theme="1"/>
        <rFont val="宋体"/>
        <family val="3"/>
        <charset val="134"/>
        <scheme val="minor"/>
      </rPr>
      <t/>
    </r>
  </si>
  <si>
    <r>
      <t>12#楼</t>
    </r>
    <r>
      <rPr>
        <sz val="11"/>
        <color theme="1"/>
        <rFont val="宋体"/>
        <family val="3"/>
        <charset val="134"/>
        <scheme val="minor"/>
      </rPr>
      <t/>
    </r>
  </si>
  <si>
    <r>
      <t>13#楼</t>
    </r>
    <r>
      <rPr>
        <sz val="11"/>
        <color theme="1"/>
        <rFont val="宋体"/>
        <family val="3"/>
        <charset val="134"/>
        <scheme val="minor"/>
      </rPr>
      <t/>
    </r>
  </si>
  <si>
    <r>
      <t>14#楼</t>
    </r>
    <r>
      <rPr>
        <sz val="11"/>
        <color theme="1"/>
        <rFont val="宋体"/>
        <family val="3"/>
        <charset val="134"/>
        <scheme val="minor"/>
      </rPr>
      <t/>
    </r>
  </si>
  <si>
    <r>
      <t>15#楼</t>
    </r>
    <r>
      <rPr>
        <sz val="11"/>
        <color theme="1"/>
        <rFont val="宋体"/>
        <family val="3"/>
        <charset val="134"/>
        <scheme val="minor"/>
      </rPr>
      <t/>
    </r>
  </si>
  <si>
    <t>地下车库</t>
    <phoneticPr fontId="144" type="noConversion"/>
  </si>
  <si>
    <t>其他</t>
    <phoneticPr fontId="144" type="noConversion"/>
  </si>
  <si>
    <t>备注</t>
    <phoneticPr fontId="144" type="noConversion"/>
  </si>
  <si>
    <t>保障房</t>
  </si>
  <si>
    <t>保障房</t>
    <phoneticPr fontId="144" type="noConversion"/>
  </si>
  <si>
    <t>车库</t>
  </si>
  <si>
    <t>保障房</t>
    <phoneticPr fontId="8" type="noConversion"/>
  </si>
  <si>
    <t>地下车库</t>
    <phoneticPr fontId="8" type="noConversion"/>
  </si>
  <si>
    <t>省会市名称</t>
  </si>
  <si>
    <t>建筑型式</t>
  </si>
  <si>
    <t>说明</t>
  </si>
  <si>
    <t>多层</t>
  </si>
  <si>
    <t>上海</t>
  </si>
  <si>
    <t>2408</t>
  </si>
  <si>
    <t>3001</t>
  </si>
  <si>
    <t>2851</t>
  </si>
  <si>
    <t>与今年上半年相比造价上浮8.88%，主要原因人工上浮6%，砼及钢筋均上浮12%左右。</t>
    <phoneticPr fontId="4" type="noConversion"/>
  </si>
  <si>
    <t>建安</t>
    <phoneticPr fontId="144" type="noConversion"/>
  </si>
  <si>
    <t>装修</t>
    <phoneticPr fontId="144" type="noConversion"/>
  </si>
  <si>
    <t>建安进度</t>
    <phoneticPr fontId="144" type="noConversion"/>
  </si>
  <si>
    <t>装修进度</t>
    <phoneticPr fontId="144" type="noConversion"/>
  </si>
  <si>
    <t>住宅</t>
    <phoneticPr fontId="32" type="noConversion"/>
  </si>
  <si>
    <t>好</t>
  </si>
  <si>
    <t>收益法</t>
  </si>
  <si>
    <t>高档</t>
    <phoneticPr fontId="26" type="noConversion"/>
  </si>
  <si>
    <r>
      <t>83-119</t>
    </r>
    <r>
      <rPr>
        <sz val="11"/>
        <color indexed="8"/>
        <rFont val="宋体"/>
        <family val="3"/>
        <charset val="134"/>
      </rPr>
      <t>，</t>
    </r>
    <r>
      <rPr>
        <sz val="11"/>
        <color indexed="8"/>
        <rFont val="Arial"/>
        <family val="2"/>
      </rPr>
      <t>12-14</t>
    </r>
    <r>
      <rPr>
        <sz val="11"/>
        <color indexed="8"/>
        <rFont val="宋体"/>
        <family val="3"/>
        <charset val="134"/>
      </rPr>
      <t>层</t>
    </r>
    <phoneticPr fontId="26" type="noConversion"/>
  </si>
  <si>
    <t>出让金+开发费</t>
  </si>
  <si>
    <t>幢号/门牌号</t>
    <phoneticPr fontId="144" type="noConversion"/>
  </si>
  <si>
    <t>室号部位</t>
    <phoneticPr fontId="144" type="noConversion"/>
  </si>
  <si>
    <t>类型</t>
    <phoneticPr fontId="144" type="noConversion"/>
  </si>
  <si>
    <t>结构</t>
    <phoneticPr fontId="144" type="noConversion"/>
  </si>
  <si>
    <t>层次</t>
    <phoneticPr fontId="144" type="noConversion"/>
  </si>
  <si>
    <t>房屋用途</t>
    <phoneticPr fontId="144" type="noConversion"/>
  </si>
  <si>
    <t>建筑面积</t>
    <phoneticPr fontId="144" type="noConversion"/>
  </si>
  <si>
    <r>
      <t>1幢</t>
    </r>
    <r>
      <rPr>
        <sz val="11"/>
        <color theme="1"/>
        <rFont val="宋体"/>
        <family val="3"/>
        <charset val="134"/>
        <scheme val="minor"/>
      </rPr>
      <t>1号</t>
    </r>
    <phoneticPr fontId="144" type="noConversion"/>
  </si>
  <si>
    <r>
      <t>3</t>
    </r>
    <r>
      <rPr>
        <sz val="11"/>
        <color theme="1"/>
        <rFont val="宋体"/>
        <family val="3"/>
        <charset val="134"/>
        <scheme val="minor"/>
      </rPr>
      <t>-15层</t>
    </r>
    <phoneticPr fontId="144" type="noConversion"/>
  </si>
  <si>
    <t>公寓</t>
    <phoneticPr fontId="144" type="noConversion"/>
  </si>
  <si>
    <t>钢混</t>
    <phoneticPr fontId="144" type="noConversion"/>
  </si>
  <si>
    <r>
      <t>1</t>
    </r>
    <r>
      <rPr>
        <sz val="11"/>
        <color theme="1"/>
        <rFont val="宋体"/>
        <family val="3"/>
        <charset val="134"/>
        <scheme val="minor"/>
      </rPr>
      <t>5/1</t>
    </r>
    <phoneticPr fontId="144" type="noConversion"/>
  </si>
  <si>
    <t>特种用途</t>
    <phoneticPr fontId="144" type="noConversion"/>
  </si>
  <si>
    <r>
      <t>1</t>
    </r>
    <r>
      <rPr>
        <sz val="11"/>
        <color theme="1"/>
        <rFont val="宋体"/>
        <family val="3"/>
        <charset val="134"/>
        <scheme val="minor"/>
      </rPr>
      <t>4/1</t>
    </r>
    <phoneticPr fontId="144" type="noConversion"/>
  </si>
  <si>
    <r>
      <t>1</t>
    </r>
    <r>
      <rPr>
        <sz val="11"/>
        <color theme="1"/>
        <rFont val="宋体"/>
        <family val="3"/>
        <charset val="134"/>
        <scheme val="minor"/>
      </rPr>
      <t>2/1</t>
    </r>
    <phoneticPr fontId="144" type="noConversion"/>
  </si>
  <si>
    <r>
      <t>1</t>
    </r>
    <r>
      <rPr>
        <sz val="11"/>
        <color theme="1"/>
        <rFont val="宋体"/>
        <family val="3"/>
        <charset val="134"/>
        <scheme val="minor"/>
      </rPr>
      <t>3/1</t>
    </r>
    <phoneticPr fontId="144" type="noConversion"/>
  </si>
  <si>
    <t>1-14层</t>
    <phoneticPr fontId="144" type="noConversion"/>
  </si>
  <si>
    <t>1-12层</t>
    <phoneticPr fontId="144" type="noConversion"/>
  </si>
  <si>
    <t>居住</t>
    <phoneticPr fontId="144" type="noConversion"/>
  </si>
  <si>
    <t>2幢2、3号</t>
    <phoneticPr fontId="144" type="noConversion"/>
  </si>
  <si>
    <r>
      <t>3幢</t>
    </r>
    <r>
      <rPr>
        <sz val="11"/>
        <color theme="1"/>
        <rFont val="宋体"/>
        <family val="3"/>
        <charset val="134"/>
        <scheme val="minor"/>
      </rPr>
      <t>4、5号</t>
    </r>
    <phoneticPr fontId="144" type="noConversion"/>
  </si>
  <si>
    <r>
      <t>4幢</t>
    </r>
    <r>
      <rPr>
        <sz val="11"/>
        <color theme="1"/>
        <rFont val="宋体"/>
        <family val="3"/>
        <charset val="134"/>
        <scheme val="minor"/>
      </rPr>
      <t>6、7号</t>
    </r>
    <phoneticPr fontId="144" type="noConversion"/>
  </si>
  <si>
    <t>5幢10、8、9号</t>
    <phoneticPr fontId="144" type="noConversion"/>
  </si>
  <si>
    <t>6幢11、12号</t>
    <phoneticPr fontId="144" type="noConversion"/>
  </si>
  <si>
    <t>7幢13、14号</t>
    <phoneticPr fontId="144" type="noConversion"/>
  </si>
  <si>
    <t>8幢15、16号</t>
    <phoneticPr fontId="144" type="noConversion"/>
  </si>
  <si>
    <t>1</t>
    <phoneticPr fontId="144" type="noConversion"/>
  </si>
  <si>
    <r>
      <t>0</t>
    </r>
    <r>
      <rPr>
        <sz val="11"/>
        <color theme="1"/>
        <rFont val="宋体"/>
        <family val="3"/>
        <charset val="134"/>
        <scheme val="minor"/>
      </rPr>
      <t>/1</t>
    </r>
    <phoneticPr fontId="144" type="noConversion"/>
  </si>
  <si>
    <t>9幢17、18、19号</t>
    <phoneticPr fontId="144" type="noConversion"/>
  </si>
  <si>
    <t>10幢20、21号</t>
    <phoneticPr fontId="144" type="noConversion"/>
  </si>
  <si>
    <r>
      <t>1</t>
    </r>
    <r>
      <rPr>
        <sz val="11"/>
        <color theme="1"/>
        <rFont val="宋体"/>
        <family val="3"/>
        <charset val="134"/>
        <scheme val="minor"/>
      </rPr>
      <t>1幢22、23号</t>
    </r>
    <phoneticPr fontId="144" type="noConversion"/>
  </si>
  <si>
    <r>
      <t>1</t>
    </r>
    <r>
      <rPr>
        <sz val="11"/>
        <color theme="1"/>
        <rFont val="宋体"/>
        <family val="3"/>
        <charset val="134"/>
        <scheme val="minor"/>
      </rPr>
      <t>2幢24、25号</t>
    </r>
    <phoneticPr fontId="144" type="noConversion"/>
  </si>
  <si>
    <r>
      <t>1</t>
    </r>
    <r>
      <rPr>
        <sz val="11"/>
        <color theme="1"/>
        <rFont val="宋体"/>
        <family val="3"/>
        <charset val="134"/>
        <scheme val="minor"/>
      </rPr>
      <t>3幢26-29号</t>
    </r>
    <phoneticPr fontId="144" type="noConversion"/>
  </si>
  <si>
    <r>
      <t>1</t>
    </r>
    <r>
      <rPr>
        <sz val="11"/>
        <color theme="1"/>
        <rFont val="宋体"/>
        <family val="3"/>
        <charset val="134"/>
        <scheme val="minor"/>
      </rPr>
      <t>4幢30、31号</t>
    </r>
    <phoneticPr fontId="144" type="noConversion"/>
  </si>
  <si>
    <r>
      <t>1</t>
    </r>
    <r>
      <rPr>
        <sz val="11"/>
        <color theme="1"/>
        <rFont val="宋体"/>
        <family val="3"/>
        <charset val="134"/>
        <scheme val="minor"/>
      </rPr>
      <t>5幢32号</t>
    </r>
    <phoneticPr fontId="144" type="noConversion"/>
  </si>
  <si>
    <r>
      <t>2</t>
    </r>
    <r>
      <rPr>
        <sz val="11"/>
        <color theme="1"/>
        <rFont val="宋体"/>
        <family val="3"/>
        <charset val="134"/>
        <scheme val="minor"/>
      </rPr>
      <t>4幢33号</t>
    </r>
    <phoneticPr fontId="144" type="noConversion"/>
  </si>
  <si>
    <r>
      <t>1</t>
    </r>
    <r>
      <rPr>
        <sz val="11"/>
        <color theme="1"/>
        <rFont val="宋体"/>
        <family val="3"/>
        <charset val="134"/>
        <scheme val="minor"/>
      </rPr>
      <t>-13层</t>
    </r>
    <phoneticPr fontId="144" type="noConversion"/>
  </si>
  <si>
    <t>地下1层车库</t>
    <phoneticPr fontId="144" type="noConversion"/>
  </si>
  <si>
    <t>地下车库</t>
    <phoneticPr fontId="144" type="noConversion"/>
  </si>
  <si>
    <t>会所</t>
    <phoneticPr fontId="144" type="noConversion"/>
  </si>
  <si>
    <t>地下1层人防车库</t>
    <phoneticPr fontId="144" type="noConversion"/>
  </si>
  <si>
    <t>地下1层会所</t>
    <phoneticPr fontId="144" type="noConversion"/>
  </si>
  <si>
    <t>地下1层电信机房</t>
    <phoneticPr fontId="144" type="noConversion"/>
  </si>
  <si>
    <t>地下1层消防控制室</t>
    <phoneticPr fontId="144" type="noConversion"/>
  </si>
  <si>
    <t>地下1层水泵房01-03</t>
    <phoneticPr fontId="144" type="noConversion"/>
  </si>
  <si>
    <t>小高层</t>
    <phoneticPr fontId="8" type="noConversion"/>
  </si>
  <si>
    <t>12-01地块  总体经济技术指标</t>
    <phoneticPr fontId="144" type="noConversion"/>
  </si>
  <si>
    <t>项目</t>
    <phoneticPr fontId="144" type="noConversion"/>
  </si>
  <si>
    <t>数值</t>
    <phoneticPr fontId="144" type="noConversion"/>
  </si>
  <si>
    <t>单位</t>
    <phoneticPr fontId="144" type="noConversion"/>
  </si>
  <si>
    <t>备注</t>
    <phoneticPr fontId="144" type="noConversion"/>
  </si>
  <si>
    <t>总建设用地面积</t>
    <phoneticPr fontId="144" type="noConversion"/>
  </si>
  <si>
    <t>平方米</t>
    <phoneticPr fontId="144" type="noConversion"/>
  </si>
  <si>
    <t>总规划建筑面积</t>
    <phoneticPr fontId="144" type="noConversion"/>
  </si>
  <si>
    <t>其中</t>
    <phoneticPr fontId="144" type="noConversion"/>
  </si>
  <si>
    <t>地上建筑面积</t>
    <phoneticPr fontId="144" type="noConversion"/>
  </si>
  <si>
    <t>平方米</t>
    <phoneticPr fontId="144" type="noConversion"/>
  </si>
  <si>
    <t>居住建筑</t>
    <phoneticPr fontId="144" type="noConversion"/>
  </si>
  <si>
    <t>小高层（两房或小三房）</t>
    <phoneticPr fontId="144" type="noConversion"/>
  </si>
  <si>
    <t>保障房</t>
    <phoneticPr fontId="144" type="noConversion"/>
  </si>
  <si>
    <t>配套用房</t>
    <phoneticPr fontId="144" type="noConversion"/>
  </si>
  <si>
    <t>居委会、物管</t>
    <phoneticPr fontId="144" type="noConversion"/>
  </si>
  <si>
    <t>社区服务</t>
    <phoneticPr fontId="144" type="noConversion"/>
  </si>
  <si>
    <t>垃圾站及公共厕所</t>
    <phoneticPr fontId="144" type="noConversion"/>
  </si>
  <si>
    <t>地下建筑面积</t>
    <phoneticPr fontId="144" type="noConversion"/>
  </si>
  <si>
    <t>机动车库（含人防）</t>
    <phoneticPr fontId="144" type="noConversion"/>
  </si>
  <si>
    <t>单车指标32㎡/辆，含人防面积8500㎡</t>
    <phoneticPr fontId="144" type="noConversion"/>
  </si>
  <si>
    <t>非机动车库</t>
    <phoneticPr fontId="144" type="noConversion"/>
  </si>
  <si>
    <t>单车指标1.8㎡/辆</t>
    <phoneticPr fontId="144" type="noConversion"/>
  </si>
  <si>
    <t>容积率</t>
    <phoneticPr fontId="144" type="noConversion"/>
  </si>
  <si>
    <t>机动车停车位</t>
    <phoneticPr fontId="144" type="noConversion"/>
  </si>
  <si>
    <t>车位</t>
    <phoneticPr fontId="144" type="noConversion"/>
  </si>
  <si>
    <t>地上</t>
    <phoneticPr fontId="144" type="noConversion"/>
  </si>
  <si>
    <t>地面停车为10%</t>
    <phoneticPr fontId="144" type="noConversion"/>
  </si>
  <si>
    <t>总户数</t>
    <phoneticPr fontId="144" type="noConversion"/>
  </si>
  <si>
    <t>户</t>
    <phoneticPr fontId="144" type="noConversion"/>
  </si>
  <si>
    <t>总人口</t>
    <phoneticPr fontId="144" type="noConversion"/>
  </si>
  <si>
    <t>人</t>
    <phoneticPr fontId="144" type="noConversion"/>
  </si>
  <si>
    <t>按3.2人/户计算</t>
    <phoneticPr fontId="144" type="noConversion"/>
  </si>
  <si>
    <t>http://www.fangdi.com.cn/index.htm</t>
  </si>
  <si>
    <t>请录依据文件名称：https://wenku.baidu.com/view/015a67faf705cc1755270995.html 关于调整本市城市基础设施配套费征收标准和使用范围的通知沪建交联(2011)405号</t>
    <phoneticPr fontId="4" type="noConversion"/>
  </si>
  <si>
    <t>其他省市请录依据文件名称：http://www.shanghai.gov.cn/nw2/nw2314/nw2319/nw2404/nw39026/nw39027/u26aw45039.html 上海市人民政府关于印发《上海市城镇土地使用税实施规定》的通知 沪府发〔2015〕45号</t>
    <phoneticPr fontId="4" type="noConversion"/>
  </si>
  <si>
    <t>地下1层有线电视01、02</t>
    <phoneticPr fontId="144" type="noConversion"/>
  </si>
  <si>
    <t>中高档</t>
    <phoneticPr fontId="26" type="noConversion"/>
  </si>
  <si>
    <t>中档</t>
    <phoneticPr fontId="26" type="noConversion"/>
  </si>
  <si>
    <r>
      <t>1幢</t>
    </r>
    <r>
      <rPr>
        <sz val="11"/>
        <color theme="1"/>
        <rFont val="宋体"/>
        <family val="3"/>
        <charset val="134"/>
        <scheme val="minor"/>
      </rPr>
      <t>1号</t>
    </r>
    <phoneticPr fontId="144" type="noConversion"/>
  </si>
  <si>
    <r>
      <t>地下1（</t>
    </r>
    <r>
      <rPr>
        <sz val="11"/>
        <color theme="1"/>
        <rFont val="宋体"/>
        <family val="3"/>
        <charset val="134"/>
        <scheme val="minor"/>
      </rPr>
      <t>-1）</t>
    </r>
    <phoneticPr fontId="144" type="noConversion"/>
  </si>
  <si>
    <t>地下1层地下大堂</t>
    <phoneticPr fontId="144" type="noConversion"/>
  </si>
  <si>
    <t>特种用途</t>
    <phoneticPr fontId="144" type="noConversion"/>
  </si>
  <si>
    <t>建筑面积</t>
    <phoneticPr fontId="144" type="noConversion"/>
  </si>
  <si>
    <t>用途</t>
    <phoneticPr fontId="144" type="noConversion"/>
  </si>
  <si>
    <t>室号</t>
    <phoneticPr fontId="144" type="noConversion"/>
  </si>
  <si>
    <t>层次</t>
    <phoneticPr fontId="144" type="noConversion"/>
  </si>
  <si>
    <t>幢号/门牌号</t>
    <phoneticPr fontId="144" type="noConversion"/>
  </si>
  <si>
    <r>
      <t>地下1、</t>
    </r>
    <r>
      <rPr>
        <sz val="11"/>
        <color theme="1"/>
        <rFont val="宋体"/>
        <family val="3"/>
        <charset val="134"/>
        <scheme val="minor"/>
      </rPr>
      <t>1（1）</t>
    </r>
    <phoneticPr fontId="144" type="noConversion"/>
  </si>
  <si>
    <r>
      <t>地下1、</t>
    </r>
    <r>
      <rPr>
        <sz val="11"/>
        <color theme="1"/>
        <rFont val="宋体"/>
        <family val="3"/>
        <charset val="134"/>
        <scheme val="minor"/>
      </rPr>
      <t>1层KT站</t>
    </r>
    <phoneticPr fontId="144" type="noConversion"/>
  </si>
  <si>
    <t>架空（1）</t>
    <phoneticPr fontId="144" type="noConversion"/>
  </si>
  <si>
    <t>架空层</t>
    <phoneticPr fontId="144" type="noConversion"/>
  </si>
  <si>
    <t>1层厕所</t>
    <phoneticPr fontId="144" type="noConversion"/>
  </si>
  <si>
    <t>1层老年康体活动室</t>
    <phoneticPr fontId="144" type="noConversion"/>
  </si>
  <si>
    <t>1层社区综合配套设施（卫生站）</t>
    <phoneticPr fontId="144" type="noConversion"/>
  </si>
  <si>
    <t>1层小区服务站</t>
    <phoneticPr fontId="144" type="noConversion"/>
  </si>
  <si>
    <t>1层治安联防站</t>
    <phoneticPr fontId="144" type="noConversion"/>
  </si>
  <si>
    <r>
      <t>2层居委会用房</t>
    </r>
    <r>
      <rPr>
        <sz val="11"/>
        <color theme="1"/>
        <rFont val="宋体"/>
        <family val="3"/>
        <charset val="134"/>
        <scheme val="minor"/>
      </rPr>
      <t>01</t>
    </r>
    <phoneticPr fontId="144" type="noConversion"/>
  </si>
  <si>
    <r>
      <t>2层居委会用房</t>
    </r>
    <r>
      <rPr>
        <sz val="11"/>
        <color theme="1"/>
        <rFont val="宋体"/>
        <family val="3"/>
        <charset val="134"/>
        <scheme val="minor"/>
      </rPr>
      <t>02</t>
    </r>
    <phoneticPr fontId="144" type="noConversion"/>
  </si>
  <si>
    <r>
      <t>2层社区综合配套设施</t>
    </r>
    <r>
      <rPr>
        <sz val="11"/>
        <color theme="1"/>
        <rFont val="宋体"/>
        <family val="3"/>
        <charset val="134"/>
        <scheme val="minor"/>
      </rPr>
      <t>01</t>
    </r>
    <phoneticPr fontId="144" type="noConversion"/>
  </si>
  <si>
    <t>2层社区综合配套设施02</t>
    <phoneticPr fontId="144" type="noConversion"/>
  </si>
  <si>
    <t>2层文化活动室</t>
    <phoneticPr fontId="144" type="noConversion"/>
  </si>
  <si>
    <t>2层业委会用房</t>
    <phoneticPr fontId="144" type="noConversion"/>
  </si>
  <si>
    <t>地下1</t>
    <phoneticPr fontId="144" type="noConversion"/>
  </si>
  <si>
    <t>地下1层地下大堂</t>
    <phoneticPr fontId="144" type="noConversion"/>
  </si>
  <si>
    <t>地下1层自行车库</t>
    <phoneticPr fontId="144" type="noConversion"/>
  </si>
  <si>
    <t>架空层（1）</t>
    <phoneticPr fontId="144" type="noConversion"/>
  </si>
  <si>
    <t>全幢（1）物业管理用房</t>
    <phoneticPr fontId="144" type="noConversion"/>
  </si>
  <si>
    <t>地上</t>
    <phoneticPr fontId="144" type="noConversion"/>
  </si>
  <si>
    <t>住宅</t>
    <phoneticPr fontId="144" type="noConversion"/>
  </si>
  <si>
    <t>保障房</t>
    <phoneticPr fontId="144" type="noConversion"/>
  </si>
  <si>
    <t>配套</t>
    <phoneticPr fontId="144" type="noConversion"/>
  </si>
  <si>
    <t>地下</t>
    <phoneticPr fontId="144" type="noConversion"/>
  </si>
  <si>
    <t>车库</t>
    <phoneticPr fontId="144" type="noConversion"/>
  </si>
  <si>
    <t>非经营</t>
    <phoneticPr fontId="144" type="noConversion"/>
  </si>
  <si>
    <t>非经营</t>
    <phoneticPr fontId="144" type="noConversion"/>
  </si>
  <si>
    <t>社区配套等</t>
    <phoneticPr fontId="144" type="noConversion"/>
  </si>
  <si>
    <t>1层架空层</t>
    <phoneticPr fontId="144" type="noConversion"/>
  </si>
  <si>
    <t>合计</t>
    <phoneticPr fontId="144" type="noConversion"/>
  </si>
  <si>
    <r>
      <t>2</t>
    </r>
    <r>
      <rPr>
        <sz val="11"/>
        <color theme="1"/>
        <rFont val="宋体"/>
        <family val="3"/>
        <charset val="134"/>
        <scheme val="minor"/>
      </rPr>
      <t>-8</t>
    </r>
    <phoneticPr fontId="144" type="noConversion"/>
  </si>
  <si>
    <r>
      <t>9</t>
    </r>
    <r>
      <rPr>
        <sz val="11"/>
        <color theme="1"/>
        <rFont val="宋体"/>
        <family val="3"/>
        <charset val="134"/>
        <scheme val="minor"/>
      </rPr>
      <t>-14</t>
    </r>
    <phoneticPr fontId="144" type="noConversion"/>
  </si>
  <si>
    <t>建安</t>
    <phoneticPr fontId="144" type="noConversion"/>
  </si>
  <si>
    <t>装修</t>
    <phoneticPr fontId="144" type="noConversion"/>
  </si>
  <si>
    <t>2018-1-0489-P01DYGJ3</t>
    <phoneticPr fontId="7" type="noConversion"/>
  </si>
  <si>
    <t>已注销</t>
  </si>
  <si>
    <t>面积</t>
    <phoneticPr fontId="144" type="noConversion"/>
  </si>
  <si>
    <t>综合</t>
    <phoneticPr fontId="144" type="noConversion"/>
  </si>
  <si>
    <t>幢号</t>
    <phoneticPr fontId="144" type="noConversion"/>
  </si>
  <si>
    <t>中高档</t>
  </si>
  <si>
    <t>规划建筑面积</t>
  </si>
  <si>
    <t>土地面积</t>
  </si>
  <si>
    <r>
      <rPr>
        <b/>
        <sz val="10"/>
        <color rgb="FFFF0000"/>
        <rFont val="宋体"/>
        <family val="3"/>
        <charset val="134"/>
      </rPr>
      <t>数据取费表</t>
    </r>
    <phoneticPr fontId="4"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</si>
  <si>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4" type="noConversion"/>
  </si>
  <si>
    <r>
      <rPr>
        <b/>
        <sz val="10"/>
        <color indexed="8"/>
        <rFont val="宋体"/>
        <family val="3"/>
        <charset val="134"/>
      </rPr>
      <t>综合取费</t>
    </r>
    <phoneticPr fontId="4" type="noConversion"/>
  </si>
  <si>
    <r>
      <rPr>
        <sz val="10"/>
        <color indexed="8"/>
        <rFont val="宋体"/>
        <family val="3"/>
        <charset val="134"/>
      </rPr>
      <t>土地使用年期</t>
    </r>
    <phoneticPr fontId="4" type="noConversion"/>
  </si>
  <si>
    <r>
      <rPr>
        <sz val="10"/>
        <color indexed="8"/>
        <rFont val="宋体"/>
        <family val="3"/>
        <charset val="134"/>
      </rPr>
      <t>建安费用</t>
    </r>
    <phoneticPr fontId="4"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</si>
  <si>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4" type="noConversion"/>
  </si>
  <si>
    <r>
      <rPr>
        <sz val="10"/>
        <color indexed="8"/>
        <rFont val="宋体"/>
        <family val="3"/>
        <charset val="134"/>
      </rPr>
      <t>租期外</t>
    </r>
    <phoneticPr fontId="4" type="noConversion"/>
  </si>
  <si>
    <r>
      <rPr>
        <sz val="10"/>
        <color indexed="8"/>
        <rFont val="宋体"/>
        <family val="3"/>
        <charset val="134"/>
      </rPr>
      <t>收益期</t>
    </r>
    <phoneticPr fontId="4" type="noConversion"/>
  </si>
  <si>
    <r>
      <rPr>
        <sz val="10"/>
        <color indexed="8"/>
        <rFont val="宋体"/>
        <family val="3"/>
        <charset val="134"/>
      </rPr>
      <t>项目类型</t>
    </r>
    <phoneticPr fontId="5" type="noConversion"/>
  </si>
  <si>
    <r>
      <rPr>
        <sz val="10"/>
        <color indexed="8"/>
        <rFont val="宋体"/>
        <family val="3"/>
        <charset val="134"/>
      </rPr>
      <t>类别</t>
    </r>
    <phoneticPr fontId="4" type="noConversion"/>
  </si>
  <si>
    <r>
      <rPr>
        <sz val="10"/>
        <color indexed="8"/>
        <rFont val="宋体"/>
        <family val="3"/>
        <charset val="134"/>
      </rPr>
      <t>地类判定</t>
    </r>
    <phoneticPr fontId="4" type="noConversion"/>
  </si>
  <si>
    <r>
      <rPr>
        <sz val="10"/>
        <rFont val="宋体"/>
        <family val="3"/>
        <charset val="134"/>
      </rPr>
      <t>法定最高</t>
    </r>
    <r>
      <rPr>
        <sz val="10"/>
        <rFont val="Arial"/>
        <family val="2"/>
      </rPr>
      <t>/</t>
    </r>
    <r>
      <rPr>
        <sz val="10"/>
        <rFont val="宋体"/>
        <family val="3"/>
        <charset val="134"/>
      </rPr>
      <t>出让年限</t>
    </r>
    <phoneticPr fontId="4" type="noConversion"/>
  </si>
  <si>
    <r>
      <rPr>
        <sz val="10"/>
        <color indexed="8"/>
        <rFont val="宋体"/>
        <family val="3"/>
        <charset val="134"/>
      </rPr>
      <t>终止日期</t>
    </r>
    <phoneticPr fontId="4" type="noConversion"/>
  </si>
  <si>
    <r>
      <rPr>
        <sz val="10"/>
        <color indexed="8"/>
        <rFont val="宋体"/>
        <family val="3"/>
        <charset val="134"/>
      </rPr>
      <t>剩余土地使用年限</t>
    </r>
    <phoneticPr fontId="4" type="noConversion"/>
  </si>
  <si>
    <r>
      <rPr>
        <sz val="10"/>
        <color indexed="8"/>
        <rFont val="宋体"/>
        <family val="3"/>
        <charset val="134"/>
      </rPr>
      <t>年期修正系数</t>
    </r>
    <phoneticPr fontId="4"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</si>
  <si>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4"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</si>
  <si>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4"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</si>
  <si>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4" type="noConversion"/>
  </si>
  <si>
    <r>
      <rPr>
        <sz val="10"/>
        <color indexed="8"/>
        <rFont val="宋体"/>
        <family val="3"/>
        <charset val="134"/>
      </rPr>
      <t>建筑面积</t>
    </r>
    <phoneticPr fontId="5" type="noConversion"/>
  </si>
  <si>
    <r>
      <rPr>
        <sz val="10"/>
        <color indexed="8"/>
        <rFont val="宋体"/>
        <family val="3"/>
        <charset val="134"/>
      </rPr>
      <t>单方造价</t>
    </r>
    <phoneticPr fontId="5" type="noConversion"/>
  </si>
  <si>
    <r>
      <rPr>
        <sz val="10"/>
        <color indexed="8"/>
        <rFont val="宋体"/>
        <family val="3"/>
        <charset val="134"/>
      </rPr>
      <t>建安总额</t>
    </r>
    <phoneticPr fontId="5" type="noConversion"/>
  </si>
  <si>
    <r>
      <rPr>
        <sz val="10"/>
        <color indexed="8"/>
        <rFont val="宋体"/>
        <family val="3"/>
        <charset val="134"/>
      </rPr>
      <t>工程进度</t>
    </r>
  </si>
  <si>
    <r>
      <rPr>
        <sz val="10"/>
        <color indexed="8"/>
        <rFont val="宋体"/>
        <family val="3"/>
        <charset val="134"/>
      </rPr>
      <t>在建建安</t>
    </r>
    <phoneticPr fontId="5" type="noConversion"/>
  </si>
  <si>
    <r>
      <rPr>
        <sz val="10"/>
        <color indexed="8"/>
        <rFont val="宋体"/>
        <family val="3"/>
        <charset val="134"/>
      </rPr>
      <t>续建建安</t>
    </r>
    <phoneticPr fontId="5" type="noConversion"/>
  </si>
  <si>
    <r>
      <rPr>
        <sz val="10"/>
        <color indexed="8"/>
        <rFont val="宋体"/>
        <family val="3"/>
        <charset val="134"/>
      </rPr>
      <t>利润</t>
    </r>
    <phoneticPr fontId="4" type="noConversion"/>
  </si>
  <si>
    <r>
      <rPr>
        <sz val="10"/>
        <color indexed="8"/>
        <rFont val="宋体"/>
        <family val="3"/>
        <charset val="134"/>
      </rPr>
      <t>分摊土地面积（经营性）</t>
    </r>
    <phoneticPr fontId="4" type="noConversion"/>
  </si>
  <si>
    <r>
      <rPr>
        <sz val="10"/>
        <color indexed="8"/>
        <rFont val="宋体"/>
        <family val="3"/>
        <charset val="134"/>
      </rPr>
      <t>建筑面积（分摊设备）</t>
    </r>
    <phoneticPr fontId="4" type="noConversion"/>
  </si>
  <si>
    <r>
      <rPr>
        <sz val="10"/>
        <color indexed="8"/>
        <rFont val="宋体"/>
        <family val="3"/>
        <charset val="134"/>
      </rPr>
      <t>总建安（分摊非经营）</t>
    </r>
    <phoneticPr fontId="4" type="noConversion"/>
  </si>
  <si>
    <r>
      <rPr>
        <sz val="10"/>
        <color indexed="8"/>
        <rFont val="宋体"/>
        <family val="3"/>
        <charset val="134"/>
      </rPr>
      <t>租金</t>
    </r>
    <phoneticPr fontId="4" type="noConversion"/>
  </si>
  <si>
    <r>
      <rPr>
        <sz val="10"/>
        <color indexed="8"/>
        <rFont val="宋体"/>
        <family val="3"/>
        <charset val="134"/>
      </rPr>
      <t>年租金增长率</t>
    </r>
    <phoneticPr fontId="4" type="noConversion"/>
  </si>
  <si>
    <r>
      <rPr>
        <sz val="10"/>
        <color indexed="8"/>
        <rFont val="宋体"/>
        <family val="3"/>
        <charset val="134"/>
      </rPr>
      <t>空置率</t>
    </r>
    <phoneticPr fontId="4" type="noConversion"/>
  </si>
  <si>
    <r>
      <rPr>
        <sz val="10"/>
        <color indexed="8"/>
        <rFont val="宋体"/>
        <family val="3"/>
        <charset val="134"/>
      </rPr>
      <t>成新度</t>
    </r>
    <phoneticPr fontId="4" type="noConversion"/>
  </si>
  <si>
    <r>
      <rPr>
        <sz val="10"/>
        <color indexed="8"/>
        <rFont val="宋体"/>
        <family val="3"/>
        <charset val="134"/>
      </rPr>
      <t>租金</t>
    </r>
    <phoneticPr fontId="4" type="noConversion"/>
  </si>
  <si>
    <r>
      <rPr>
        <sz val="10"/>
        <color indexed="8"/>
        <rFont val="宋体"/>
        <family val="3"/>
        <charset val="134"/>
      </rPr>
      <t>年租金增长率</t>
    </r>
    <phoneticPr fontId="4" type="noConversion"/>
  </si>
  <si>
    <r>
      <rPr>
        <sz val="10"/>
        <color indexed="8"/>
        <rFont val="宋体"/>
        <family val="3"/>
        <charset val="134"/>
      </rPr>
      <t>空置率</t>
    </r>
    <phoneticPr fontId="4" type="noConversion"/>
  </si>
  <si>
    <r>
      <rPr>
        <sz val="10"/>
        <color indexed="8"/>
        <rFont val="宋体"/>
        <family val="3"/>
        <charset val="134"/>
      </rPr>
      <t>成新度</t>
    </r>
    <phoneticPr fontId="4"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</si>
  <si>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4" type="noConversion"/>
  </si>
  <si>
    <r>
      <rPr>
        <sz val="10"/>
        <color indexed="8"/>
        <rFont val="宋体"/>
        <family val="3"/>
        <charset val="134"/>
      </rPr>
      <t>剩余租赁期</t>
    </r>
    <phoneticPr fontId="4" type="noConversion"/>
  </si>
  <si>
    <r>
      <rPr>
        <sz val="10"/>
        <color indexed="8"/>
        <rFont val="宋体"/>
        <family val="3"/>
        <charset val="134"/>
      </rPr>
      <t>租赁期外收益期</t>
    </r>
    <phoneticPr fontId="4"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</si>
  <si>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</si>
  <si>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</si>
  <si>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4" type="noConversion"/>
  </si>
  <si>
    <r>
      <rPr>
        <sz val="10"/>
        <color indexed="8"/>
        <rFont val="宋体"/>
        <family val="3"/>
        <charset val="134"/>
      </rPr>
      <t>维修费率</t>
    </r>
    <phoneticPr fontId="4" type="noConversion"/>
  </si>
  <si>
    <r>
      <rPr>
        <sz val="10"/>
        <color indexed="8"/>
        <rFont val="宋体"/>
        <family val="3"/>
        <charset val="134"/>
      </rPr>
      <t>保险费率</t>
    </r>
    <phoneticPr fontId="4" type="noConversion"/>
  </si>
  <si>
    <r>
      <rPr>
        <sz val="10"/>
        <color indexed="8"/>
        <rFont val="宋体"/>
        <family val="3"/>
        <charset val="134"/>
      </rPr>
      <t>管理费率</t>
    </r>
    <phoneticPr fontId="4" type="noConversion"/>
  </si>
  <si>
    <r>
      <rPr>
        <sz val="10"/>
        <color indexed="8"/>
        <rFont val="宋体"/>
        <family val="3"/>
        <charset val="134"/>
      </rPr>
      <t>请选择所对应的收益法</t>
    </r>
    <phoneticPr fontId="4" type="noConversion"/>
  </si>
  <si>
    <r>
      <rPr>
        <sz val="10"/>
        <color indexed="8"/>
        <rFont val="宋体"/>
        <family val="3"/>
        <charset val="134"/>
      </rPr>
      <t>收益法结果</t>
    </r>
    <phoneticPr fontId="4" type="noConversion"/>
  </si>
  <si>
    <r>
      <rPr>
        <sz val="10"/>
        <color indexed="8"/>
        <rFont val="宋体"/>
        <family val="3"/>
        <charset val="134"/>
      </rPr>
      <t>辅助计算</t>
    </r>
    <phoneticPr fontId="4" type="noConversion"/>
  </si>
  <si>
    <r>
      <rPr>
        <sz val="10"/>
        <color indexed="8"/>
        <rFont val="宋体"/>
        <family val="3"/>
        <charset val="134"/>
      </rPr>
      <t>在建建安（分摊非经营）</t>
    </r>
    <phoneticPr fontId="4" type="noConversion"/>
  </si>
  <si>
    <r>
      <rPr>
        <sz val="10"/>
        <color indexed="8"/>
        <rFont val="宋体"/>
        <family val="3"/>
        <charset val="134"/>
      </rPr>
      <t>续建建安（分摊非经营）</t>
    </r>
    <phoneticPr fontId="4"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</si>
  <si>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</si>
  <si>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</si>
  <si>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4" type="noConversion"/>
  </si>
  <si>
    <r>
      <rPr>
        <sz val="10"/>
        <color indexed="8"/>
        <rFont val="宋体"/>
        <family val="3"/>
        <charset val="134"/>
      </rPr>
      <t>公共配套</t>
    </r>
  </si>
  <si>
    <r>
      <rPr>
        <b/>
        <sz val="10"/>
        <color indexed="8"/>
        <rFont val="宋体"/>
        <family val="3"/>
        <charset val="134"/>
      </rPr>
      <t>合计</t>
    </r>
    <phoneticPr fontId="5" type="noConversion"/>
  </si>
  <si>
    <r>
      <rPr>
        <b/>
        <sz val="10"/>
        <color indexed="8"/>
        <rFont val="宋体"/>
        <family val="3"/>
        <charset val="134"/>
      </rPr>
      <t>开发期</t>
    </r>
    <phoneticPr fontId="4" type="noConversion"/>
  </si>
  <si>
    <r>
      <rPr>
        <sz val="10"/>
        <rFont val="宋体"/>
        <family val="3"/>
        <charset val="134"/>
      </rPr>
      <t>土地开发期</t>
    </r>
  </si>
  <si>
    <r>
      <rPr>
        <sz val="10"/>
        <color indexed="8"/>
        <rFont val="宋体"/>
        <family val="3"/>
        <charset val="134"/>
      </rPr>
      <t>默认为已完成的土地开发期</t>
    </r>
    <phoneticPr fontId="4" type="noConversion"/>
  </si>
  <si>
    <r>
      <rPr>
        <sz val="10"/>
        <rFont val="宋体"/>
        <family val="3"/>
        <charset val="134"/>
      </rPr>
      <t>建设期</t>
    </r>
    <phoneticPr fontId="5" type="noConversion"/>
  </si>
  <si>
    <r>
      <rPr>
        <sz val="10"/>
        <color indexed="8"/>
        <rFont val="宋体"/>
        <family val="3"/>
        <charset val="134"/>
      </rPr>
      <t>包含未完成的红线外市政工程时间（如现状三通，开发完成后七通）</t>
    </r>
    <phoneticPr fontId="4" type="noConversion"/>
  </si>
  <si>
    <r>
      <rPr>
        <sz val="10"/>
        <color indexed="8"/>
        <rFont val="宋体"/>
        <family val="3"/>
        <charset val="134"/>
      </rPr>
      <t>已建工期</t>
    </r>
    <phoneticPr fontId="5" type="noConversion"/>
  </si>
  <si>
    <r>
      <rPr>
        <sz val="10"/>
        <rFont val="宋体"/>
        <family val="3"/>
        <charset val="134"/>
      </rPr>
      <t>项目开发期</t>
    </r>
    <phoneticPr fontId="5" type="noConversion"/>
  </si>
  <si>
    <r>
      <rPr>
        <sz val="10"/>
        <color indexed="8"/>
        <rFont val="宋体"/>
        <family val="3"/>
        <charset val="134"/>
      </rPr>
      <t>项目已运行</t>
    </r>
    <phoneticPr fontId="5" type="noConversion"/>
  </si>
  <si>
    <r>
      <rPr>
        <sz val="10"/>
        <rFont val="宋体"/>
        <family val="3"/>
        <charset val="134"/>
      </rPr>
      <t>续建工期</t>
    </r>
    <phoneticPr fontId="5" type="noConversion"/>
  </si>
  <si>
    <r>
      <rPr>
        <b/>
        <sz val="10"/>
        <color indexed="8"/>
        <rFont val="宋体"/>
        <family val="3"/>
        <charset val="134"/>
      </rPr>
      <t>其他取费</t>
    </r>
    <phoneticPr fontId="4" type="noConversion"/>
  </si>
  <si>
    <r>
      <rPr>
        <sz val="10"/>
        <color indexed="8"/>
        <rFont val="宋体"/>
        <family val="3"/>
        <charset val="134"/>
      </rPr>
      <t>取值</t>
    </r>
    <phoneticPr fontId="4" type="noConversion"/>
  </si>
  <si>
    <r>
      <rPr>
        <sz val="10"/>
        <color indexed="8"/>
        <rFont val="宋体"/>
        <family val="3"/>
        <charset val="134"/>
      </rPr>
      <t>备注</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</si>
  <si>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</si>
  <si>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4"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</si>
  <si>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4" type="noConversion"/>
  </si>
  <si>
    <r>
      <rPr>
        <sz val="10"/>
        <color theme="1"/>
        <rFont val="宋体"/>
        <family val="3"/>
        <charset val="134"/>
      </rPr>
      <t>凭票据或默认已缴纳</t>
    </r>
    <phoneticPr fontId="4" type="noConversion"/>
  </si>
  <si>
    <r>
      <rPr>
        <sz val="10"/>
        <color indexed="8"/>
        <rFont val="宋体"/>
        <family val="3"/>
        <charset val="134"/>
      </rPr>
      <t>红线外市政基础设施（总）</t>
    </r>
    <phoneticPr fontId="4" type="noConversion"/>
  </si>
  <si>
    <r>
      <rPr>
        <sz val="10"/>
        <color indexed="8"/>
        <rFont val="宋体"/>
        <family val="3"/>
        <charset val="134"/>
      </rPr>
      <t>红线外市政基础设施（现状）</t>
    </r>
    <phoneticPr fontId="4" type="noConversion"/>
  </si>
  <si>
    <r>
      <rPr>
        <sz val="10"/>
        <color indexed="8"/>
        <rFont val="宋体"/>
        <family val="3"/>
        <charset val="134"/>
      </rPr>
      <t>红线外市政基础设施（待完成）</t>
    </r>
    <phoneticPr fontId="4" type="noConversion"/>
  </si>
  <si>
    <r>
      <rPr>
        <sz val="10"/>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</si>
  <si>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</si>
  <si>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0"/>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</si>
  <si>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</si>
  <si>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0"/>
        <color indexed="8"/>
        <rFont val="宋体"/>
        <family val="3"/>
        <charset val="134"/>
      </rPr>
      <t>非住宅项目及用公共配套计算实为</t>
    </r>
    <r>
      <rPr>
        <sz val="10"/>
        <color indexed="8"/>
        <rFont val="Arial"/>
        <family val="2"/>
      </rPr>
      <t>0</t>
    </r>
    <phoneticPr fontId="4" type="noConversion"/>
  </si>
  <si>
    <r>
      <rPr>
        <sz val="10"/>
        <color indexed="8"/>
        <rFont val="宋体"/>
        <family val="3"/>
        <charset val="134"/>
      </rPr>
      <t>红线内市政基础设施</t>
    </r>
    <phoneticPr fontId="4" type="noConversion"/>
  </si>
  <si>
    <r>
      <rPr>
        <sz val="10"/>
        <color theme="1"/>
        <rFont val="宋体"/>
        <family val="3"/>
        <charset val="134"/>
      </rPr>
      <t>变化</t>
    </r>
    <phoneticPr fontId="4" type="noConversion"/>
  </si>
  <si>
    <r>
      <rPr>
        <sz val="10"/>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</si>
  <si>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</si>
  <si>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0"/>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</si>
  <si>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</si>
  <si>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4" type="noConversion"/>
  </si>
  <si>
    <r>
      <rPr>
        <sz val="10"/>
        <color indexed="8"/>
        <rFont val="宋体"/>
        <family val="3"/>
        <charset val="134"/>
      </rPr>
      <t>增值税</t>
    </r>
    <phoneticPr fontId="4" type="noConversion"/>
  </si>
  <si>
    <r>
      <rPr>
        <sz val="10"/>
        <color indexed="8"/>
        <rFont val="宋体"/>
        <family val="3"/>
        <charset val="134"/>
      </rPr>
      <t>附加税合计</t>
    </r>
    <phoneticPr fontId="4" type="noConversion"/>
  </si>
  <si>
    <r>
      <rPr>
        <sz val="10"/>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</si>
  <si>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</si>
  <si>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0"/>
        <color indexed="8"/>
        <rFont val="宋体"/>
        <family val="3"/>
        <charset val="134"/>
      </rPr>
      <t>教育费附加</t>
    </r>
    <phoneticPr fontId="4" type="noConversion"/>
  </si>
  <si>
    <r>
      <rPr>
        <sz val="10"/>
        <color theme="1"/>
        <rFont val="宋体"/>
        <family val="3"/>
        <charset val="134"/>
      </rPr>
      <t>北京：</t>
    </r>
    <r>
      <rPr>
        <sz val="10"/>
        <color theme="1"/>
        <rFont val="Arial"/>
        <family val="2"/>
      </rPr>
      <t>3%</t>
    </r>
    <phoneticPr fontId="4" type="noConversion"/>
  </si>
  <si>
    <r>
      <rPr>
        <sz val="10"/>
        <color indexed="8"/>
        <rFont val="宋体"/>
        <family val="3"/>
        <charset val="134"/>
      </rPr>
      <t>地方教育费附加</t>
    </r>
    <phoneticPr fontId="4" type="noConversion"/>
  </si>
  <si>
    <r>
      <rPr>
        <sz val="10"/>
        <color theme="1"/>
        <rFont val="宋体"/>
        <family val="3"/>
        <charset val="134"/>
      </rPr>
      <t>北京：</t>
    </r>
    <r>
      <rPr>
        <sz val="10"/>
        <color theme="1"/>
        <rFont val="Arial"/>
        <family val="2"/>
      </rPr>
      <t>2%</t>
    </r>
    <phoneticPr fontId="4" type="noConversion"/>
  </si>
  <si>
    <r>
      <rPr>
        <sz val="10"/>
        <color indexed="8"/>
        <rFont val="宋体"/>
        <family val="3"/>
        <charset val="134"/>
      </rPr>
      <t>其他税种</t>
    </r>
    <phoneticPr fontId="4" type="noConversion"/>
  </si>
  <si>
    <r>
      <rPr>
        <sz val="10"/>
        <color theme="1"/>
        <rFont val="宋体"/>
        <family val="3"/>
        <charset val="134"/>
      </rPr>
      <t>请录依据文件名称：</t>
    </r>
    <phoneticPr fontId="4" type="noConversion"/>
  </si>
  <si>
    <r>
      <rPr>
        <sz val="10"/>
        <color indexed="8"/>
        <rFont val="宋体"/>
        <family val="3"/>
        <charset val="134"/>
      </rPr>
      <t>契税</t>
    </r>
    <phoneticPr fontId="4" type="noConversion"/>
  </si>
  <si>
    <r>
      <rPr>
        <sz val="10"/>
        <color indexed="8"/>
        <rFont val="宋体"/>
        <family val="3"/>
        <charset val="134"/>
      </rPr>
      <t>北京：</t>
    </r>
    <r>
      <rPr>
        <sz val="10"/>
        <color indexed="8"/>
        <rFont val="Arial"/>
        <family val="2"/>
      </rPr>
      <t>3%</t>
    </r>
    <phoneticPr fontId="4" type="noConversion"/>
  </si>
  <si>
    <r>
      <rPr>
        <sz val="10"/>
        <color indexed="8"/>
        <rFont val="宋体"/>
        <family val="3"/>
        <charset val="134"/>
      </rPr>
      <t>印花税</t>
    </r>
    <phoneticPr fontId="4" type="noConversion"/>
  </si>
  <si>
    <r>
      <rPr>
        <sz val="10"/>
        <color indexed="8"/>
        <rFont val="宋体"/>
        <family val="3"/>
        <charset val="134"/>
      </rPr>
      <t>北京：</t>
    </r>
    <r>
      <rPr>
        <sz val="10"/>
        <color indexed="8"/>
        <rFont val="Arial"/>
        <family val="2"/>
      </rPr>
      <t>0.05%</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</si>
  <si>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4"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</si>
  <si>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4" type="noConversion"/>
  </si>
  <si>
    <r>
      <rPr>
        <sz val="10"/>
        <color indexed="8"/>
        <rFont val="宋体"/>
        <family val="3"/>
        <charset val="134"/>
      </rPr>
      <t>土地使用税</t>
    </r>
    <phoneticPr fontId="4" type="noConversion"/>
  </si>
  <si>
    <r>
      <rPr>
        <sz val="10"/>
        <color indexed="8"/>
        <rFont val="宋体"/>
        <family val="3"/>
        <charset val="134"/>
      </rPr>
      <t>城镇土地纳税等级分级范围</t>
    </r>
    <phoneticPr fontId="4" type="noConversion"/>
  </si>
  <si>
    <r>
      <rPr>
        <sz val="10"/>
        <color indexed="8"/>
        <rFont val="宋体"/>
        <family val="3"/>
        <charset val="134"/>
      </rPr>
      <t>北京</t>
    </r>
    <phoneticPr fontId="4" type="noConversion"/>
  </si>
  <si>
    <r>
      <rPr>
        <sz val="10"/>
        <color indexed="8"/>
        <rFont val="宋体"/>
        <family val="3"/>
        <charset val="134"/>
      </rPr>
      <t>一级</t>
    </r>
    <phoneticPr fontId="4" type="noConversion"/>
  </si>
  <si>
    <r>
      <rPr>
        <sz val="10"/>
        <color indexed="8"/>
        <rFont val="宋体"/>
        <family val="3"/>
        <charset val="134"/>
      </rPr>
      <t>二级</t>
    </r>
    <phoneticPr fontId="4" type="noConversion"/>
  </si>
  <si>
    <r>
      <rPr>
        <sz val="10"/>
        <color indexed="8"/>
        <rFont val="宋体"/>
        <family val="3"/>
        <charset val="134"/>
      </rPr>
      <t>三级</t>
    </r>
    <phoneticPr fontId="4" type="noConversion"/>
  </si>
  <si>
    <r>
      <rPr>
        <sz val="10"/>
        <color indexed="8"/>
        <rFont val="宋体"/>
        <family val="3"/>
        <charset val="134"/>
      </rPr>
      <t>四级</t>
    </r>
    <phoneticPr fontId="4" type="noConversion"/>
  </si>
  <si>
    <r>
      <rPr>
        <sz val="10"/>
        <color indexed="8"/>
        <rFont val="宋体"/>
        <family val="3"/>
        <charset val="134"/>
      </rPr>
      <t>五级</t>
    </r>
    <phoneticPr fontId="4" type="noConversion"/>
  </si>
  <si>
    <r>
      <rPr>
        <sz val="10"/>
        <color indexed="8"/>
        <rFont val="宋体"/>
        <family val="3"/>
        <charset val="134"/>
      </rPr>
      <t>六级</t>
    </r>
    <phoneticPr fontId="4" type="noConversion"/>
  </si>
  <si>
    <r>
      <rPr>
        <sz val="10"/>
        <color indexed="8"/>
        <rFont val="宋体"/>
        <family val="3"/>
        <charset val="134"/>
      </rPr>
      <t>七级</t>
    </r>
    <phoneticPr fontId="4" type="noConversion"/>
  </si>
  <si>
    <r>
      <rPr>
        <sz val="10"/>
        <color indexed="8"/>
        <rFont val="宋体"/>
        <family val="3"/>
        <charset val="134"/>
      </rPr>
      <t>八级</t>
    </r>
    <phoneticPr fontId="4" type="noConversion"/>
  </si>
  <si>
    <r>
      <rPr>
        <sz val="10"/>
        <color indexed="8"/>
        <rFont val="宋体"/>
        <family val="3"/>
        <charset val="134"/>
      </rPr>
      <t>九级</t>
    </r>
    <phoneticPr fontId="4" type="noConversion"/>
  </si>
  <si>
    <r>
      <rPr>
        <sz val="10"/>
        <color indexed="8"/>
        <rFont val="宋体"/>
        <family val="3"/>
        <charset val="134"/>
      </rPr>
      <t>十级</t>
    </r>
    <phoneticPr fontId="4" type="noConversion"/>
  </si>
  <si>
    <t>部分缴纳</t>
  </si>
  <si>
    <t>已部分缴纳</t>
  </si>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</sst>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74">
    <numFmt numFmtId="41" formatCode="_-* #,##0_-;\-* #,##0_-;_-* &quot;-&quot;_-;_-@_-"/>
    <numFmt numFmtId="43" formatCode="_-* #,##0.00_-;\-* #,##0.00_-;_-* &quot;-&quot;??_-;_-@_-"/>
    <numFmt numFmtId="176" formatCode="&quot;¥&quot;#,##0.00;[Red]&quot;¥&quot;\-#,##0.00"/>
    <numFmt numFmtId="177" formatCode="_ * #,##0_ ;_ * \-#,##0_ ;_ * &quot;-&quot;_ ;_ @_ "/>
    <numFmt numFmtId="178" formatCode="_ &quot;¥&quot;* #,##0.00_ ;_ &quot;¥&quot;* \-#,##0.00_ ;_ &quot;¥&quot;* &quot;-&quot;??_ ;_ @_ "/>
    <numFmt numFmtId="179" formatCode="_ * #,##0.00_ ;_ * \-#,##0.00_ ;_ * &quot;-&quot;??_ ;_ @_ "/>
    <numFmt numFmtId="180" formatCode="0.00_);[Red]\(0.00\)"/>
    <numFmt numFmtId="181" formatCode="0_ "/>
    <numFmt numFmtId="182" formatCode="0.0_ "/>
    <numFmt numFmtId="183" formatCode="0.00_ "/>
    <numFmt numFmtId="184" formatCode="0.000_ "/>
    <numFmt numFmtId="185" formatCode="0.0%"/>
    <numFmt numFmtId="186" formatCode="[DBNum2][$-804]General"/>
    <numFmt numFmtId="187" formatCode="0.000%"/>
    <numFmt numFmtId="188" formatCode="yyyy&quot;年&quot;m&quot;月&quot;d&quot;日&quot;;@"/>
    <numFmt numFmtId="189" formatCode="0.0000%"/>
    <numFmt numFmtId="190" formatCode="0_);[Red]\(0\)"/>
    <numFmt numFmtId="191" formatCode="0.0000_ "/>
    <numFmt numFmtId="192" formatCode="0.000_);[Red]\(0.000\)"/>
    <numFmt numFmtId="193" formatCode="0.0_);[Red]\(0.0\)"/>
    <numFmt numFmtId="194" formatCode="yyyy&quot;年&quot;m&quot;月&quot;;@"/>
    <numFmt numFmtId="195" formatCode="0;_쐀"/>
    <numFmt numFmtId="196" formatCode="[$-F800]dddd\,\ mmmm\ dd\,\ yyyy"/>
    <numFmt numFmtId="197" formatCode="[DBNum1][$-804]General"/>
    <numFmt numFmtId="198" formatCode="[DBNum1][$-804]yyyy&quot;年&quot;m&quot;月&quot;d&quot;日&quot;;@"/>
    <numFmt numFmtId="199" formatCode="0_ ;[Red]\-0\ "/>
    <numFmt numFmtId="200" formatCode="yyyy/m/d;@"/>
    <numFmt numFmtId="201" formatCode="#,##0.00_);[Red]\(#,##0.00\)"/>
    <numFmt numFmtId="202" formatCode="#,##0_);[Red]\(#,##0\)"/>
    <numFmt numFmtId="203" formatCode="_ * #,##0_ ;_ * \-#,##0_ ;_ * &quot;-&quot;??_ ;_ @_ "/>
    <numFmt numFmtId="204" formatCode="_-#,##0_-;\(#,##0\);_-\ \ &quot;-&quot;_-;_-@_-"/>
    <numFmt numFmtId="205" formatCode="_-#,##0.00_-;\(#,##0.00\);_-\ \ &quot;-&quot;_-;_-@_-"/>
    <numFmt numFmtId="206" formatCode="mmm/dd/yyyy;_-\ &quot;N/A&quot;_-;_-\ &quot;-&quot;_-"/>
    <numFmt numFmtId="207" formatCode="mmm/yyyy;_-\ &quot;N/A&quot;_-;_-\ &quot;-&quot;_-"/>
    <numFmt numFmtId="208" formatCode="_-#,##0%_-;\(#,##0%\);_-\ &quot;-&quot;_-"/>
    <numFmt numFmtId="209" formatCode="_-#,###,_-;\(#,###,\);_-\ \ &quot;-&quot;_-;_-@_-"/>
    <numFmt numFmtId="210" formatCode="_-#,###.00,_-;\(#,###.00,\);_-\ \ &quot;-&quot;_-;_-@_-"/>
    <numFmt numFmtId="211" formatCode="_-#0&quot;.&quot;0,_-;\(#0&quot;.&quot;0,\);_-\ \ &quot;-&quot;_-;_-@_-"/>
    <numFmt numFmtId="212" formatCode="_-#0&quot;.&quot;0000_-;\(#0&quot;.&quot;0000\);_-\ \ &quot;-&quot;_-;_-@_-"/>
    <numFmt numFmtId="213" formatCode="#,##0.0_ ;[Red]\-#,##0.0\ "/>
    <numFmt numFmtId="214" formatCode="#,##0.0_);\(#,##0.0\)"/>
    <numFmt numFmtId="215" formatCode="_(* #,##0.0000_);_(* \(#,##0.0000\);_(* &quot;-&quot;??_);_(@_)"/>
    <numFmt numFmtId="216" formatCode="&quot;RM&quot;#,##0.00_);[Red]\(&quot;RM&quot;#,##0.00\)"/>
    <numFmt numFmtId="217" formatCode="mm/dd/yy"/>
    <numFmt numFmtId="218" formatCode="_(&quot;RM&quot;* #,##0_);_(&quot;RM&quot;* \(#,##0\);_(&quot;RM&quot;* &quot;-&quot;_);_(@_)"/>
    <numFmt numFmtId="219" formatCode="_(&quot;$&quot;* #,##0.00_);_(&quot;$&quot;* \(#,##0.00\);_(&quot;$&quot;* &quot;-&quot;??_);_(@_)"/>
    <numFmt numFmtId="220" formatCode="_(&quot;RM&quot;* #,##0.00_);_(&quot;RM&quot;* \(#,##0.00\);_(&quot;RM&quot;* &quot;-&quot;??_);_(@_)"/>
    <numFmt numFmtId="221" formatCode="&quot;\&quot;#,##0;[Red]&quot;\&quot;&quot;\&quot;&quot;\&quot;&quot;\&quot;&quot;\&quot;&quot;\&quot;&quot;\&quot;\-#,##0"/>
    <numFmt numFmtId="222" formatCode="_(* #,##0.00_);_(* \(#,##0.00\);_(* &quot;-&quot;??_);_(@_)"/>
    <numFmt numFmtId="223" formatCode="&quot;¥&quot;#,##0;[Red]\-&quot;¥&quot;#,##0"/>
    <numFmt numFmtId="224" formatCode="_(&quot;¥&quot;* #,##0.00_);_(&quot;¥&quot;* \(#,##0.00\);_(&quot;¥&quot;* &quot;-&quot;??_);_(@_)"/>
    <numFmt numFmtId="225" formatCode="&quot;$&quot;#,##0;\-&quot;$&quot;#,##0"/>
    <numFmt numFmtId="226" formatCode="mmm\-d"/>
    <numFmt numFmtId="227" formatCode="* #,##0_);* \(#,##0\);&quot;-&quot;??_);@"/>
    <numFmt numFmtId="228" formatCode="#,###_);\(#,##0\)"/>
    <numFmt numFmtId="229" formatCode="&quot;$&quot;#,##0.00_);[Red]\(&quot;$&quot;#,##0.00\)"/>
    <numFmt numFmtId="230" formatCode="&quot;$&quot;#,##0_);[Red]\(&quot;$&quot;#,##0\)"/>
    <numFmt numFmtId="231" formatCode="_([$€-2]* #,##0.00_);_([$€-2]* \(#,##0.00\);_([$€-2]* &quot;-&quot;??_)"/>
    <numFmt numFmtId="232" formatCode="_(&quot;$&quot;* #,##0_);_(&quot;$&quot;* \(#,##0\);_(&quot;$&quot;* &quot;-&quot;_);_(@_)"/>
    <numFmt numFmtId="233" formatCode="_ &quot;\&quot;* #,##0.00_ ;_ &quot;\&quot;* \-#,##0.00_ ;_ &quot;\&quot;* &quot;-&quot;??_ ;_ @_ "/>
    <numFmt numFmtId="234" formatCode="0.00_)"/>
    <numFmt numFmtId="235" formatCode="[$-409]d\-mmm;@"/>
    <numFmt numFmtId="236" formatCode="&quot;RM&quot;#,##0.00_);\(&quot;RM&quot;#,##0.00\)"/>
    <numFmt numFmtId="237" formatCode="_ * #,##0.00_ ;_ * \-#,##0.00_ ;_ * &quot;-&quot;_ ;_ @_ "/>
    <numFmt numFmtId="238" formatCode="mmmm\-yy"/>
    <numFmt numFmtId="239" formatCode="mmmm/yy"/>
    <numFmt numFmtId="240" formatCode="#,##0_ "/>
    <numFmt numFmtId="241" formatCode="#,##0.00_ "/>
    <numFmt numFmtId="242" formatCode="0.0000000"/>
    <numFmt numFmtId="243" formatCode="0.000000"/>
    <numFmt numFmtId="244" formatCode="0.00000000"/>
    <numFmt numFmtId="245" formatCode="_(* #,##0_);_(* \(#,##0\);_(* &quot;-&quot;_);_(@_)"/>
    <numFmt numFmtId="246" formatCode="_(* #,##0_);[Red]_(* \(#,##0\);_(* &quot;-&quot;??_)"/>
    <numFmt numFmtId="247" formatCode="_ * #,##0.000000000000000000_ ;_ * \-#,##0.000000000000000000_ ;_ * &quot;-&quot;??_ ;_ @_ "/>
  </numFmts>
  <fonts count="3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8"/>
      <color theme="1"/>
      <name val="微软雅黑"/>
      <family val="2"/>
      <charset val="134"/>
    </font>
    <font>
      <b/>
      <sz val="11"/>
      <color rgb="FFFF0000"/>
      <name val="微软雅黑"/>
      <family val="2"/>
      <charset val="134"/>
    </font>
    <font>
      <sz val="11"/>
      <name val="微软雅黑"/>
      <family val="2"/>
      <charset val="134"/>
    </font>
    <font>
      <sz val="10"/>
      <name val="Times New Roman"/>
      <family val="1"/>
    </font>
    <font>
      <sz val="10"/>
      <name val="Helv"/>
      <family val="2"/>
    </font>
    <font>
      <sz val="12"/>
      <name val="Times New Roman"/>
      <family val="1"/>
    </font>
    <font>
      <u val="singleAccounting"/>
      <vertAlign val="subscript"/>
      <sz val="10"/>
      <name val="Times New Roman"/>
      <family val="1"/>
    </font>
    <font>
      <i/>
      <sz val="9"/>
      <name val="Times New Roman"/>
      <family val="1"/>
    </font>
    <font>
      <sz val="11"/>
      <color indexed="9"/>
      <name val="宋体"/>
      <family val="3"/>
      <charset val="134"/>
    </font>
    <font>
      <sz val="11"/>
      <color theme="0"/>
      <name val="宋体"/>
      <family val="3"/>
      <charset val="134"/>
      <scheme val="minor"/>
    </font>
    <font>
      <sz val="10"/>
      <name val="¿¬Ìå"/>
      <family val="1"/>
    </font>
    <font>
      <sz val="8"/>
      <name val="Times New Roman"/>
      <family val="1"/>
    </font>
    <font>
      <sz val="11"/>
      <color indexed="20"/>
      <name val="宋体"/>
      <family val="3"/>
      <charset val="134"/>
    </font>
    <font>
      <sz val="12"/>
      <name val="Tms Rmn"/>
      <family val="1"/>
    </font>
    <font>
      <sz val="12"/>
      <name val="楷体_GB2312"/>
      <family val="3"/>
      <charset val="134"/>
    </font>
    <font>
      <b/>
      <sz val="11"/>
      <color indexed="52"/>
      <name val="宋体"/>
      <family val="3"/>
      <charset val="134"/>
    </font>
    <font>
      <b/>
      <sz val="10"/>
      <name val="Helv"/>
      <family val="2"/>
    </font>
    <font>
      <sz val="10"/>
      <name val="MS Sans Serif"/>
      <family val="2"/>
    </font>
    <font>
      <b/>
      <sz val="11"/>
      <color indexed="9"/>
      <name val="宋体"/>
      <family val="3"/>
      <charset val="134"/>
    </font>
    <font>
      <b/>
      <sz val="10"/>
      <name val="MS Sans Serif"/>
      <family val="2"/>
    </font>
    <font>
      <b/>
      <sz val="8"/>
      <name val="Arial"/>
      <family val="2"/>
    </font>
    <font>
      <sz val="9"/>
      <name val="Arial"/>
      <family val="2"/>
    </font>
    <font>
      <sz val="10"/>
      <name val="MS Serif"/>
      <family val="1"/>
    </font>
    <font>
      <sz val="11"/>
      <name val="Times New Roman"/>
      <family val="1"/>
    </font>
    <font>
      <sz val="10"/>
      <color indexed="16"/>
      <name val="MS Serif"/>
      <family val="1"/>
    </font>
    <font>
      <sz val="8"/>
      <name val="Arial"/>
      <family val="2"/>
    </font>
    <font>
      <i/>
      <sz val="11"/>
      <color indexed="23"/>
      <name val="宋体"/>
      <family val="3"/>
      <charset val="134"/>
    </font>
    <font>
      <u/>
      <sz val="10"/>
      <color indexed="36"/>
      <name val="Arial"/>
      <family val="2"/>
    </font>
    <font>
      <sz val="11"/>
      <color indexed="17"/>
      <name val="宋体"/>
      <family val="3"/>
      <charset val="134"/>
    </font>
    <font>
      <b/>
      <sz val="12"/>
      <name val="Helv"/>
      <family val="2"/>
    </font>
    <font>
      <b/>
      <sz val="15"/>
      <color indexed="56"/>
      <name val="宋体"/>
      <family val="3"/>
      <charset val="134"/>
    </font>
    <font>
      <b/>
      <sz val="13"/>
      <color indexed="56"/>
      <name val="宋体"/>
      <family val="3"/>
      <charset val="134"/>
    </font>
    <font>
      <b/>
      <sz val="11"/>
      <color indexed="56"/>
      <name val="宋体"/>
      <family val="3"/>
      <charset val="134"/>
    </font>
    <font>
      <b/>
      <sz val="8"/>
      <name val="MS Sans Serif"/>
      <family val="2"/>
    </font>
    <font>
      <u/>
      <sz val="10"/>
      <color indexed="12"/>
      <name val="Arial"/>
      <family val="2"/>
    </font>
    <font>
      <sz val="10"/>
      <color indexed="16"/>
      <name val="Arial Narrow"/>
      <family val="2"/>
    </font>
    <font>
      <sz val="12"/>
      <name val="Helv"/>
      <family val="2"/>
    </font>
    <font>
      <sz val="11"/>
      <color indexed="62"/>
      <name val="Calibri"/>
      <family val="2"/>
    </font>
    <font>
      <sz val="11"/>
      <color indexed="52"/>
      <name val="宋体"/>
      <family val="3"/>
      <charset val="134"/>
    </font>
    <font>
      <sz val="12"/>
      <color indexed="9"/>
      <name val="Helv"/>
      <family val="2"/>
    </font>
    <font>
      <b/>
      <sz val="11"/>
      <name val="Helv"/>
      <family val="2"/>
    </font>
    <font>
      <sz val="11"/>
      <color indexed="60"/>
      <name val="宋体"/>
      <family val="3"/>
      <charset val="134"/>
    </font>
    <font>
      <sz val="7"/>
      <name val="Small Fonts"/>
      <family val="2"/>
    </font>
    <font>
      <b/>
      <i/>
      <sz val="16"/>
      <name val="Helv"/>
      <family val="2"/>
    </font>
    <font>
      <sz val="10"/>
      <color indexed="8"/>
      <name val="Arial Unicode MS"/>
      <family val="2"/>
      <charset val="134"/>
    </font>
    <font>
      <sz val="10"/>
      <color indexed="8"/>
      <name val="Arial Unicode MS"/>
      <family val="2"/>
    </font>
    <font>
      <sz val="10"/>
      <color indexed="8"/>
      <name val="MS Sans Serif"/>
      <family val="2"/>
    </font>
    <font>
      <b/>
      <sz val="11"/>
      <color indexed="63"/>
      <name val="宋体"/>
      <family val="3"/>
      <charset val="134"/>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1"/>
      <color indexed="63"/>
      <name val="Calibri"/>
      <family val="2"/>
    </font>
    <font>
      <sz val="8"/>
      <name val="Wingdings"/>
      <charset val="2"/>
    </font>
    <font>
      <b/>
      <sz val="10"/>
      <color indexed="39"/>
      <name val="Arial"/>
      <family val="2"/>
    </font>
    <font>
      <sz val="10"/>
      <color indexed="39"/>
      <name val="Arial"/>
      <family val="2"/>
    </font>
    <font>
      <sz val="19"/>
      <color indexed="48"/>
      <name val="Arial"/>
      <family val="2"/>
    </font>
    <font>
      <sz val="8"/>
      <name val="MS Sans Serif"/>
      <family val="2"/>
    </font>
    <font>
      <b/>
      <sz val="10"/>
      <name val="Tms Rmn"/>
      <family val="1"/>
    </font>
    <font>
      <b/>
      <sz val="8"/>
      <color indexed="8"/>
      <name val="Helv"/>
      <family val="2"/>
    </font>
    <font>
      <b/>
      <sz val="18"/>
      <color indexed="56"/>
      <name val="宋体"/>
      <family val="3"/>
      <charset val="134"/>
    </font>
    <font>
      <sz val="10"/>
      <color indexed="8"/>
      <name val="黑体"/>
      <family val="3"/>
      <charset val="134"/>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b/>
      <sz val="18"/>
      <color theme="3"/>
      <name val="宋体"/>
      <family val="3"/>
      <charset val="134"/>
      <scheme val="major"/>
    </font>
    <font>
      <sz val="11"/>
      <name val="ＭＳ Ｐゴシック"/>
      <family val="2"/>
    </font>
    <font>
      <sz val="11"/>
      <color rgb="FF9C0006"/>
      <name val="宋体"/>
      <family val="3"/>
      <charset val="134"/>
      <scheme val="minor"/>
    </font>
    <font>
      <sz val="12"/>
      <color indexed="20"/>
      <name val="宋体"/>
      <family val="3"/>
      <charset val="134"/>
    </font>
    <font>
      <sz val="11"/>
      <color rgb="FF000000"/>
      <name val="宋体"/>
      <family val="3"/>
      <charset val="134"/>
      <scheme val="minor"/>
    </font>
    <font>
      <sz val="9"/>
      <name val="宋体  "/>
      <family val="2"/>
    </font>
    <font>
      <sz val="10"/>
      <color theme="1"/>
      <name val="Arial"/>
      <family val="2"/>
      <charset val="134"/>
    </font>
    <font>
      <u/>
      <sz val="9"/>
      <color indexed="12"/>
      <name val="宋体"/>
      <family val="3"/>
      <charset val="134"/>
    </font>
    <font>
      <u/>
      <sz val="12"/>
      <color indexed="12"/>
      <name val="宋体"/>
      <family val="3"/>
      <charset val="134"/>
    </font>
    <font>
      <sz val="9"/>
      <name val="Times New Roman"/>
      <family val="1"/>
    </font>
    <font>
      <sz val="11"/>
      <color rgb="FF006100"/>
      <name val="宋体"/>
      <family val="3"/>
      <charset val="134"/>
      <scheme val="minor"/>
    </font>
    <font>
      <sz val="12"/>
      <color indexed="17"/>
      <name val="宋体"/>
      <family val="3"/>
      <charset val="134"/>
    </font>
    <font>
      <u/>
      <sz val="9"/>
      <color indexed="36"/>
      <name val="宋体"/>
      <family val="3"/>
      <charset val="134"/>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A7D00"/>
      <name val="宋体"/>
      <family val="3"/>
      <charset val="134"/>
      <scheme val="minor"/>
    </font>
    <font>
      <sz val="11"/>
      <name val="蹈框"/>
      <charset val="134"/>
    </font>
    <font>
      <sz val="12"/>
      <name val="宋体"/>
      <family val="3"/>
      <charset val="134"/>
      <scheme val="minor"/>
    </font>
    <font>
      <sz val="11"/>
      <color rgb="FF9C6500"/>
      <name val="宋体"/>
      <family val="3"/>
      <charset val="134"/>
      <scheme val="minor"/>
    </font>
    <font>
      <b/>
      <sz val="11"/>
      <color rgb="FF3F3F3F"/>
      <name val="宋体"/>
      <family val="3"/>
      <charset val="134"/>
      <scheme val="minor"/>
    </font>
    <font>
      <sz val="11"/>
      <color indexed="62"/>
      <name val="宋体"/>
      <family val="3"/>
      <charset val="134"/>
    </font>
    <font>
      <sz val="11"/>
      <color rgb="FF3F3F76"/>
      <name val="宋体"/>
      <family val="3"/>
      <charset val="134"/>
      <scheme val="minor"/>
    </font>
  </fonts>
  <fills count="1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8E8"/>
        <bgColor indexed="64"/>
      </patternFill>
    </fill>
    <fill>
      <patternFill patternType="solid">
        <fgColor rgb="FFF1F1F1"/>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36"/>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4"/>
        <bgColor indexed="64"/>
      </patternFill>
    </fill>
    <fill>
      <patternFill patternType="solid">
        <fgColor indexed="26"/>
        <bgColor indexed="64"/>
      </patternFill>
    </fill>
    <fill>
      <patternFill patternType="solid">
        <fgColor indexed="15"/>
      </patternFill>
    </fill>
    <fill>
      <patternFill patternType="solid">
        <fgColor indexed="15"/>
        <bgColor indexed="64"/>
      </patternFill>
    </fill>
    <fill>
      <patternFill patternType="solid">
        <fgColor indexed="43"/>
      </patternFill>
    </fill>
    <fill>
      <patternFill patternType="solid">
        <fgColor indexed="12"/>
      </patternFill>
    </fill>
    <fill>
      <patternFill patternType="solid">
        <fgColor indexed="12"/>
        <bgColor indexed="64"/>
      </patternFill>
    </fill>
    <fill>
      <patternFill patternType="solid">
        <fgColor indexed="26"/>
      </patternFill>
    </fill>
    <fill>
      <patternFill patternType="solid">
        <fgColor indexed="9"/>
      </patternFill>
    </fill>
    <fill>
      <patternFill patternType="mediumGray">
        <fgColor indexed="22"/>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gray0625"/>
    </fill>
    <fill>
      <patternFill patternType="solid">
        <fgColor indexed="55"/>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s>
  <cellStyleXfs count="733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9" fontId="255" fillId="0" borderId="0" applyFont="0" applyFill="0" applyBorder="0" applyAlignment="0" applyProtection="0">
      <alignment vertical="center"/>
    </xf>
    <xf numFmtId="0" fontId="171" fillId="0" borderId="0"/>
    <xf numFmtId="0" fontId="57" fillId="0" borderId="0"/>
    <xf numFmtId="0" fontId="57" fillId="0" borderId="0"/>
    <xf numFmtId="43" fontId="5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9" fontId="262" fillId="0" borderId="0" applyProtection="0">
      <alignment horizontal="left"/>
    </xf>
    <xf numFmtId="49" fontId="262" fillId="0" borderId="0" applyProtection="0">
      <alignment horizontal="left"/>
    </xf>
    <xf numFmtId="49" fontId="262" fillId="0" borderId="0" applyProtection="0">
      <alignment horizontal="left"/>
    </xf>
    <xf numFmtId="203" fontId="145" fillId="0" borderId="169" applyFill="0" applyProtection="0">
      <alignment horizontal="center" vertical="center" wrapText="1"/>
    </xf>
    <xf numFmtId="0" fontId="263" fillId="0" borderId="0"/>
    <xf numFmtId="0" fontId="263" fillId="0" borderId="0"/>
    <xf numFmtId="0" fontId="57" fillId="0" borderId="0"/>
    <xf numFmtId="0" fontId="264" fillId="0" borderId="0"/>
    <xf numFmtId="0" fontId="264" fillId="0" borderId="0"/>
    <xf numFmtId="0" fontId="51" fillId="0" borderId="0">
      <alignment vertical="top"/>
    </xf>
    <xf numFmtId="0" fontId="51" fillId="0" borderId="0">
      <alignment vertical="top"/>
    </xf>
    <xf numFmtId="0" fontId="51" fillId="0" borderId="0">
      <alignment vertical="top"/>
    </xf>
    <xf numFmtId="0" fontId="264" fillId="0" borderId="0"/>
    <xf numFmtId="0" fontId="264" fillId="0" borderId="0"/>
    <xf numFmtId="0" fontId="264" fillId="0" borderId="0"/>
    <xf numFmtId="0" fontId="57" fillId="0" borderId="0"/>
    <xf numFmtId="0" fontId="57" fillId="0" borderId="0"/>
    <xf numFmtId="0" fontId="57" fillId="0" borderId="0"/>
    <xf numFmtId="0" fontId="264" fillId="0" borderId="0"/>
    <xf numFmtId="0" fontId="264" fillId="0" borderId="0"/>
    <xf numFmtId="0" fontId="57" fillId="0" borderId="0"/>
    <xf numFmtId="0" fontId="57" fillId="0" borderId="0"/>
    <xf numFmtId="0" fontId="57" fillId="0" borderId="0"/>
    <xf numFmtId="0" fontId="57" fillId="0" borderId="0"/>
    <xf numFmtId="0" fontId="57" fillId="0" borderId="0"/>
    <xf numFmtId="0" fontId="263" fillId="0" borderId="0"/>
    <xf numFmtId="0" fontId="263" fillId="0" borderId="0"/>
    <xf numFmtId="0" fontId="57" fillId="0" borderId="0"/>
    <xf numFmtId="0" fontId="57" fillId="0" borderId="0"/>
    <xf numFmtId="0" fontId="57" fillId="0" borderId="0"/>
    <xf numFmtId="0" fontId="57" fillId="0" borderId="0"/>
    <xf numFmtId="0" fontId="57" fillId="0" borderId="0"/>
    <xf numFmtId="0" fontId="51" fillId="0" borderId="0">
      <alignment vertical="top"/>
    </xf>
    <xf numFmtId="0" fontId="51" fillId="0" borderId="0">
      <alignment vertical="top"/>
    </xf>
    <xf numFmtId="0" fontId="51" fillId="0" borderId="0">
      <alignment vertical="top"/>
    </xf>
    <xf numFmtId="0" fontId="264" fillId="0" borderId="0"/>
    <xf numFmtId="0" fontId="51" fillId="0" borderId="0">
      <alignment vertical="top"/>
    </xf>
    <xf numFmtId="0" fontId="51" fillId="0" borderId="0">
      <alignment vertical="top"/>
    </xf>
    <xf numFmtId="0" fontId="51" fillId="0" borderId="0">
      <alignment vertical="top"/>
    </xf>
    <xf numFmtId="0" fontId="57" fillId="0" borderId="0"/>
    <xf numFmtId="0" fontId="264"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64" fillId="0" borderId="0"/>
    <xf numFmtId="0" fontId="263" fillId="0" borderId="0"/>
    <xf numFmtId="0" fontId="263" fillId="0" borderId="0"/>
    <xf numFmtId="0" fontId="263" fillId="0" borderId="0"/>
    <xf numFmtId="0" fontId="263" fillId="0" borderId="0"/>
    <xf numFmtId="0" fontId="57" fillId="0" borderId="0"/>
    <xf numFmtId="0" fontId="264" fillId="0" borderId="0"/>
    <xf numFmtId="0" fontId="264" fillId="0" borderId="0"/>
    <xf numFmtId="0" fontId="264" fillId="0" borderId="0"/>
    <xf numFmtId="0" fontId="264" fillId="0" borderId="0"/>
    <xf numFmtId="0" fontId="263" fillId="0" borderId="0"/>
    <xf numFmtId="0" fontId="263" fillId="0" borderId="0"/>
    <xf numFmtId="0" fontId="263" fillId="0" borderId="0"/>
    <xf numFmtId="0" fontId="263" fillId="0" borderId="0"/>
    <xf numFmtId="0" fontId="264" fillId="0" borderId="0"/>
    <xf numFmtId="0" fontId="264" fillId="0" borderId="0">
      <protection locked="0"/>
    </xf>
    <xf numFmtId="0" fontId="263" fillId="0" borderId="0"/>
    <xf numFmtId="0" fontId="263" fillId="0" borderId="0"/>
    <xf numFmtId="0" fontId="263"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63" fillId="0" borderId="0"/>
    <xf numFmtId="0" fontId="263" fillId="0" borderId="0"/>
    <xf numFmtId="0" fontId="264" fillId="0" borderId="0"/>
    <xf numFmtId="0" fontId="263" fillId="0" borderId="0"/>
    <xf numFmtId="0" fontId="263" fillId="0" borderId="0"/>
    <xf numFmtId="0" fontId="264" fillId="0" borderId="0"/>
    <xf numFmtId="0" fontId="263" fillId="0" borderId="0"/>
    <xf numFmtId="0" fontId="57" fillId="0" borderId="0"/>
    <xf numFmtId="0" fontId="263" fillId="0" borderId="0"/>
    <xf numFmtId="0" fontId="264" fillId="0" borderId="0"/>
    <xf numFmtId="0" fontId="263"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3" fillId="0" borderId="0"/>
    <xf numFmtId="0" fontId="263" fillId="0" borderId="0"/>
    <xf numFmtId="0" fontId="264" fillId="0" borderId="0"/>
    <xf numFmtId="0" fontId="264" fillId="0" borderId="0"/>
    <xf numFmtId="0" fontId="264" fillId="0" borderId="0"/>
    <xf numFmtId="0" fontId="264" fillId="0" borderId="0"/>
    <xf numFmtId="0" fontId="263" fillId="0" borderId="0"/>
    <xf numFmtId="0" fontId="264" fillId="0" borderId="0"/>
    <xf numFmtId="0" fontId="263" fillId="0" borderId="0"/>
    <xf numFmtId="0" fontId="263" fillId="0" borderId="0"/>
    <xf numFmtId="0" fontId="263" fillId="0" borderId="0"/>
    <xf numFmtId="0" fontId="263" fillId="0" borderId="0"/>
    <xf numFmtId="204" fontId="262" fillId="0" borderId="0" applyFill="0" applyBorder="0" applyProtection="0">
      <alignment horizontal="right"/>
    </xf>
    <xf numFmtId="205" fontId="262" fillId="0" borderId="0" applyFill="0" applyBorder="0" applyProtection="0">
      <alignment horizontal="right"/>
    </xf>
    <xf numFmtId="206" fontId="265" fillId="0" borderId="0" applyFill="0" applyBorder="0" applyProtection="0">
      <alignment horizontal="center"/>
    </xf>
    <xf numFmtId="207" fontId="265" fillId="0" borderId="0" applyFill="0" applyBorder="0" applyProtection="0">
      <alignment horizontal="center"/>
    </xf>
    <xf numFmtId="208" fontId="266" fillId="0" borderId="0" applyFill="0" applyBorder="0" applyProtection="0">
      <alignment horizontal="right"/>
    </xf>
    <xf numFmtId="209" fontId="262" fillId="0" borderId="0" applyFill="0" applyBorder="0" applyProtection="0">
      <alignment horizontal="right"/>
    </xf>
    <xf numFmtId="210" fontId="262" fillId="0" borderId="0" applyFill="0" applyBorder="0" applyProtection="0">
      <alignment horizontal="right"/>
    </xf>
    <xf numFmtId="211" fontId="262" fillId="0" borderId="0" applyFill="0" applyBorder="0" applyProtection="0">
      <alignment horizontal="right"/>
    </xf>
    <xf numFmtId="212" fontId="262" fillId="0" borderId="0" applyFill="0" applyBorder="0" applyProtection="0">
      <alignment horizontal="right"/>
    </xf>
    <xf numFmtId="0" fontId="264" fillId="0" borderId="0"/>
    <xf numFmtId="0" fontId="38" fillId="0" borderId="0"/>
    <xf numFmtId="0" fontId="138" fillId="51" borderId="0" applyNumberFormat="0" applyBorder="0" applyAlignment="0" applyProtection="0">
      <alignment vertical="center"/>
    </xf>
    <xf numFmtId="0" fontId="138" fillId="52" borderId="0" applyNumberFormat="0" applyBorder="0" applyAlignment="0" applyProtection="0">
      <alignment vertical="center"/>
    </xf>
    <xf numFmtId="0" fontId="138" fillId="53" borderId="0" applyNumberFormat="0" applyBorder="0" applyAlignment="0" applyProtection="0">
      <alignment vertical="center"/>
    </xf>
    <xf numFmtId="0" fontId="138" fillId="54" borderId="0" applyNumberFormat="0" applyBorder="0" applyAlignment="0" applyProtection="0">
      <alignment vertical="center"/>
    </xf>
    <xf numFmtId="0" fontId="138" fillId="55" borderId="0" applyNumberFormat="0" applyBorder="0" applyAlignment="0" applyProtection="0">
      <alignment vertical="center"/>
    </xf>
    <xf numFmtId="0" fontId="138" fillId="56"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38" fillId="57"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00" fillId="25"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7"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38" fillId="58"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00" fillId="29"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8"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38" fillId="59"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00" fillId="33"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59"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38" fillId="60"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00" fillId="37"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38" fillId="6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00" fillId="4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1"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38" fillId="62"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62" borderId="0" applyNumberFormat="0" applyBorder="0" applyAlignment="0" applyProtection="0">
      <alignment vertical="center"/>
    </xf>
    <xf numFmtId="0" fontId="138" fillId="57" borderId="0" applyNumberFormat="0" applyBorder="0" applyAlignment="0" applyProtection="0">
      <alignment vertical="center"/>
    </xf>
    <xf numFmtId="0" fontId="138" fillId="58" borderId="0" applyNumberFormat="0" applyBorder="0" applyAlignment="0" applyProtection="0">
      <alignment vertical="center"/>
    </xf>
    <xf numFmtId="0" fontId="138" fillId="59" borderId="0" applyNumberFormat="0" applyBorder="0" applyAlignment="0" applyProtection="0">
      <alignment vertical="center"/>
    </xf>
    <xf numFmtId="0" fontId="138" fillId="60" borderId="0" applyNumberFormat="0" applyBorder="0" applyAlignment="0" applyProtection="0">
      <alignment vertical="center"/>
    </xf>
    <xf numFmtId="0" fontId="138" fillId="61" borderId="0" applyNumberFormat="0" applyBorder="0" applyAlignment="0" applyProtection="0">
      <alignment vertical="center"/>
    </xf>
    <xf numFmtId="0" fontId="138" fillId="62" borderId="0" applyNumberFormat="0" applyBorder="0" applyAlignment="0" applyProtection="0">
      <alignment vertical="center"/>
    </xf>
    <xf numFmtId="0" fontId="38" fillId="0" borderId="0" applyProtection="0"/>
    <xf numFmtId="0" fontId="38" fillId="0" borderId="0" applyProtection="0"/>
    <xf numFmtId="0" fontId="38" fillId="0" borderId="0"/>
    <xf numFmtId="0" fontId="38" fillId="0" borderId="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0" fontId="57" fillId="0" borderId="0"/>
    <xf numFmtId="0" fontId="38" fillId="0" borderId="0"/>
    <xf numFmtId="196" fontId="38" fillId="0" borderId="0" applyProtection="0"/>
    <xf numFmtId="196" fontId="38" fillId="0" borderId="0" applyProtection="0"/>
    <xf numFmtId="196" fontId="38" fillId="0" borderId="0" applyProtection="0"/>
    <xf numFmtId="0" fontId="57" fillId="0" borderId="0"/>
    <xf numFmtId="0" fontId="57" fillId="0" borderId="0" applyProtection="0"/>
    <xf numFmtId="0" fontId="264" fillId="0" borderId="0"/>
    <xf numFmtId="0" fontId="138" fillId="63" borderId="0" applyNumberFormat="0" applyBorder="0" applyAlignment="0" applyProtection="0">
      <alignment vertical="center"/>
    </xf>
    <xf numFmtId="0" fontId="138" fillId="64" borderId="0" applyNumberFormat="0" applyBorder="0" applyAlignment="0" applyProtection="0">
      <alignment vertical="center"/>
    </xf>
    <xf numFmtId="0" fontId="138" fillId="65" borderId="0" applyNumberFormat="0" applyBorder="0" applyAlignment="0" applyProtection="0">
      <alignment vertical="center"/>
    </xf>
    <xf numFmtId="0" fontId="138" fillId="54" borderId="0" applyNumberFormat="0" applyBorder="0" applyAlignment="0" applyProtection="0">
      <alignment vertical="center"/>
    </xf>
    <xf numFmtId="0" fontId="138" fillId="63" borderId="0" applyNumberFormat="0" applyBorder="0" applyAlignment="0" applyProtection="0">
      <alignment vertical="center"/>
    </xf>
    <xf numFmtId="0" fontId="138" fillId="66"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38" fillId="67"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00" fillId="26"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38" fillId="68"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00" fillId="30"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8"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38" fillId="69"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00" fillId="34"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9"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38" fillId="60"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0"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38" fillId="67"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00" fillId="42"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67"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38" fillId="70"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00" fillId="46"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70" borderId="0" applyNumberFormat="0" applyBorder="0" applyAlignment="0" applyProtection="0">
      <alignment vertical="center"/>
    </xf>
    <xf numFmtId="0" fontId="138" fillId="67" borderId="0" applyNumberFormat="0" applyBorder="0" applyAlignment="0" applyProtection="0">
      <alignment vertical="center"/>
    </xf>
    <xf numFmtId="0" fontId="138" fillId="68" borderId="0" applyNumberFormat="0" applyBorder="0" applyAlignment="0" applyProtection="0">
      <alignment vertical="center"/>
    </xf>
    <xf numFmtId="0" fontId="138" fillId="69" borderId="0" applyNumberFormat="0" applyBorder="0" applyAlignment="0" applyProtection="0">
      <alignment vertical="center"/>
    </xf>
    <xf numFmtId="0" fontId="138" fillId="60" borderId="0" applyNumberFormat="0" applyBorder="0" applyAlignment="0" applyProtection="0">
      <alignment vertical="center"/>
    </xf>
    <xf numFmtId="0" fontId="138" fillId="67" borderId="0" applyNumberFormat="0" applyBorder="0" applyAlignment="0" applyProtection="0">
      <alignment vertical="center"/>
    </xf>
    <xf numFmtId="0" fontId="138" fillId="70" borderId="0" applyNumberFormat="0" applyBorder="0" applyAlignment="0" applyProtection="0">
      <alignment vertical="center"/>
    </xf>
    <xf numFmtId="0" fontId="267" fillId="71" borderId="0" applyNumberFormat="0" applyBorder="0" applyAlignment="0" applyProtection="0">
      <alignment vertical="center"/>
    </xf>
    <xf numFmtId="0" fontId="267" fillId="64" borderId="0" applyNumberFormat="0" applyBorder="0" applyAlignment="0" applyProtection="0">
      <alignment vertical="center"/>
    </xf>
    <xf numFmtId="0" fontId="267" fillId="65" borderId="0" applyNumberFormat="0" applyBorder="0" applyAlignment="0" applyProtection="0">
      <alignment vertical="center"/>
    </xf>
    <xf numFmtId="0" fontId="267" fillId="72" borderId="0" applyNumberFormat="0" applyBorder="0" applyAlignment="0" applyProtection="0">
      <alignment vertical="center"/>
    </xf>
    <xf numFmtId="0" fontId="267" fillId="73" borderId="0" applyNumberFormat="0" applyBorder="0" applyAlignment="0" applyProtection="0">
      <alignment vertical="center"/>
    </xf>
    <xf numFmtId="0" fontId="267" fillId="74"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7" fillId="75" borderId="0" applyNumberFormat="0" applyBorder="0" applyAlignment="0" applyProtection="0">
      <alignment vertical="center"/>
    </xf>
    <xf numFmtId="0" fontId="268" fillId="73" borderId="0" applyNumberFormat="0" applyBorder="0" applyAlignment="0" applyProtection="0">
      <alignment vertical="center"/>
    </xf>
    <xf numFmtId="0" fontId="268" fillId="73" borderId="0" applyNumberFormat="0" applyBorder="0" applyAlignment="0" applyProtection="0">
      <alignment vertical="center"/>
    </xf>
    <xf numFmtId="0" fontId="267" fillId="76" borderId="0" applyNumberFormat="0" applyBorder="0" applyAlignment="0" applyProtection="0">
      <alignment vertical="center"/>
    </xf>
    <xf numFmtId="0" fontId="268" fillId="73" borderId="0" applyNumberFormat="0" applyBorder="0" applyAlignment="0" applyProtection="0">
      <alignment vertical="center"/>
    </xf>
    <xf numFmtId="0" fontId="267" fillId="76" borderId="0" applyNumberFormat="0" applyBorder="0" applyAlignment="0" applyProtection="0">
      <alignment vertical="center"/>
    </xf>
    <xf numFmtId="0" fontId="268" fillId="73" borderId="0" applyNumberFormat="0" applyBorder="0" applyAlignment="0" applyProtection="0">
      <alignment vertical="center"/>
    </xf>
    <xf numFmtId="0" fontId="267" fillId="76" borderId="0" applyNumberFormat="0" applyBorder="0" applyAlignment="0" applyProtection="0">
      <alignment vertical="center"/>
    </xf>
    <xf numFmtId="0" fontId="268" fillId="73" borderId="0" applyNumberFormat="0" applyBorder="0" applyAlignment="0" applyProtection="0">
      <alignment vertical="center"/>
    </xf>
    <xf numFmtId="0" fontId="267" fillId="76" borderId="0" applyNumberFormat="0" applyBorder="0" applyAlignment="0" applyProtection="0">
      <alignment vertical="center"/>
    </xf>
    <xf numFmtId="0" fontId="268" fillId="73"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73"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27" borderId="0" applyNumberFormat="0" applyBorder="0" applyAlignment="0" applyProtection="0">
      <alignment vertical="center"/>
    </xf>
    <xf numFmtId="0" fontId="268" fillId="73"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75"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7" fillId="68"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8" fillId="31"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8"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7" fillId="69"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8" fillId="35"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69"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7" fillId="77"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8" fillId="39"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7" fillId="76"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8" fillId="43"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7" fillId="78"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8" fillId="47"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8" borderId="0" applyNumberFormat="0" applyBorder="0" applyAlignment="0" applyProtection="0">
      <alignment vertical="center"/>
    </xf>
    <xf numFmtId="0" fontId="267" fillId="75" borderId="0" applyNumberFormat="0" applyBorder="0" applyAlignment="0" applyProtection="0">
      <alignment vertical="center"/>
    </xf>
    <xf numFmtId="0" fontId="268" fillId="73" borderId="0" applyNumberFormat="0" applyBorder="0" applyAlignment="0" applyProtection="0">
      <alignment vertical="center"/>
    </xf>
    <xf numFmtId="0" fontId="267" fillId="68" borderId="0" applyNumberFormat="0" applyBorder="0" applyAlignment="0" applyProtection="0">
      <alignment vertical="center"/>
    </xf>
    <xf numFmtId="0" fontId="267" fillId="69" borderId="0" applyNumberFormat="0" applyBorder="0" applyAlignment="0" applyProtection="0">
      <alignment vertical="center"/>
    </xf>
    <xf numFmtId="0" fontId="267" fillId="77" borderId="0" applyNumberFormat="0" applyBorder="0" applyAlignment="0" applyProtection="0">
      <alignment vertical="center"/>
    </xf>
    <xf numFmtId="0" fontId="267" fillId="76" borderId="0" applyNumberFormat="0" applyBorder="0" applyAlignment="0" applyProtection="0">
      <alignment vertical="center"/>
    </xf>
    <xf numFmtId="0" fontId="267" fillId="78" borderId="0" applyNumberFormat="0" applyBorder="0" applyAlignment="0" applyProtection="0">
      <alignment vertical="center"/>
    </xf>
    <xf numFmtId="0" fontId="263" fillId="0" borderId="0">
      <protection locked="0"/>
    </xf>
    <xf numFmtId="0" fontId="263" fillId="0" borderId="0">
      <protection locked="0"/>
    </xf>
    <xf numFmtId="0" fontId="267" fillId="79" borderId="0" applyNumberFormat="0" applyBorder="0" applyAlignment="0" applyProtection="0">
      <alignment vertical="center"/>
    </xf>
    <xf numFmtId="0" fontId="267" fillId="80" borderId="0" applyNumberFormat="0" applyBorder="0" applyAlignment="0" applyProtection="0">
      <alignment vertical="center"/>
    </xf>
    <xf numFmtId="0" fontId="267" fillId="81" borderId="0" applyNumberFormat="0" applyBorder="0" applyAlignment="0" applyProtection="0">
      <alignment vertical="center"/>
    </xf>
    <xf numFmtId="0" fontId="267" fillId="72" borderId="0" applyNumberFormat="0" applyBorder="0" applyAlignment="0" applyProtection="0">
      <alignment vertical="center"/>
    </xf>
    <xf numFmtId="0" fontId="267" fillId="73" borderId="0" applyNumberFormat="0" applyBorder="0" applyAlignment="0" applyProtection="0">
      <alignment vertical="center"/>
    </xf>
    <xf numFmtId="0" fontId="267" fillId="82" borderId="0" applyNumberFormat="0" applyBorder="0" applyAlignment="0" applyProtection="0">
      <alignment vertical="center"/>
    </xf>
    <xf numFmtId="0" fontId="269" fillId="0" borderId="0"/>
    <xf numFmtId="0" fontId="270" fillId="0" borderId="0">
      <alignment horizontal="center" wrapText="1"/>
      <protection locked="0"/>
    </xf>
    <xf numFmtId="0" fontId="270" fillId="0" borderId="0">
      <alignment horizontal="center" wrapText="1"/>
      <protection locked="0"/>
    </xf>
    <xf numFmtId="0" fontId="271" fillId="52" borderId="0" applyNumberFormat="0" applyBorder="0" applyAlignment="0" applyProtection="0">
      <alignment vertical="center"/>
    </xf>
    <xf numFmtId="0" fontId="272" fillId="0" borderId="0" applyNumberFormat="0" applyFill="0" applyBorder="0" applyAlignment="0" applyProtection="0"/>
    <xf numFmtId="0" fontId="272" fillId="0" borderId="0" applyNumberFormat="0" applyFill="0" applyBorder="0" applyAlignment="0" applyProtection="0"/>
    <xf numFmtId="213" fontId="38" fillId="0" borderId="0" applyFill="0" applyBorder="0" applyAlignment="0"/>
    <xf numFmtId="0" fontId="263"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213" fontId="38" fillId="0" borderId="0" applyFill="0" applyBorder="0" applyAlignment="0"/>
    <xf numFmtId="0" fontId="263" fillId="0" borderId="0" applyFill="0" applyBorder="0" applyAlignment="0"/>
    <xf numFmtId="214" fontId="263" fillId="0" borderId="0" applyFill="0" applyBorder="0" applyAlignment="0"/>
    <xf numFmtId="215" fontId="263"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7" fontId="273" fillId="0" borderId="0" applyFill="0" applyBorder="0" applyAlignment="0"/>
    <xf numFmtId="217" fontId="273" fillId="0" borderId="0" applyFill="0" applyBorder="0" applyAlignment="0"/>
    <xf numFmtId="217" fontId="273" fillId="0" borderId="0" applyFill="0" applyBorder="0" applyAlignment="0"/>
    <xf numFmtId="217" fontId="273" fillId="0" borderId="0" applyFill="0" applyBorder="0" applyAlignment="0"/>
    <xf numFmtId="216" fontId="38" fillId="0" borderId="0" applyFill="0" applyBorder="0" applyAlignment="0"/>
    <xf numFmtId="217" fontId="273"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6"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218" fontId="38" fillId="0" borderId="0" applyFill="0" applyBorder="0" applyAlignment="0"/>
    <xf numFmtId="0" fontId="273"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8" fontId="38" fillId="0" borderId="0" applyFill="0" applyBorder="0" applyAlignment="0"/>
    <xf numFmtId="219" fontId="26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220" fontId="38" fillId="0" borderId="0" applyFill="0" applyBorder="0" applyAlignment="0"/>
    <xf numFmtId="0" fontId="27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14" fontId="263" fillId="0" borderId="0" applyFill="0" applyBorder="0" applyAlignment="0"/>
    <xf numFmtId="0" fontId="274" fillId="83" borderId="178" applyNumberFormat="0" applyAlignment="0" applyProtection="0">
      <alignment vertical="center"/>
    </xf>
    <xf numFmtId="0" fontId="275" fillId="0" borderId="0"/>
    <xf numFmtId="0" fontId="275" fillId="0" borderId="0"/>
    <xf numFmtId="3" fontId="276" fillId="0" borderId="176"/>
    <xf numFmtId="3" fontId="57" fillId="0" borderId="176">
      <protection locked="0"/>
    </xf>
    <xf numFmtId="0" fontId="57" fillId="0" borderId="0"/>
    <xf numFmtId="0" fontId="277" fillId="84" borderId="179" applyNumberFormat="0" applyAlignment="0" applyProtection="0">
      <alignment vertical="center"/>
    </xf>
    <xf numFmtId="0" fontId="278" fillId="0" borderId="0" applyNumberFormat="0" applyFill="0" applyBorder="0" applyAlignment="0" applyProtection="0"/>
    <xf numFmtId="0" fontId="279" fillId="0" borderId="173">
      <alignment horizontal="center"/>
    </xf>
    <xf numFmtId="221" fontId="57" fillId="0" borderId="0"/>
    <xf numFmtId="221" fontId="57" fillId="0" borderId="0"/>
    <xf numFmtId="221" fontId="57" fillId="0" borderId="0"/>
    <xf numFmtId="221" fontId="57" fillId="0" borderId="0"/>
    <xf numFmtId="221" fontId="57" fillId="0" borderId="0"/>
    <xf numFmtId="221" fontId="57" fillId="0" borderId="0"/>
    <xf numFmtId="221" fontId="57" fillId="0" borderId="0"/>
    <xf numFmtId="221" fontId="57" fillId="0" borderId="0"/>
    <xf numFmtId="38" fontId="276" fillId="0" borderId="0" applyFont="0" applyFill="0" applyBorder="0" applyAlignment="0" applyProtection="0"/>
    <xf numFmtId="177" fontId="38" fillId="0" borderId="0" applyFont="0" applyFill="0" applyBorder="0" applyAlignment="0" applyProtection="0">
      <alignment vertical="center"/>
    </xf>
    <xf numFmtId="38" fontId="38" fillId="0" borderId="0" applyFont="0" applyFill="0" applyBorder="0" applyAlignment="0" applyProtection="0"/>
    <xf numFmtId="219" fontId="263"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51" fillId="0" borderId="0" applyFont="0" applyFill="0" applyBorder="0" applyAlignment="0" applyProtection="0"/>
    <xf numFmtId="222" fontId="280" fillId="0" borderId="0" applyFont="0" applyFill="0" applyBorder="0" applyAlignment="0" applyProtection="0"/>
    <xf numFmtId="222" fontId="280" fillId="0" borderId="0" applyFont="0" applyFill="0" applyBorder="0" applyAlignment="0" applyProtection="0"/>
    <xf numFmtId="222" fontId="57" fillId="0" borderId="0" applyFont="0" applyFill="0" applyBorder="0" applyAlignment="0" applyProtection="0"/>
    <xf numFmtId="43" fontId="57"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222" fontId="105" fillId="0" borderId="0" applyFont="0" applyFill="0" applyBorder="0" applyAlignment="0" applyProtection="0"/>
    <xf numFmtId="222" fontId="48" fillId="0" borderId="0" applyFont="0" applyFill="0" applyBorder="0" applyAlignment="0" applyProtection="0"/>
    <xf numFmtId="40" fontId="276" fillId="0" borderId="0" applyFont="0" applyFill="0" applyBorder="0" applyAlignment="0" applyProtection="0"/>
    <xf numFmtId="0" fontId="281" fillId="0" borderId="0" applyNumberFormat="0" applyAlignment="0">
      <alignment horizontal="left"/>
    </xf>
    <xf numFmtId="0" fontId="281" fillId="0" borderId="0" applyNumberFormat="0" applyAlignment="0">
      <alignment horizontal="left"/>
    </xf>
    <xf numFmtId="223" fontId="276" fillId="0" borderId="0" applyFont="0" applyFill="0" applyBorder="0" applyAlignment="0" applyProtection="0"/>
    <xf numFmtId="223" fontId="276" fillId="0" borderId="0" applyFont="0" applyFill="0" applyBorder="0" applyAlignment="0" applyProtection="0"/>
    <xf numFmtId="223" fontId="276" fillId="0" borderId="0" applyFont="0" applyFill="0" applyBorder="0" applyAlignment="0" applyProtection="0"/>
    <xf numFmtId="223" fontId="38" fillId="0" borderId="0" applyFont="0" applyFill="0" applyBorder="0" applyAlignment="0" applyProtection="0"/>
    <xf numFmtId="223" fontId="38" fillId="0" borderId="0" applyFont="0" applyFill="0" applyBorder="0" applyAlignment="0" applyProtection="0">
      <alignment vertical="center"/>
    </xf>
    <xf numFmtId="214" fontId="263" fillId="0" borderId="0" applyFont="0" applyFill="0" applyBorder="0" applyAlignment="0" applyProtection="0"/>
    <xf numFmtId="224" fontId="264" fillId="0" borderId="0" applyFont="0" applyFill="0" applyBorder="0" applyAlignment="0" applyProtection="0"/>
    <xf numFmtId="225" fontId="57" fillId="0" borderId="0" applyFont="0" applyFill="0" applyBorder="0" applyAlignment="0" applyProtection="0"/>
    <xf numFmtId="225" fontId="38" fillId="0" borderId="0" applyFont="0" applyFill="0" applyBorder="0" applyAlignment="0" applyProtection="0"/>
    <xf numFmtId="225" fontId="38" fillId="0" borderId="0" applyFont="0" applyFill="0" applyBorder="0" applyAlignment="0" applyProtection="0"/>
    <xf numFmtId="226" fontId="57" fillId="85" borderId="0" applyFont="0" applyBorder="0"/>
    <xf numFmtId="15" fontId="276" fillId="0" borderId="0"/>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14" fontId="51" fillId="0" borderId="0" applyFill="0" applyBorder="0" applyAlignment="0"/>
    <xf numFmtId="0" fontId="62" fillId="0" borderId="0" applyFont="0" applyFill="0" applyBorder="0" applyAlignment="0" applyProtection="0"/>
    <xf numFmtId="227" fontId="262" fillId="0" borderId="0" applyFill="0" applyBorder="0" applyProtection="0"/>
    <xf numFmtId="228" fontId="282" fillId="0" borderId="0"/>
    <xf numFmtId="229" fontId="57" fillId="0" borderId="0" applyFill="0" applyBorder="0" applyAlignment="0" applyProtection="0"/>
    <xf numFmtId="230" fontId="57" fillId="0" borderId="0" applyFill="0" applyBorder="0" applyAlignment="0" applyProtection="0"/>
    <xf numFmtId="219" fontId="263" fillId="0" borderId="0" applyFill="0" applyBorder="0" applyAlignment="0"/>
    <xf numFmtId="214" fontId="263" fillId="0" borderId="0" applyFill="0" applyBorder="0" applyAlignment="0"/>
    <xf numFmtId="219" fontId="26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220" fontId="38" fillId="0" borderId="0" applyFill="0" applyBorder="0" applyAlignment="0"/>
    <xf numFmtId="0" fontId="27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14" fontId="263" fillId="0" borderId="0" applyFill="0" applyBorder="0" applyAlignment="0"/>
    <xf numFmtId="0" fontId="283" fillId="0" borderId="0" applyNumberFormat="0" applyAlignment="0">
      <alignment horizontal="left"/>
    </xf>
    <xf numFmtId="0" fontId="283" fillId="0" borderId="0" applyNumberFormat="0" applyAlignment="0">
      <alignment horizontal="left"/>
    </xf>
    <xf numFmtId="0" fontId="284" fillId="2" borderId="176"/>
    <xf numFmtId="231" fontId="262" fillId="0" borderId="0" applyFont="0" applyFill="0" applyBorder="0" applyAlignment="0" applyProtection="0"/>
    <xf numFmtId="0" fontId="285" fillId="0" borderId="0" applyNumberFormat="0" applyFill="0" applyBorder="0" applyAlignment="0" applyProtection="0">
      <alignment vertical="center"/>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286" fillId="0" borderId="0" applyNumberFormat="0" applyFill="0" applyBorder="0" applyAlignment="0" applyProtection="0">
      <alignment vertical="top"/>
      <protection locked="0"/>
    </xf>
    <xf numFmtId="0" fontId="287" fillId="53" borderId="0" applyNumberFormat="0" applyBorder="0" applyAlignment="0" applyProtection="0">
      <alignment vertical="center"/>
    </xf>
    <xf numFmtId="38" fontId="284" fillId="85" borderId="0" applyNumberFormat="0" applyBorder="0" applyAlignment="0" applyProtection="0"/>
    <xf numFmtId="0" fontId="284" fillId="85" borderId="0" applyNumberFormat="0" applyBorder="0" applyAlignment="0" applyProtection="0"/>
    <xf numFmtId="0" fontId="288" fillId="0" borderId="0">
      <alignment horizontal="left"/>
    </xf>
    <xf numFmtId="0" fontId="288" fillId="0" borderId="0">
      <alignment horizontal="left"/>
    </xf>
    <xf numFmtId="0" fontId="61" fillId="0" borderId="64" applyNumberFormat="0" applyAlignment="0" applyProtection="0">
      <alignment horizontal="left" vertical="center"/>
    </xf>
    <xf numFmtId="0" fontId="61" fillId="0" borderId="64" applyNumberFormat="0" applyAlignment="0" applyProtection="0">
      <alignment horizontal="left" vertical="center"/>
    </xf>
    <xf numFmtId="0" fontId="61" fillId="0" borderId="180">
      <alignment horizontal="left" vertical="center"/>
    </xf>
    <xf numFmtId="0" fontId="61" fillId="0" borderId="180">
      <alignment horizontal="left" vertical="center"/>
    </xf>
    <xf numFmtId="0" fontId="61" fillId="0" borderId="0"/>
    <xf numFmtId="0" fontId="289" fillId="0" borderId="181" applyNumberFormat="0" applyFill="0" applyAlignment="0" applyProtection="0">
      <alignment vertical="center"/>
    </xf>
    <xf numFmtId="0" fontId="290" fillId="0" borderId="182" applyNumberFormat="0" applyFill="0" applyAlignment="0" applyProtection="0">
      <alignment vertical="center"/>
    </xf>
    <xf numFmtId="0" fontId="291" fillId="0" borderId="183" applyNumberFormat="0" applyFill="0" applyAlignment="0" applyProtection="0">
      <alignment vertical="center"/>
    </xf>
    <xf numFmtId="0" fontId="291" fillId="0" borderId="0" applyNumberFormat="0" applyFill="0" applyBorder="0" applyAlignment="0" applyProtection="0">
      <alignment vertical="center"/>
    </xf>
    <xf numFmtId="0" fontId="57" fillId="0" borderId="0">
      <protection locked="0"/>
    </xf>
    <xf numFmtId="0" fontId="57" fillId="0" borderId="0">
      <protection locked="0"/>
    </xf>
    <xf numFmtId="0" fontId="292" fillId="0" borderId="47">
      <alignment horizontal="center"/>
    </xf>
    <xf numFmtId="0" fontId="292" fillId="0" borderId="47">
      <alignment horizontal="center"/>
    </xf>
    <xf numFmtId="0" fontId="292" fillId="0" borderId="0">
      <alignment horizontal="center"/>
    </xf>
    <xf numFmtId="0" fontId="292" fillId="0" borderId="0">
      <alignment horizontal="center"/>
    </xf>
    <xf numFmtId="0" fontId="293" fillId="0" borderId="0" applyNumberFormat="0" applyFill="0" applyBorder="0" applyAlignment="0" applyProtection="0">
      <alignment vertical="top"/>
      <protection locked="0"/>
    </xf>
    <xf numFmtId="37" fontId="294" fillId="86" borderId="184">
      <alignment vertical="center"/>
    </xf>
    <xf numFmtId="10" fontId="284" fillId="87" borderId="1" applyNumberFormat="0" applyBorder="0" applyAlignment="0" applyProtection="0"/>
    <xf numFmtId="0" fontId="284" fillId="87" borderId="1" applyNumberFormat="0" applyBorder="0" applyAlignment="0" applyProtection="0"/>
    <xf numFmtId="0" fontId="284" fillId="87" borderId="1" applyNumberFormat="0" applyBorder="0" applyAlignment="0" applyProtection="0"/>
    <xf numFmtId="37" fontId="294" fillId="86" borderId="184">
      <alignment vertical="center"/>
    </xf>
    <xf numFmtId="214" fontId="295" fillId="88" borderId="0"/>
    <xf numFmtId="214" fontId="295" fillId="89" borderId="0"/>
    <xf numFmtId="0" fontId="296" fillId="90" borderId="178" applyNumberFormat="0" applyAlignment="0" applyProtection="0"/>
    <xf numFmtId="219" fontId="263" fillId="0" borderId="0" applyFill="0" applyBorder="0" applyAlignment="0"/>
    <xf numFmtId="214" fontId="263" fillId="0" borderId="0" applyFill="0" applyBorder="0" applyAlignment="0"/>
    <xf numFmtId="219" fontId="26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0" fontId="273" fillId="0" borderId="0" applyFill="0" applyBorder="0" applyAlignment="0"/>
    <xf numFmtId="220" fontId="38" fillId="0" borderId="0" applyFill="0" applyBorder="0" applyAlignment="0"/>
    <xf numFmtId="0" fontId="27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14" fontId="263" fillId="0" borderId="0" applyFill="0" applyBorder="0" applyAlignment="0"/>
    <xf numFmtId="0" fontId="297" fillId="0" borderId="185" applyNumberFormat="0" applyFill="0" applyAlignment="0" applyProtection="0">
      <alignment vertical="center"/>
    </xf>
    <xf numFmtId="214" fontId="298" fillId="91" borderId="0"/>
    <xf numFmtId="214" fontId="298" fillId="92" borderId="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0" fontId="38" fillId="0" borderId="0" applyNumberFormat="0" applyBorder="0" applyAlignment="0"/>
    <xf numFmtId="38" fontId="276" fillId="0" borderId="0" applyFont="0" applyFill="0" applyBorder="0" applyAlignment="0" applyProtection="0"/>
    <xf numFmtId="40" fontId="276" fillId="0" borderId="0" applyFont="0" applyFill="0" applyBorder="0" applyAlignment="0" applyProtection="0"/>
    <xf numFmtId="177" fontId="38" fillId="0" borderId="0" applyFont="0" applyFill="0" applyBorder="0" applyAlignment="0" applyProtection="0"/>
    <xf numFmtId="0" fontId="57" fillId="0" borderId="0" applyFont="0" applyFill="0" applyBorder="0" applyAlignment="0" applyProtection="0"/>
    <xf numFmtId="0" fontId="299" fillId="0" borderId="47"/>
    <xf numFmtId="0" fontId="299" fillId="0" borderId="47"/>
    <xf numFmtId="230" fontId="276" fillId="0" borderId="0" applyFont="0" applyFill="0" applyBorder="0" applyAlignment="0" applyProtection="0"/>
    <xf numFmtId="229" fontId="276" fillId="0" borderId="0" applyFont="0" applyFill="0" applyBorder="0" applyAlignment="0" applyProtection="0"/>
    <xf numFmtId="232" fontId="57" fillId="0" borderId="0" applyFont="0" applyFill="0" applyBorder="0" applyAlignment="0" applyProtection="0"/>
    <xf numFmtId="219" fontId="57" fillId="0" borderId="0" applyFont="0" applyFill="0" applyBorder="0" applyAlignment="0" applyProtection="0"/>
    <xf numFmtId="233" fontId="38" fillId="0" borderId="0" applyFont="0" applyFill="0" applyBorder="0" applyAlignment="0" applyProtection="0"/>
    <xf numFmtId="177" fontId="38" fillId="0" borderId="0" applyFont="0" applyFill="0" applyBorder="0" applyAlignment="0" applyProtection="0"/>
    <xf numFmtId="0" fontId="300" fillId="90" borderId="0" applyNumberFormat="0" applyBorder="0" applyAlignment="0" applyProtection="0">
      <alignment vertical="center"/>
    </xf>
    <xf numFmtId="0" fontId="262" fillId="0" borderId="0"/>
    <xf numFmtId="0" fontId="262" fillId="0" borderId="0"/>
    <xf numFmtId="37" fontId="301" fillId="0" borderId="0"/>
    <xf numFmtId="37" fontId="301" fillId="0" borderId="0"/>
    <xf numFmtId="234" fontId="302" fillId="0" borderId="0"/>
    <xf numFmtId="234" fontId="302" fillId="0" borderId="0"/>
    <xf numFmtId="235" fontId="105" fillId="0" borderId="0"/>
    <xf numFmtId="235" fontId="105" fillId="0" borderId="0"/>
    <xf numFmtId="235" fontId="105" fillId="0" borderId="0"/>
    <xf numFmtId="235" fontId="105" fillId="0" borderId="0"/>
    <xf numFmtId="235" fontId="105" fillId="0" borderId="0"/>
    <xf numFmtId="235" fontId="105" fillId="0" borderId="0"/>
    <xf numFmtId="0" fontId="303" fillId="0" borderId="0">
      <protection locked="0"/>
    </xf>
    <xf numFmtId="0" fontId="304" fillId="0" borderId="0">
      <protection locked="0"/>
    </xf>
    <xf numFmtId="0" fontId="280" fillId="0" borderId="0"/>
    <xf numFmtId="0" fontId="280" fillId="0" borderId="0"/>
    <xf numFmtId="231" fontId="280" fillId="0" borderId="0"/>
    <xf numFmtId="0" fontId="100" fillId="0" borderId="0">
      <alignment vertical="center"/>
    </xf>
    <xf numFmtId="0" fontId="57" fillId="0" borderId="0"/>
    <xf numFmtId="0" fontId="138" fillId="0" borderId="0">
      <alignment vertical="center"/>
    </xf>
    <xf numFmtId="0" fontId="100" fillId="0" borderId="0">
      <alignment vertical="center"/>
    </xf>
    <xf numFmtId="0" fontId="138" fillId="0" borderId="0">
      <alignment vertical="center"/>
    </xf>
    <xf numFmtId="0" fontId="263" fillId="0" borderId="0">
      <protection locked="0"/>
    </xf>
    <xf numFmtId="0" fontId="138" fillId="0" borderId="0">
      <alignment vertical="center"/>
    </xf>
    <xf numFmtId="231" fontId="263" fillId="0" borderId="0">
      <protection locked="0"/>
    </xf>
    <xf numFmtId="0" fontId="138" fillId="0" borderId="0">
      <alignment vertical="center"/>
    </xf>
    <xf numFmtId="0" fontId="138" fillId="0" borderId="0"/>
    <xf numFmtId="0" fontId="1" fillId="0" borderId="0">
      <alignment vertical="center"/>
      <protection locked="0"/>
    </xf>
    <xf numFmtId="0" fontId="1" fillId="0" borderId="0">
      <alignment vertical="center"/>
      <protection locked="0"/>
    </xf>
    <xf numFmtId="0" fontId="264" fillId="0" borderId="0"/>
    <xf numFmtId="0" fontId="305" fillId="0" borderId="0"/>
    <xf numFmtId="0" fontId="38" fillId="93" borderId="186" applyNumberFormat="0" applyFont="0" applyAlignment="0" applyProtection="0">
      <alignment vertical="center"/>
    </xf>
    <xf numFmtId="0" fontId="306" fillId="83" borderId="184" applyNumberFormat="0" applyAlignment="0" applyProtection="0">
      <alignment vertical="center"/>
    </xf>
    <xf numFmtId="40" fontId="307" fillId="3" borderId="0">
      <alignment horizontal="right"/>
    </xf>
    <xf numFmtId="0" fontId="308" fillId="3" borderId="0">
      <alignment horizontal="right"/>
    </xf>
    <xf numFmtId="0" fontId="309" fillId="3" borderId="35"/>
    <xf numFmtId="0" fontId="309" fillId="0" borderId="0" applyBorder="0">
      <alignment horizontal="centerContinuous"/>
    </xf>
    <xf numFmtId="0" fontId="310" fillId="0" borderId="0" applyBorder="0">
      <alignment horizontal="centerContinuous"/>
    </xf>
    <xf numFmtId="0" fontId="311" fillId="94" borderId="184" applyNumberFormat="0" applyAlignment="0" applyProtection="0"/>
    <xf numFmtId="14" fontId="270" fillId="0" borderId="0">
      <alignment horizontal="center" wrapText="1"/>
      <protection locked="0"/>
    </xf>
    <xf numFmtId="14" fontId="270" fillId="0" borderId="0">
      <alignment horizontal="center" wrapText="1"/>
      <protection locked="0"/>
    </xf>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18"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236" fontId="38" fillId="0" borderId="0" applyFont="0" applyFill="0" applyBorder="0" applyAlignment="0" applyProtection="0"/>
    <xf numFmtId="10" fontId="57" fillId="0" borderId="0" applyFont="0" applyFill="0" applyBorder="0" applyAlignment="0" applyProtection="0"/>
    <xf numFmtId="10" fontId="38" fillId="0" borderId="0" applyFont="0" applyFill="0" applyBorder="0" applyAlignment="0" applyProtection="0"/>
    <xf numFmtId="10" fontId="38" fillId="0" borderId="0" applyFont="0" applyFill="0" applyBorder="0" applyAlignment="0" applyProtection="0"/>
    <xf numFmtId="9" fontId="38" fillId="0" borderId="0" applyFont="0" applyFill="0" applyBorder="0" applyAlignment="0" applyProtection="0">
      <alignment vertical="center"/>
    </xf>
    <xf numFmtId="9" fontId="57" fillId="0" borderId="0" applyFont="0" applyFill="0" applyBorder="0" applyAlignment="0" applyProtection="0"/>
    <xf numFmtId="9" fontId="106" fillId="0" borderId="0" applyFont="0" applyFill="0" applyBorder="0" applyAlignment="0" applyProtection="0"/>
    <xf numFmtId="9" fontId="263" fillId="0" borderId="0" applyFont="0" applyFill="0" applyBorder="0" applyAlignment="0" applyProtection="0"/>
    <xf numFmtId="13" fontId="57" fillId="0" borderId="0" applyFont="0" applyFill="0" applyProtection="0"/>
    <xf numFmtId="0" fontId="284" fillId="85" borderId="1"/>
    <xf numFmtId="219" fontId="263" fillId="0" borderId="0" applyFill="0" applyBorder="0" applyAlignment="0"/>
    <xf numFmtId="214" fontId="263" fillId="0" borderId="0" applyFill="0" applyBorder="0" applyAlignment="0"/>
    <xf numFmtId="219" fontId="263"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20" fontId="38" fillId="0" borderId="0" applyFill="0" applyBorder="0" applyAlignment="0"/>
    <xf numFmtId="214" fontId="263" fillId="0" borderId="0" applyFill="0" applyBorder="0" applyAlignment="0"/>
    <xf numFmtId="0" fontId="62" fillId="0" borderId="0"/>
    <xf numFmtId="0" fontId="276"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15" fontId="276" fillId="0" borderId="0" applyFont="0" applyFill="0" applyBorder="0" applyAlignment="0" applyProtection="0"/>
    <xf numFmtId="15" fontId="38" fillId="0" borderId="0" applyFont="0" applyFill="0" applyBorder="0" applyAlignment="0" applyProtection="0"/>
    <xf numFmtId="15" fontId="38" fillId="0" borderId="0" applyFont="0" applyFill="0" applyBorder="0" applyAlignment="0" applyProtection="0"/>
    <xf numFmtId="4" fontId="276"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0" fontId="278" fillId="0" borderId="47">
      <alignment horizontal="center"/>
    </xf>
    <xf numFmtId="0" fontId="278" fillId="0" borderId="47">
      <alignment horizontal="center"/>
    </xf>
    <xf numFmtId="3" fontId="276"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0" fontId="276" fillId="95" borderId="0" applyNumberFormat="0" applyFont="0" applyBorder="0" applyAlignment="0" applyProtection="0"/>
    <xf numFmtId="0" fontId="38" fillId="95" borderId="0" applyNumberFormat="0" applyFont="0" applyBorder="0" applyAlignment="0" applyProtection="0"/>
    <xf numFmtId="0" fontId="38" fillId="95" borderId="0" applyNumberFormat="0" applyFont="0" applyBorder="0" applyAlignment="0" applyProtection="0"/>
    <xf numFmtId="0" fontId="312" fillId="96" borderId="0" applyNumberFormat="0" applyFont="0" applyBorder="0" applyAlignment="0">
      <alignment horizontal="center"/>
    </xf>
    <xf numFmtId="0" fontId="38" fillId="96" borderId="0" applyNumberFormat="0" applyFont="0" applyBorder="0" applyAlignment="0">
      <alignment horizontal="center"/>
    </xf>
    <xf numFmtId="0" fontId="38" fillId="96" borderId="0" applyNumberFormat="0" applyFont="0" applyBorder="0" applyAlignment="0">
      <alignment horizontal="center"/>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23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38" fillId="0" borderId="0" applyNumberFormat="0" applyFill="0" applyBorder="0" applyAlignment="0" applyProtection="0">
      <alignment horizontal="left"/>
    </xf>
    <xf numFmtId="0" fontId="145" fillId="0" borderId="0" applyNumberFormat="0" applyFill="0" applyBorder="0" applyAlignment="0" applyProtection="0"/>
    <xf numFmtId="0" fontId="38" fillId="0" borderId="0"/>
    <xf numFmtId="0" fontId="241" fillId="94" borderId="0">
      <alignment horizontal="center" vertical="center"/>
    </xf>
    <xf numFmtId="0" fontId="241" fillId="94" borderId="0">
      <alignment horizontal="center" vertical="center"/>
    </xf>
    <xf numFmtId="0" fontId="241" fillId="94"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3" borderId="0">
      <alignment horizontal="center" vertical="center"/>
    </xf>
    <xf numFmtId="0" fontId="241" fillId="94"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94" borderId="0">
      <alignment horizontal="center" vertical="center"/>
    </xf>
    <xf numFmtId="0" fontId="241" fillId="3" borderId="0">
      <alignment horizontal="center" vertical="center"/>
    </xf>
    <xf numFmtId="0" fontId="241" fillId="3" borderId="0">
      <alignment horizontal="center" vertical="center"/>
    </xf>
    <xf numFmtId="0" fontId="241" fillId="94" borderId="0">
      <alignment horizontal="left" vertical="center"/>
    </xf>
    <xf numFmtId="0" fontId="241" fillId="94" borderId="0">
      <alignment horizontal="left" vertical="center"/>
    </xf>
    <xf numFmtId="0" fontId="241" fillId="94"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3" borderId="0">
      <alignment horizontal="left" vertical="center"/>
    </xf>
    <xf numFmtId="0" fontId="241" fillId="94"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94" borderId="0">
      <alignment horizontal="left" vertical="center"/>
    </xf>
    <xf numFmtId="0" fontId="241" fillId="3" borderId="0">
      <alignment horizontal="left" vertical="center"/>
    </xf>
    <xf numFmtId="0" fontId="241" fillId="3" borderId="0">
      <alignment horizontal="left" vertical="center"/>
    </xf>
    <xf numFmtId="4" fontId="56" fillId="90" borderId="187" applyNumberFormat="0" applyProtection="0">
      <alignment vertical="center"/>
    </xf>
    <xf numFmtId="4" fontId="313" fillId="97" borderId="187" applyNumberFormat="0" applyProtection="0">
      <alignment vertical="center"/>
    </xf>
    <xf numFmtId="4" fontId="56" fillId="97" borderId="187" applyNumberFormat="0" applyProtection="0">
      <alignment horizontal="left" vertical="center" indent="1"/>
    </xf>
    <xf numFmtId="0" fontId="56" fillId="97" borderId="187" applyNumberFormat="0" applyProtection="0">
      <alignment horizontal="left" vertical="top" indent="1"/>
    </xf>
    <xf numFmtId="4" fontId="56" fillId="98" borderId="0" applyNumberFormat="0" applyProtection="0">
      <alignment horizontal="left" vertical="center" indent="1"/>
    </xf>
    <xf numFmtId="4" fontId="51" fillId="74" borderId="187" applyNumberFormat="0" applyProtection="0">
      <alignment horizontal="right" vertical="center"/>
    </xf>
    <xf numFmtId="4" fontId="51" fillId="52" borderId="187" applyNumberFormat="0" applyProtection="0">
      <alignment horizontal="right" vertical="center"/>
    </xf>
    <xf numFmtId="4" fontId="51" fillId="64" borderId="187" applyNumberFormat="0" applyProtection="0">
      <alignment horizontal="right" vertical="center"/>
    </xf>
    <xf numFmtId="4" fontId="51" fillId="80" borderId="187" applyNumberFormat="0" applyProtection="0">
      <alignment horizontal="right" vertical="center"/>
    </xf>
    <xf numFmtId="4" fontId="51" fillId="66" borderId="187" applyNumberFormat="0" applyProtection="0">
      <alignment horizontal="right" vertical="center"/>
    </xf>
    <xf numFmtId="4" fontId="51" fillId="74" borderId="187" applyNumberFormat="0" applyProtection="0">
      <alignment horizontal="right" vertical="center"/>
    </xf>
    <xf numFmtId="4" fontId="51" fillId="82" borderId="187" applyNumberFormat="0" applyProtection="0">
      <alignment horizontal="right" vertical="center"/>
    </xf>
    <xf numFmtId="4" fontId="51" fillId="81" borderId="187" applyNumberFormat="0" applyProtection="0">
      <alignment horizontal="right" vertical="center"/>
    </xf>
    <xf numFmtId="4" fontId="51" fillId="99" borderId="187" applyNumberFormat="0" applyProtection="0">
      <alignment horizontal="right" vertical="center"/>
    </xf>
    <xf numFmtId="4" fontId="51" fillId="65" borderId="187" applyNumberFormat="0" applyProtection="0">
      <alignment horizontal="right" vertical="center"/>
    </xf>
    <xf numFmtId="4" fontId="56" fillId="100" borderId="188" applyNumberFormat="0" applyProtection="0">
      <alignment horizontal="left" vertical="center" indent="1"/>
    </xf>
    <xf numFmtId="4" fontId="51" fillId="101" borderId="0" applyNumberFormat="0" applyProtection="0">
      <alignment horizontal="left" vertical="center" indent="1"/>
    </xf>
    <xf numFmtId="4" fontId="49" fillId="102" borderId="0" applyNumberFormat="0" applyProtection="0">
      <alignment horizontal="left" vertical="center" indent="1"/>
    </xf>
    <xf numFmtId="4" fontId="51" fillId="103" borderId="187" applyNumberFormat="0" applyProtection="0">
      <alignment horizontal="right" vertical="center"/>
    </xf>
    <xf numFmtId="4" fontId="51" fillId="101" borderId="0" applyNumberFormat="0" applyProtection="0">
      <alignment horizontal="left" vertical="center" indent="1"/>
    </xf>
    <xf numFmtId="4" fontId="51" fillId="98" borderId="0" applyNumberFormat="0" applyProtection="0">
      <alignment horizontal="left" vertical="center" indent="1"/>
    </xf>
    <xf numFmtId="0" fontId="85" fillId="63" borderId="187" applyNumberFormat="0" applyProtection="0">
      <alignment horizontal="left" vertical="center" indent="1"/>
    </xf>
    <xf numFmtId="0" fontId="57" fillId="102" borderId="187" applyNumberFormat="0" applyProtection="0">
      <alignment horizontal="left" vertical="top" indent="1"/>
    </xf>
    <xf numFmtId="0" fontId="20" fillId="56" borderId="187" applyNumberFormat="0" applyProtection="0">
      <alignment horizontal="left" vertical="center" indent="2"/>
    </xf>
    <xf numFmtId="0" fontId="57" fillId="98" borderId="187" applyNumberFormat="0" applyProtection="0">
      <alignment horizontal="left" vertical="top" indent="1"/>
    </xf>
    <xf numFmtId="0" fontId="57" fillId="67" borderId="187" applyNumberFormat="0" applyProtection="0">
      <alignment horizontal="left" vertical="center" indent="1"/>
    </xf>
    <xf numFmtId="0" fontId="57" fillId="67" borderId="187" applyNumberFormat="0" applyProtection="0">
      <alignment horizontal="left" vertical="top" indent="1"/>
    </xf>
    <xf numFmtId="0" fontId="57" fillId="104" borderId="187" applyNumberFormat="0" applyProtection="0">
      <alignment horizontal="left" vertical="center" indent="1"/>
    </xf>
    <xf numFmtId="0" fontId="57" fillId="104" borderId="187" applyNumberFormat="0" applyProtection="0">
      <alignment horizontal="left" vertical="top" indent="1"/>
    </xf>
    <xf numFmtId="4" fontId="51" fillId="87" borderId="187" applyNumberFormat="0" applyProtection="0">
      <alignment vertical="center"/>
    </xf>
    <xf numFmtId="4" fontId="314" fillId="87" borderId="187" applyNumberFormat="0" applyProtection="0">
      <alignment vertical="center"/>
    </xf>
    <xf numFmtId="4" fontId="51" fillId="87" borderId="187" applyNumberFormat="0" applyProtection="0">
      <alignment horizontal="left" vertical="center" indent="1"/>
    </xf>
    <xf numFmtId="0" fontId="51" fillId="87" borderId="187" applyNumberFormat="0" applyProtection="0">
      <alignment horizontal="left" vertical="top" indent="1"/>
    </xf>
    <xf numFmtId="4" fontId="51" fillId="101" borderId="187" applyNumberFormat="0" applyProtection="0">
      <alignment horizontal="right" vertical="center"/>
    </xf>
    <xf numFmtId="4" fontId="314" fillId="101" borderId="187" applyNumberFormat="0" applyProtection="0">
      <alignment horizontal="right" vertical="center"/>
    </xf>
    <xf numFmtId="4" fontId="51" fillId="103" borderId="187" applyNumberFormat="0" applyProtection="0">
      <alignment horizontal="left" vertical="center" indent="1"/>
    </xf>
    <xf numFmtId="0" fontId="51" fillId="98" borderId="187" applyNumberFormat="0" applyProtection="0">
      <alignment horizontal="left" vertical="top" indent="1"/>
    </xf>
    <xf numFmtId="4" fontId="315" fillId="88" borderId="0" applyNumberFormat="0" applyProtection="0">
      <alignment horizontal="left" vertical="center" indent="1"/>
    </xf>
    <xf numFmtId="4" fontId="52" fillId="101" borderId="187" applyNumberFormat="0" applyProtection="0">
      <alignment horizontal="right" vertical="center"/>
    </xf>
    <xf numFmtId="0" fontId="57" fillId="0" borderId="0" applyNumberFormat="0" applyFont="0" applyFill="0" applyBorder="0" applyAlignment="0" applyProtection="0"/>
    <xf numFmtId="0" fontId="312" fillId="1" borderId="54" applyNumberFormat="0" applyFont="0" applyAlignment="0">
      <alignment horizontal="center"/>
    </xf>
    <xf numFmtId="0" fontId="38" fillId="1" borderId="54" applyNumberFormat="0" applyFont="0" applyAlignment="0">
      <alignment horizontal="center"/>
    </xf>
    <xf numFmtId="0" fontId="38" fillId="1" borderId="54" applyNumberFormat="0" applyFont="0" applyAlignment="0">
      <alignment horizontal="center"/>
    </xf>
    <xf numFmtId="0" fontId="316" fillId="0" borderId="0" applyNumberFormat="0" applyFill="0" applyBorder="0" applyAlignment="0">
      <alignment horizontal="center"/>
    </xf>
    <xf numFmtId="0" fontId="316" fillId="0" borderId="0" applyNumberFormat="0" applyFill="0" applyBorder="0" applyAlignment="0">
      <alignment horizontal="center"/>
    </xf>
    <xf numFmtId="0" fontId="317" fillId="105" borderId="15">
      <protection locked="0"/>
    </xf>
    <xf numFmtId="0" fontId="317" fillId="105" borderId="15">
      <protection locked="0"/>
    </xf>
    <xf numFmtId="237" fontId="57" fillId="0" borderId="0"/>
    <xf numFmtId="3" fontId="276" fillId="0" borderId="1">
      <protection locked="0"/>
    </xf>
    <xf numFmtId="0" fontId="299" fillId="0" borderId="0"/>
    <xf numFmtId="0" fontId="299" fillId="0" borderId="0"/>
    <xf numFmtId="40" fontId="318" fillId="0" borderId="0" applyBorder="0">
      <alignment horizontal="right"/>
    </xf>
    <xf numFmtId="40" fontId="318" fillId="0" borderId="0" applyBorder="0">
      <alignment horizontal="right"/>
    </xf>
    <xf numFmtId="0" fontId="317" fillId="105" borderId="15">
      <protection locked="0"/>
    </xf>
    <xf numFmtId="0" fontId="317" fillId="105" borderId="15">
      <protection locked="0"/>
    </xf>
    <xf numFmtId="0" fontId="317" fillId="105" borderId="15">
      <protection locked="0"/>
    </xf>
    <xf numFmtId="0" fontId="317" fillId="105" borderId="15">
      <protection locked="0"/>
    </xf>
    <xf numFmtId="49" fontId="51"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17"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8" fontId="38" fillId="0" borderId="0" applyFill="0" applyBorder="0" applyAlignment="0"/>
    <xf numFmtId="239" fontId="38" fillId="0" borderId="0" applyFill="0" applyBorder="0" applyAlignment="0"/>
    <xf numFmtId="0" fontId="319" fillId="0" borderId="0" applyNumberFormat="0" applyFill="0" applyBorder="0" applyAlignment="0" applyProtection="0">
      <alignment vertical="center"/>
    </xf>
    <xf numFmtId="0" fontId="156" fillId="0" borderId="189" applyNumberFormat="0" applyFill="0" applyAlignment="0" applyProtection="0">
      <alignment vertical="center"/>
    </xf>
    <xf numFmtId="0" fontId="244" fillId="0" borderId="0" applyNumberForma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00" fillId="0" borderId="0" applyFont="0" applyFill="0" applyBorder="0" applyAlignment="0" applyProtection="0">
      <alignment vertical="center"/>
    </xf>
    <xf numFmtId="9" fontId="57" fillId="0" borderId="0" applyFont="0" applyFill="0" applyBorder="0" applyAlignment="0" applyProtection="0"/>
    <xf numFmtId="9" fontId="1"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20" fillId="0" borderId="0" applyFont="0" applyFill="0" applyBorder="0" applyAlignment="0" applyProtection="0">
      <alignment vertical="center"/>
    </xf>
    <xf numFmtId="9" fontId="320"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Protection="0"/>
    <xf numFmtId="9" fontId="57" fillId="0" borderId="0" applyFont="0" applyFill="0" applyBorder="0" applyAlignment="0" applyProtection="0"/>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alignment vertical="center"/>
    </xf>
    <xf numFmtId="9" fontId="38" fillId="0" borderId="0" applyProtection="0"/>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1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00" fillId="0" borderId="0" applyFont="0" applyFill="0" applyBorder="0" applyAlignment="0" applyProtection="0">
      <alignment vertical="center"/>
    </xf>
    <xf numFmtId="9" fontId="100"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100" fillId="0" borderId="0" applyFont="0" applyFill="0" applyBorder="0" applyAlignment="0" applyProtection="0">
      <alignment vertical="center"/>
    </xf>
    <xf numFmtId="9" fontId="320" fillId="0" borderId="0" applyFont="0" applyFill="0" applyBorder="0" applyAlignment="0" applyProtection="0">
      <alignment vertical="center"/>
    </xf>
    <xf numFmtId="9" fontId="320"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20"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264" fillId="0" borderId="0" applyFont="0" applyFill="0" applyBorder="0" applyAlignment="0" applyProtection="0"/>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219" fontId="57" fillId="0" borderId="0" applyFont="0" applyFill="0" applyBorder="0" applyAlignment="0" applyProtection="0"/>
    <xf numFmtId="232" fontId="57" fillId="0" borderId="0" applyFont="0" applyFill="0" applyBorder="0" applyAlignment="0" applyProtection="0"/>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321" fillId="0" borderId="156"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289" fillId="0" borderId="181" applyNumberFormat="0" applyFill="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322" fillId="0" borderId="157"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0" fillId="0" borderId="182"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323" fillId="0" borderId="158"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183" applyNumberFormat="0" applyFill="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323"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291"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24"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19" fillId="0" borderId="0" applyNumberFormat="0" applyFill="0" applyBorder="0" applyAlignment="0" applyProtection="0">
      <alignment vertical="center"/>
    </xf>
    <xf numFmtId="0" fontId="325" fillId="0" borderId="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271" fillId="5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326" fillId="1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4" borderId="0" applyNumberFormat="0" applyBorder="0" applyAlignment="0" applyProtection="0">
      <alignment vertical="center"/>
    </xf>
    <xf numFmtId="0" fontId="271" fillId="54"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327"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327" fillId="52"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271" fillId="52" borderId="0" applyNumberFormat="0" applyBorder="0" applyAlignment="0" applyProtection="0">
      <alignment vertical="center"/>
    </xf>
    <xf numFmtId="0" fontId="327" fillId="52" borderId="0" applyNumberFormat="0" applyBorder="0" applyAlignment="0" applyProtection="0">
      <alignment vertical="center"/>
    </xf>
    <xf numFmtId="0" fontId="327" fillId="52" borderId="0" applyNumberFormat="0" applyBorder="0" applyAlignment="0" applyProtection="0">
      <alignment vertical="center"/>
    </xf>
    <xf numFmtId="0" fontId="327" fillId="52" borderId="0" applyNumberFormat="0" applyBorder="0" applyAlignment="0" applyProtection="0">
      <alignment vertical="center"/>
    </xf>
    <xf numFmtId="0" fontId="327" fillId="52"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8" borderId="0" applyNumberFormat="0" applyBorder="0" applyAlignment="0" applyProtection="0">
      <alignment vertical="center"/>
    </xf>
    <xf numFmtId="0" fontId="271" fillId="52" borderId="0" applyNumberFormat="0" applyBorder="0" applyAlignment="0" applyProtection="0">
      <alignment vertical="center"/>
    </xf>
    <xf numFmtId="0" fontId="327" fillId="52" borderId="0" applyNumberFormat="0" applyBorder="0" applyAlignment="0" applyProtection="0">
      <alignment vertical="center"/>
    </xf>
    <xf numFmtId="0" fontId="271" fillId="52" borderId="0" applyNumberFormat="0" applyBorder="0" applyAlignment="0" applyProtection="0">
      <alignment vertical="center"/>
    </xf>
    <xf numFmtId="0" fontId="100" fillId="0" borderId="0">
      <alignment vertical="center"/>
    </xf>
    <xf numFmtId="0" fontId="138" fillId="0" borderId="0">
      <alignment vertical="center"/>
    </xf>
    <xf numFmtId="196" fontId="138" fillId="0" borderId="0">
      <alignment vertical="center"/>
    </xf>
    <xf numFmtId="196" fontId="138" fillId="0" borderId="0">
      <alignment vertical="center"/>
    </xf>
    <xf numFmtId="0" fontId="100" fillId="0" borderId="0">
      <alignment vertical="center"/>
    </xf>
    <xf numFmtId="196" fontId="138" fillId="0" borderId="0">
      <alignment vertical="center"/>
    </xf>
    <xf numFmtId="0" fontId="38" fillId="0" borderId="0">
      <alignment vertical="center"/>
    </xf>
    <xf numFmtId="0" fontId="38" fillId="0" borderId="0">
      <alignment vertical="center"/>
    </xf>
    <xf numFmtId="196" fontId="138" fillId="0" borderId="0">
      <alignment vertical="center"/>
    </xf>
    <xf numFmtId="196" fontId="138" fillId="0" borderId="0">
      <alignment vertical="center"/>
    </xf>
    <xf numFmtId="0" fontId="100" fillId="0" borderId="0">
      <alignment vertical="center"/>
    </xf>
    <xf numFmtId="196" fontId="138" fillId="0" borderId="0">
      <alignment vertical="center"/>
    </xf>
    <xf numFmtId="0" fontId="138" fillId="0" borderId="0">
      <alignment vertical="center"/>
    </xf>
    <xf numFmtId="0" fontId="138" fillId="0" borderId="0">
      <alignment vertical="center"/>
    </xf>
    <xf numFmtId="0" fontId="100" fillId="0" borderId="0">
      <alignment vertical="center"/>
    </xf>
    <xf numFmtId="196" fontId="138" fillId="0" borderId="0">
      <alignment vertical="center"/>
    </xf>
    <xf numFmtId="196" fontId="138" fillId="0" borderId="0">
      <alignment vertical="center"/>
    </xf>
    <xf numFmtId="0" fontId="100" fillId="0" borderId="0">
      <alignment vertical="center"/>
    </xf>
    <xf numFmtId="196" fontId="138" fillId="0" borderId="0">
      <alignment vertical="center"/>
    </xf>
    <xf numFmtId="0" fontId="100" fillId="0" borderId="0">
      <alignment vertical="center"/>
    </xf>
    <xf numFmtId="0" fontId="100" fillId="0" borderId="0">
      <alignment vertical="center"/>
    </xf>
    <xf numFmtId="0" fontId="100" fillId="0" borderId="0">
      <alignment vertical="center"/>
    </xf>
    <xf numFmtId="0" fontId="38" fillId="0" borderId="0">
      <alignment vertical="center"/>
    </xf>
    <xf numFmtId="240" fontId="273" fillId="0" borderId="0">
      <alignment vertical="center"/>
    </xf>
    <xf numFmtId="0" fontId="38" fillId="0" borderId="0">
      <alignment vertical="center"/>
    </xf>
    <xf numFmtId="0" fontId="100" fillId="0" borderId="0">
      <alignment vertical="center"/>
    </xf>
    <xf numFmtId="0" fontId="100" fillId="0" borderId="0">
      <alignment vertical="center"/>
    </xf>
    <xf numFmtId="0" fontId="38" fillId="0" borderId="0">
      <alignment vertical="center"/>
    </xf>
    <xf numFmtId="0" fontId="38" fillId="0" borderId="0">
      <alignment vertical="center"/>
    </xf>
    <xf numFmtId="0" fontId="100"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100" fillId="0" borderId="0">
      <alignment vertical="center"/>
    </xf>
    <xf numFmtId="0" fontId="38" fillId="0" borderId="0">
      <alignment vertical="center"/>
    </xf>
    <xf numFmtId="240" fontId="273" fillId="0" borderId="0">
      <alignment vertical="center"/>
    </xf>
    <xf numFmtId="0" fontId="38" fillId="0" borderId="0">
      <alignment vertical="center"/>
    </xf>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264" fillId="0" borderId="0"/>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38" fillId="0" borderId="0">
      <alignment vertical="center"/>
    </xf>
    <xf numFmtId="0" fontId="1" fillId="0" borderId="0">
      <alignment vertical="center"/>
    </xf>
    <xf numFmtId="0" fontId="100" fillId="0" borderId="0">
      <alignment vertical="center"/>
    </xf>
    <xf numFmtId="0" fontId="1" fillId="0" borderId="0">
      <alignment vertical="center"/>
    </xf>
    <xf numFmtId="0" fontId="100" fillId="0" borderId="0">
      <alignment vertical="center"/>
    </xf>
    <xf numFmtId="0" fontId="1" fillId="0" borderId="0">
      <alignment vertical="center"/>
    </xf>
    <xf numFmtId="0" fontId="100" fillId="0" borderId="0">
      <alignment vertical="center"/>
    </xf>
    <xf numFmtId="0" fontId="138" fillId="0" borderId="0">
      <alignment vertical="center"/>
    </xf>
    <xf numFmtId="0" fontId="138" fillId="0" borderId="0">
      <alignment vertical="center"/>
    </xf>
    <xf numFmtId="0" fontId="5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0" fontId="100"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240" fontId="273"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8" fillId="0" borderId="0">
      <alignment vertical="center"/>
    </xf>
    <xf numFmtId="0" fontId="57" fillId="0" borderId="0"/>
    <xf numFmtId="0" fontId="38" fillId="0" borderId="0"/>
    <xf numFmtId="0" fontId="100" fillId="0" borderId="0">
      <alignment vertical="center"/>
    </xf>
    <xf numFmtId="0" fontId="100" fillId="0" borderId="0">
      <alignment vertical="center"/>
    </xf>
    <xf numFmtId="0" fontId="100" fillId="0" borderId="0">
      <alignment vertical="center"/>
    </xf>
    <xf numFmtId="0" fontId="38" fillId="0" borderId="0"/>
    <xf numFmtId="0" fontId="1" fillId="0" borderId="0">
      <alignment vertical="center"/>
    </xf>
    <xf numFmtId="0" fontId="38" fillId="0" borderId="0"/>
    <xf numFmtId="0" fontId="38" fillId="0" borderId="0"/>
    <xf numFmtId="0" fontId="1" fillId="0" borderId="0">
      <alignment vertical="center"/>
    </xf>
    <xf numFmtId="0" fontId="38" fillId="0" borderId="0"/>
    <xf numFmtId="0" fontId="1" fillId="0" borderId="0">
      <alignment vertical="center"/>
    </xf>
    <xf numFmtId="0" fontId="38" fillId="0" borderId="0"/>
    <xf numFmtId="0" fontId="38" fillId="0" borderId="0"/>
    <xf numFmtId="0" fontId="38" fillId="0" borderId="0"/>
    <xf numFmtId="0" fontId="38" fillId="0" borderId="0"/>
    <xf numFmtId="0" fontId="57" fillId="0" borderId="0"/>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0" fillId="0" borderId="0">
      <alignment vertical="center"/>
    </xf>
    <xf numFmtId="0" fontId="57" fillId="0" borderId="0"/>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240" fontId="273" fillId="0" borderId="0">
      <alignment vertical="center"/>
    </xf>
    <xf numFmtId="0" fontId="328" fillId="0" borderId="0">
      <alignment vertical="center"/>
    </xf>
    <xf numFmtId="0" fontId="38" fillId="0" borderId="0"/>
    <xf numFmtId="0" fontId="38" fillId="0" borderId="0"/>
    <xf numFmtId="0" fontId="100" fillId="0" borderId="0">
      <alignment vertical="center"/>
    </xf>
    <xf numFmtId="0" fontId="57" fillId="0" borderId="0"/>
    <xf numFmtId="0" fontId="38" fillId="0" borderId="0"/>
    <xf numFmtId="0" fontId="57" fillId="0" borderId="0"/>
    <xf numFmtId="0" fontId="38" fillId="0" borderId="0"/>
    <xf numFmtId="0" fontId="57" fillId="0" borderId="0"/>
    <xf numFmtId="0" fontId="38" fillId="0" borderId="0"/>
    <xf numFmtId="0" fontId="38" fillId="0" borderId="0"/>
    <xf numFmtId="0" fontId="57" fillId="0" borderId="0"/>
    <xf numFmtId="0" fontId="38" fillId="0" borderId="0">
      <alignment vertical="center"/>
    </xf>
    <xf numFmtId="0" fontId="57" fillId="0" borderId="0"/>
    <xf numFmtId="0" fontId="138" fillId="0" borderId="0">
      <alignment vertical="center"/>
    </xf>
    <xf numFmtId="0" fontId="57" fillId="0" borderId="0"/>
    <xf numFmtId="0" fontId="38" fillId="0" borderId="0"/>
    <xf numFmtId="0" fontId="38" fillId="0" borderId="0"/>
    <xf numFmtId="0" fontId="38" fillId="0" borderId="0"/>
    <xf numFmtId="0" fontId="38" fillId="0" borderId="0"/>
    <xf numFmtId="0" fontId="38" fillId="0" borderId="0"/>
    <xf numFmtId="0" fontId="57" fillId="0" borderId="0"/>
    <xf numFmtId="0" fontId="138" fillId="0" borderId="0">
      <alignment vertical="center"/>
    </xf>
    <xf numFmtId="0" fontId="57" fillId="0" borderId="0"/>
    <xf numFmtId="0" fontId="138" fillId="0" borderId="0">
      <alignment vertical="center"/>
    </xf>
    <xf numFmtId="0" fontId="156" fillId="0" borderId="0"/>
    <xf numFmtId="0" fontId="138" fillId="0" borderId="0">
      <alignment vertical="center"/>
    </xf>
    <xf numFmtId="0" fontId="156" fillId="0" borderId="0" applyProtection="0"/>
    <xf numFmtId="0" fontId="156" fillId="0" borderId="0" applyProtection="0"/>
    <xf numFmtId="0" fontId="156" fillId="0" borderId="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196" fontId="38" fillId="0" borderId="0" applyProtection="0">
      <alignment vertical="center"/>
    </xf>
    <xf numFmtId="196" fontId="38" fillId="0" borderId="0" applyProtection="0">
      <alignment vertical="center"/>
    </xf>
    <xf numFmtId="0" fontId="100" fillId="0" borderId="0">
      <alignment vertical="center"/>
    </xf>
    <xf numFmtId="0" fontId="100" fillId="0" borderId="0">
      <alignment vertical="center"/>
    </xf>
    <xf numFmtId="0" fontId="100" fillId="0" borderId="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196" fontId="38" fillId="0" borderId="0" applyProtection="0">
      <alignment vertical="center"/>
    </xf>
    <xf numFmtId="0" fontId="38" fillId="0" borderId="0"/>
    <xf numFmtId="0" fontId="1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38" fillId="0" borderId="0">
      <alignment vertical="center"/>
    </xf>
    <xf numFmtId="0" fontId="38" fillId="0" borderId="0"/>
    <xf numFmtId="0" fontId="100" fillId="0" borderId="0">
      <alignment vertical="center"/>
    </xf>
    <xf numFmtId="0" fontId="100" fillId="0" borderId="0">
      <alignment vertical="center"/>
    </xf>
    <xf numFmtId="0" fontId="10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38" fillId="0" borderId="0"/>
    <xf numFmtId="0" fontId="38" fillId="0" borderId="0"/>
    <xf numFmtId="0" fontId="38" fillId="0" borderId="0"/>
    <xf numFmtId="0" fontId="38" fillId="0" borderId="0"/>
    <xf numFmtId="196" fontId="138" fillId="0" borderId="0" applyProtection="0">
      <alignment vertical="center"/>
    </xf>
    <xf numFmtId="0" fontId="100" fillId="0" borderId="0">
      <alignment vertical="center"/>
    </xf>
    <xf numFmtId="0" fontId="100" fillId="0" borderId="0">
      <alignment vertical="center"/>
    </xf>
    <xf numFmtId="0" fontId="100" fillId="0" borderId="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0" fontId="38" fillId="0" borderId="0"/>
    <xf numFmtId="0" fontId="138" fillId="0" borderId="0">
      <alignment vertical="center"/>
    </xf>
    <xf numFmtId="0" fontId="38" fillId="0" borderId="0"/>
    <xf numFmtId="0" fontId="38" fillId="0" borderId="0"/>
    <xf numFmtId="0" fontId="100" fillId="0" borderId="0">
      <alignment vertical="center"/>
    </xf>
    <xf numFmtId="0" fontId="100" fillId="0" borderId="0">
      <alignment vertical="center"/>
    </xf>
    <xf numFmtId="0" fontId="10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38" fillId="0" borderId="0"/>
    <xf numFmtId="0" fontId="100" fillId="0" borderId="0">
      <alignment vertical="center"/>
    </xf>
    <xf numFmtId="0" fontId="100" fillId="0" borderId="0">
      <alignment vertical="center"/>
    </xf>
    <xf numFmtId="0" fontId="10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38" fillId="0" borderId="0"/>
    <xf numFmtId="0" fontId="38" fillId="0" borderId="0"/>
    <xf numFmtId="0" fontId="1" fillId="0" borderId="0">
      <alignment vertical="center"/>
    </xf>
    <xf numFmtId="0" fontId="100" fillId="0" borderId="0">
      <alignment vertical="center"/>
    </xf>
    <xf numFmtId="0" fontId="57" fillId="0" borderId="0"/>
    <xf numFmtId="0" fontId="38" fillId="0" borderId="0"/>
    <xf numFmtId="0" fontId="38" fillId="0" borderId="0"/>
    <xf numFmtId="0" fontId="57" fillId="0" borderId="0"/>
    <xf numFmtId="196" fontId="38" fillId="0" borderId="0" applyProtection="0"/>
    <xf numFmtId="196" fontId="38" fillId="0" borderId="0" applyProtection="0"/>
    <xf numFmtId="0" fontId="38" fillId="0" borderId="0"/>
    <xf numFmtId="196" fontId="38" fillId="0" borderId="0" applyProtection="0"/>
    <xf numFmtId="196" fontId="38" fillId="0" borderId="0" applyProtection="0"/>
    <xf numFmtId="0" fontId="38" fillId="0" borderId="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0" fontId="100" fillId="0" borderId="0">
      <alignment vertical="center"/>
    </xf>
    <xf numFmtId="0" fontId="57" fillId="0" borderId="0"/>
    <xf numFmtId="0" fontId="15" fillId="0" borderId="0"/>
    <xf numFmtId="0" fontId="15" fillId="0" borderId="0"/>
    <xf numFmtId="196" fontId="38" fillId="0" borderId="0" applyProtection="0"/>
    <xf numFmtId="0" fontId="38" fillId="0" borderId="0"/>
    <xf numFmtId="0" fontId="15" fillId="0" borderId="0"/>
    <xf numFmtId="0" fontId="15" fillId="0" borderId="0"/>
    <xf numFmtId="0" fontId="15" fillId="0" borderId="0"/>
    <xf numFmtId="0" fontId="15" fillId="0" borderId="0"/>
    <xf numFmtId="0" fontId="15" fillId="0" borderId="0"/>
    <xf numFmtId="0" fontId="38" fillId="0" borderId="0"/>
    <xf numFmtId="0" fontId="38" fillId="0" borderId="0"/>
    <xf numFmtId="0" fontId="38" fillId="0" borderId="0"/>
    <xf numFmtId="196" fontId="38" fillId="0" borderId="0" applyProtection="0"/>
    <xf numFmtId="196" fontId="38" fillId="0" borderId="0" applyProtection="0"/>
    <xf numFmtId="0" fontId="38" fillId="0" borderId="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0" fontId="15" fillId="0" borderId="0"/>
    <xf numFmtId="0" fontId="15" fillId="0" borderId="0"/>
    <xf numFmtId="0" fontId="38" fillId="0" borderId="0"/>
    <xf numFmtId="0" fontId="38" fillId="0" borderId="0"/>
    <xf numFmtId="0" fontId="38" fillId="0" borderId="0"/>
    <xf numFmtId="0" fontId="38" fillId="0" borderId="0"/>
    <xf numFmtId="0" fontId="15" fillId="0" borderId="0"/>
    <xf numFmtId="0" fontId="57" fillId="0" borderId="0"/>
    <xf numFmtId="196" fontId="38" fillId="0" borderId="0" applyProtection="0"/>
    <xf numFmtId="196" fontId="38" fillId="0" borderId="0" applyProtection="0"/>
    <xf numFmtId="0" fontId="38" fillId="0" borderId="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0" fontId="100" fillId="0" borderId="0">
      <alignment vertical="center"/>
    </xf>
    <xf numFmtId="0" fontId="57" fillId="0" borderId="0"/>
    <xf numFmtId="196" fontId="38" fillId="0" borderId="0" applyProtection="0"/>
    <xf numFmtId="196" fontId="38" fillId="0" borderId="0" applyProtection="0"/>
    <xf numFmtId="0" fontId="38" fillId="0" borderId="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196" fontId="38" fillId="0" borderId="0" applyProtection="0"/>
    <xf numFmtId="0" fontId="100" fillId="0" borderId="0">
      <alignment vertical="center"/>
    </xf>
    <xf numFmtId="0" fontId="5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7" fillId="0" borderId="0"/>
    <xf numFmtId="0" fontId="38" fillId="0" borderId="0"/>
    <xf numFmtId="0" fontId="100" fillId="0" borderId="0">
      <alignment vertical="center"/>
    </xf>
    <xf numFmtId="0" fontId="57" fillId="0" borderId="0"/>
    <xf numFmtId="0" fontId="38" fillId="0" borderId="0" applyProtection="0"/>
    <xf numFmtId="0" fontId="1"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240" fontId="273" fillId="0" borderId="0">
      <alignment vertical="center"/>
    </xf>
    <xf numFmtId="0" fontId="38" fillId="0" borderId="0">
      <alignment vertical="center"/>
    </xf>
    <xf numFmtId="0" fontId="138" fillId="0" borderId="0">
      <alignment vertical="center"/>
    </xf>
    <xf numFmtId="0" fontId="38" fillId="0" borderId="0"/>
    <xf numFmtId="0" fontId="38" fillId="0" borderId="0">
      <protection locked="0"/>
    </xf>
    <xf numFmtId="0" fontId="38" fillId="0" borderId="0">
      <protection locked="0"/>
    </xf>
    <xf numFmtId="0" fontId="38" fillId="0" borderId="0">
      <protection locked="0"/>
    </xf>
    <xf numFmtId="0" fontId="38" fillId="0" borderId="0">
      <protection locked="0"/>
    </xf>
    <xf numFmtId="0" fontId="38" fillId="0" borderId="0">
      <alignment vertical="center"/>
    </xf>
    <xf numFmtId="0" fontId="38" fillId="0" borderId="0">
      <alignment vertical="center"/>
    </xf>
    <xf numFmtId="240" fontId="273" fillId="0" borderId="0">
      <alignment vertical="center"/>
    </xf>
    <xf numFmtId="0" fontId="138" fillId="0" borderId="0" applyProtection="0">
      <alignment vertical="center"/>
    </xf>
    <xf numFmtId="0" fontId="57" fillId="0" borderId="0"/>
    <xf numFmtId="0" fontId="138" fillId="0" borderId="0">
      <alignment vertical="center"/>
    </xf>
    <xf numFmtId="0" fontId="57" fillId="0" borderId="0"/>
    <xf numFmtId="0" fontId="100" fillId="0" borderId="0">
      <alignment vertical="center"/>
    </xf>
    <xf numFmtId="0" fontId="100" fillId="0" borderId="0">
      <alignment vertical="center"/>
    </xf>
    <xf numFmtId="0" fontId="100" fillId="0" borderId="0">
      <alignment vertical="center"/>
    </xf>
    <xf numFmtId="0" fontId="57" fillId="0" borderId="0"/>
    <xf numFmtId="0" fontId="328" fillId="0" borderId="0">
      <alignment vertical="center"/>
    </xf>
    <xf numFmtId="0" fontId="328" fillId="0" borderId="0">
      <alignment vertical="center"/>
    </xf>
    <xf numFmtId="0" fontId="32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alignment vertical="center"/>
    </xf>
    <xf numFmtId="0" fontId="1" fillId="0" borderId="0">
      <alignment vertical="center"/>
    </xf>
    <xf numFmtId="0" fontId="38" fillId="0" borderId="0"/>
    <xf numFmtId="0" fontId="38" fillId="0" borderId="0"/>
    <xf numFmtId="0" fontId="38" fillId="0" borderId="0"/>
    <xf numFmtId="0" fontId="1"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9" fillId="0" borderId="0" applyFont="0" applyAlignment="0">
      <alignment vertical="center"/>
    </xf>
    <xf numFmtId="0" fontId="329" fillId="0" borderId="0" applyFont="0" applyAlignment="0">
      <alignment vertical="center"/>
    </xf>
    <xf numFmtId="0" fontId="38" fillId="0" borderId="0">
      <alignment vertical="center"/>
    </xf>
    <xf numFmtId="0" fontId="38" fillId="0" borderId="0">
      <alignment vertical="center"/>
    </xf>
    <xf numFmtId="0" fontId="329" fillId="0" borderId="0" applyFont="0" applyAlignment="0">
      <alignment vertical="center"/>
    </xf>
    <xf numFmtId="0" fontId="329" fillId="0" borderId="0" applyFont="0" applyAlignment="0">
      <alignment vertical="center"/>
    </xf>
    <xf numFmtId="0" fontId="329" fillId="0" borderId="0" applyFont="0" applyAlignment="0">
      <alignment vertical="center"/>
    </xf>
    <xf numFmtId="0" fontId="329" fillId="0" borderId="0" applyFont="0" applyAlignment="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29" fillId="0" borderId="0" applyFont="0" applyAlignment="0">
      <alignment vertical="center"/>
    </xf>
    <xf numFmtId="0" fontId="38" fillId="0" borderId="0"/>
    <xf numFmtId="0" fontId="38" fillId="0" borderId="0"/>
    <xf numFmtId="0" fontId="38" fillId="0" borderId="0"/>
    <xf numFmtId="0" fontId="38" fillId="0" borderId="0"/>
    <xf numFmtId="0" fontId="329" fillId="0" borderId="0" applyFont="0" applyAlignment="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96" fontId="138" fillId="0" borderId="0" applyProtection="0">
      <alignment vertical="center"/>
    </xf>
    <xf numFmtId="0" fontId="38" fillId="0" borderId="0"/>
    <xf numFmtId="0" fontId="38" fillId="0" borderId="0"/>
    <xf numFmtId="0" fontId="38" fillId="0" borderId="0"/>
    <xf numFmtId="0" fontId="38" fillId="0" borderId="0"/>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196" fontId="138" fillId="0" borderId="0" applyProtection="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pplyProtection="0"/>
    <xf numFmtId="0" fontId="38" fillId="0" borderId="0" applyProtection="0"/>
    <xf numFmtId="0" fontId="38" fillId="0" borderId="0" applyProtection="0"/>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pplyProtection="0"/>
    <xf numFmtId="0" fontId="38" fillId="0" borderId="0" applyProtection="0"/>
    <xf numFmtId="0" fontId="38" fillId="0" borderId="0" applyProtection="0"/>
    <xf numFmtId="0" fontId="38" fillId="0" borderId="0" applyProtection="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pplyProtection="0"/>
    <xf numFmtId="0" fontId="38" fillId="0" borderId="0" applyProtection="0"/>
    <xf numFmtId="0" fontId="38" fillId="0" borderId="0" applyProtection="0"/>
    <xf numFmtId="0" fontId="38" fillId="0" borderId="0"/>
    <xf numFmtId="0" fontId="38" fillId="0" borderId="0">
      <alignment vertical="center"/>
    </xf>
    <xf numFmtId="0" fontId="38" fillId="0" borderId="0"/>
    <xf numFmtId="0" fontId="38" fillId="0" borderId="0"/>
    <xf numFmtId="0" fontId="38" fillId="0" borderId="0">
      <alignment vertical="center"/>
    </xf>
    <xf numFmtId="0" fontId="38" fillId="0" borderId="0"/>
    <xf numFmtId="0" fontId="38" fillId="0" borderId="0"/>
    <xf numFmtId="0" fontId="38" fillId="0" borderId="0">
      <alignment vertical="center"/>
    </xf>
    <xf numFmtId="0" fontId="38" fillId="0" borderId="0"/>
    <xf numFmtId="0" fontId="38" fillId="0" borderId="0">
      <alignment vertical="center"/>
    </xf>
    <xf numFmtId="0" fontId="38" fillId="0" borderId="0"/>
    <xf numFmtId="0" fontId="38" fillId="0" borderId="0">
      <alignment vertical="center"/>
    </xf>
    <xf numFmtId="0" fontId="280" fillId="0" borderId="0">
      <protection locked="0"/>
    </xf>
    <xf numFmtId="0" fontId="138" fillId="0" borderId="0">
      <alignment vertical="center"/>
    </xf>
    <xf numFmtId="0" fontId="57" fillId="0" borderId="0"/>
    <xf numFmtId="0" fontId="138" fillId="0" borderId="0"/>
    <xf numFmtId="0" fontId="38" fillId="0" borderId="0"/>
    <xf numFmtId="0" fontId="138" fillId="0" borderId="0">
      <alignment vertical="center"/>
    </xf>
    <xf numFmtId="0" fontId="38" fillId="0" borderId="0"/>
    <xf numFmtId="0" fontId="138" fillId="0" borderId="0">
      <alignment vertical="center"/>
    </xf>
    <xf numFmtId="0" fontId="38" fillId="0" borderId="0"/>
    <xf numFmtId="0" fontId="138" fillId="0" borderId="0">
      <alignment vertical="center"/>
    </xf>
    <xf numFmtId="0" fontId="38" fillId="0" borderId="0"/>
    <xf numFmtId="0" fontId="38" fillId="0" borderId="0"/>
    <xf numFmtId="0" fontId="38" fillId="0" borderId="0"/>
    <xf numFmtId="0" fontId="138" fillId="0" borderId="0">
      <alignment vertical="center"/>
    </xf>
    <xf numFmtId="0" fontId="38" fillId="0" borderId="0"/>
    <xf numFmtId="0" fontId="100" fillId="0" borderId="0">
      <alignment vertical="center"/>
    </xf>
    <xf numFmtId="0" fontId="38" fillId="0" borderId="0"/>
    <xf numFmtId="0" fontId="138" fillId="0" borderId="0"/>
    <xf numFmtId="0" fontId="38" fillId="0" borderId="0"/>
    <xf numFmtId="0" fontId="38" fillId="0" borderId="0"/>
    <xf numFmtId="0" fontId="100" fillId="0" borderId="0">
      <alignment vertical="center"/>
    </xf>
    <xf numFmtId="0" fontId="330" fillId="0" borderId="0">
      <alignment vertical="center"/>
    </xf>
    <xf numFmtId="0" fontId="38" fillId="0" borderId="0"/>
    <xf numFmtId="0" fontId="38" fillId="0" borderId="0"/>
    <xf numFmtId="0" fontId="38" fillId="0" borderId="0"/>
    <xf numFmtId="0" fontId="38" fillId="0" borderId="0"/>
    <xf numFmtId="0" fontId="330" fillId="0" borderId="0">
      <alignment vertical="center"/>
    </xf>
    <xf numFmtId="0" fontId="330" fillId="0" borderId="0">
      <alignment vertical="center"/>
    </xf>
    <xf numFmtId="0" fontId="33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0" borderId="0"/>
    <xf numFmtId="0" fontId="38" fillId="0" borderId="0"/>
    <xf numFmtId="0" fontId="3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0" borderId="0"/>
    <xf numFmtId="0" fontId="1"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1" fillId="0" borderId="0">
      <alignment vertical="center"/>
    </xf>
    <xf numFmtId="0" fontId="38" fillId="0" borderId="0"/>
    <xf numFmtId="0" fontId="38" fillId="0" borderId="0"/>
    <xf numFmtId="0" fontId="1" fillId="0" borderId="0">
      <alignment vertical="center"/>
    </xf>
    <xf numFmtId="0" fontId="38" fillId="0" borderId="0"/>
    <xf numFmtId="0" fontId="38" fillId="0" borderId="0"/>
    <xf numFmtId="0" fontId="1" fillId="0" borderId="0">
      <alignment vertical="center"/>
    </xf>
    <xf numFmtId="0" fontId="38" fillId="0" borderId="0"/>
    <xf numFmtId="0" fontId="1" fillId="0" borderId="0">
      <alignment vertical="center"/>
    </xf>
    <xf numFmtId="0" fontId="38" fillId="0" borderId="0"/>
    <xf numFmtId="0" fontId="1" fillId="0" borderId="0">
      <alignment vertical="center"/>
    </xf>
    <xf numFmtId="0" fontId="3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0" fillId="0" borderId="0">
      <alignment vertical="center"/>
    </xf>
    <xf numFmtId="0" fontId="330" fillId="0" borderId="0">
      <alignment vertical="center"/>
    </xf>
    <xf numFmtId="0" fontId="330" fillId="0" borderId="0">
      <alignment vertical="center"/>
    </xf>
    <xf numFmtId="0" fontId="330" fillId="0" borderId="0">
      <alignment vertical="center"/>
    </xf>
    <xf numFmtId="0" fontId="1" fillId="0" borderId="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00" fillId="0" borderId="0">
      <alignment vertical="center"/>
    </xf>
    <xf numFmtId="0" fontId="138" fillId="0" borderId="0" applyProtection="0">
      <alignment vertical="center"/>
    </xf>
    <xf numFmtId="0" fontId="138" fillId="0" borderId="0" applyProtection="0">
      <alignment vertical="center"/>
    </xf>
    <xf numFmtId="0" fontId="38" fillId="0" borderId="0"/>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100"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38" fillId="0" borderId="0"/>
    <xf numFmtId="0" fontId="38" fillId="0" borderId="0"/>
    <xf numFmtId="0" fontId="330" fillId="0" borderId="0">
      <alignment vertical="center"/>
    </xf>
    <xf numFmtId="0" fontId="330" fillId="0" borderId="0">
      <alignment vertical="center"/>
    </xf>
    <xf numFmtId="0" fontId="330" fillId="0" borderId="0">
      <alignment vertical="center"/>
    </xf>
    <xf numFmtId="0" fontId="330" fillId="0" borderId="0">
      <alignment vertical="center"/>
    </xf>
    <xf numFmtId="0" fontId="330" fillId="0" borderId="0">
      <alignment vertical="center"/>
    </xf>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38" fillId="0" borderId="0"/>
    <xf numFmtId="0" fontId="38" fillId="0" borderId="0"/>
    <xf numFmtId="0" fontId="38" fillId="0" borderId="0"/>
    <xf numFmtId="0" fontId="38" fillId="0" borderId="0"/>
    <xf numFmtId="0" fontId="100" fillId="0" borderId="0">
      <alignment vertical="center"/>
    </xf>
    <xf numFmtId="0" fontId="38" fillId="0" borderId="0"/>
    <xf numFmtId="0" fontId="1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138" fillId="0" borderId="0">
      <alignment vertical="center"/>
    </xf>
    <xf numFmtId="0" fontId="138" fillId="0" borderId="0">
      <alignment vertical="center"/>
    </xf>
    <xf numFmtId="0" fontId="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241" fontId="1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3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38" fillId="0" borderId="0">
      <protection locked="0"/>
    </xf>
    <xf numFmtId="0" fontId="57" fillId="0" borderId="0"/>
    <xf numFmtId="0" fontId="57" fillId="0" borderId="0"/>
    <xf numFmtId="0" fontId="57" fillId="0" borderId="0"/>
    <xf numFmtId="0" fontId="57" fillId="0" borderId="0"/>
    <xf numFmtId="0" fontId="38" fillId="0" borderId="0">
      <protection locked="0"/>
    </xf>
    <xf numFmtId="0" fontId="38" fillId="0" borderId="0">
      <protection locked="0"/>
    </xf>
    <xf numFmtId="0" fontId="38" fillId="0" borderId="0">
      <protection locked="0"/>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100" fillId="0" borderId="0">
      <alignment vertical="center"/>
    </xf>
    <xf numFmtId="0" fontId="100"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38" fillId="0" borderId="0">
      <alignment vertical="center"/>
    </xf>
    <xf numFmtId="0" fontId="100" fillId="0" borderId="0">
      <alignment vertical="center"/>
    </xf>
    <xf numFmtId="0" fontId="38" fillId="0" borderId="0"/>
    <xf numFmtId="0" fontId="100" fillId="0" borderId="0">
      <alignment vertical="center"/>
    </xf>
    <xf numFmtId="0" fontId="38" fillId="0" borderId="0"/>
    <xf numFmtId="0" fontId="100" fillId="0" borderId="0">
      <alignment vertical="center"/>
    </xf>
    <xf numFmtId="0" fontId="38" fillId="0" borderId="0"/>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38" fillId="0" borderId="0">
      <alignment vertical="center"/>
    </xf>
    <xf numFmtId="0" fontId="38" fillId="0" borderId="0"/>
    <xf numFmtId="0" fontId="100"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00" fillId="0" borderId="0">
      <alignment vertical="center"/>
    </xf>
    <xf numFmtId="0" fontId="138" fillId="0" borderId="0">
      <alignment vertical="center"/>
    </xf>
    <xf numFmtId="0" fontId="138" fillId="0" borderId="0">
      <alignment vertical="center"/>
    </xf>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100" fillId="0" borderId="0">
      <alignment vertical="center"/>
    </xf>
    <xf numFmtId="0" fontId="38" fillId="0" borderId="0"/>
    <xf numFmtId="0" fontId="38" fillId="0" borderId="0"/>
    <xf numFmtId="0" fontId="38" fillId="0" borderId="0"/>
    <xf numFmtId="0" fontId="38" fillId="0" borderId="0"/>
    <xf numFmtId="0" fontId="38" fillId="0" borderId="0"/>
    <xf numFmtId="0" fontId="138" fillId="0" borderId="0">
      <alignment vertical="center"/>
    </xf>
    <xf numFmtId="0" fontId="138" fillId="0" borderId="0">
      <alignment vertical="center"/>
    </xf>
    <xf numFmtId="0" fontId="138" fillId="0" borderId="0">
      <alignment vertical="center"/>
    </xf>
    <xf numFmtId="0" fontId="138" fillId="0" borderId="0">
      <alignment vertical="center"/>
    </xf>
    <xf numFmtId="0" fontId="38" fillId="0" borderId="0"/>
    <xf numFmtId="0" fontId="38" fillId="0" borderId="0"/>
    <xf numFmtId="0" fontId="328" fillId="0" borderId="0">
      <alignment vertical="center"/>
    </xf>
    <xf numFmtId="0" fontId="328" fillId="0" borderId="0">
      <alignment vertical="center"/>
    </xf>
    <xf numFmtId="0" fontId="328" fillId="0" borderId="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0" fillId="0" borderId="0">
      <alignment vertical="center"/>
    </xf>
    <xf numFmtId="0" fontId="138" fillId="0" borderId="0">
      <alignment vertical="center"/>
    </xf>
    <xf numFmtId="0" fontId="38" fillId="0" borderId="0"/>
    <xf numFmtId="0" fontId="38" fillId="0" borderId="0"/>
    <xf numFmtId="0" fontId="100" fillId="0" borderId="0">
      <alignment vertical="center"/>
    </xf>
    <xf numFmtId="0" fontId="38" fillId="0" borderId="0"/>
    <xf numFmtId="0" fontId="328" fillId="0" borderId="0">
      <alignment vertical="center"/>
    </xf>
    <xf numFmtId="0" fontId="328" fillId="0" borderId="0">
      <alignment vertical="center"/>
    </xf>
    <xf numFmtId="0" fontId="328" fillId="0" borderId="0">
      <alignment vertical="center"/>
    </xf>
    <xf numFmtId="0" fontId="38" fillId="0" borderId="0"/>
    <xf numFmtId="0" fontId="328" fillId="0" borderId="0">
      <alignment vertical="center"/>
    </xf>
    <xf numFmtId="0" fontId="328" fillId="0" borderId="0">
      <alignment vertical="center"/>
    </xf>
    <xf numFmtId="0" fontId="328" fillId="0" borderId="0">
      <alignment vertical="center"/>
    </xf>
    <xf numFmtId="0" fontId="38" fillId="0" borderId="0"/>
    <xf numFmtId="0" fontId="328" fillId="0" borderId="0">
      <alignment vertical="center"/>
    </xf>
    <xf numFmtId="0" fontId="328" fillId="0" borderId="0">
      <alignment vertical="center"/>
    </xf>
    <xf numFmtId="0" fontId="328" fillId="0" borderId="0">
      <alignment vertical="center"/>
    </xf>
    <xf numFmtId="0" fontId="38" fillId="0" borderId="0"/>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28" fillId="0" borderId="0">
      <alignment vertical="center"/>
    </xf>
    <xf numFmtId="0" fontId="38" fillId="0" borderId="0">
      <alignment vertical="center"/>
    </xf>
    <xf numFmtId="0" fontId="38" fillId="0" borderId="0">
      <alignment vertical="center"/>
    </xf>
    <xf numFmtId="240" fontId="273" fillId="0" borderId="0">
      <alignment vertical="center"/>
    </xf>
    <xf numFmtId="0" fontId="38" fillId="0" borderId="0">
      <alignment vertical="center"/>
    </xf>
    <xf numFmtId="196"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196" fontId="138" fillId="0" borderId="0">
      <alignment vertical="center"/>
    </xf>
    <xf numFmtId="196" fontId="138" fillId="0" borderId="0">
      <alignment vertical="center"/>
    </xf>
    <xf numFmtId="0" fontId="100" fillId="0" borderId="0">
      <alignment vertical="center"/>
    </xf>
    <xf numFmtId="196" fontId="138" fillId="0" borderId="0">
      <alignment vertical="center"/>
    </xf>
    <xf numFmtId="0" fontId="38" fillId="0" borderId="0">
      <alignment vertical="center"/>
    </xf>
    <xf numFmtId="0" fontId="38" fillId="0" borderId="0">
      <alignment vertical="center"/>
    </xf>
    <xf numFmtId="196" fontId="138" fillId="0" borderId="0">
      <alignment vertical="center"/>
    </xf>
    <xf numFmtId="0" fontId="38" fillId="0" borderId="0">
      <alignment vertical="center"/>
    </xf>
    <xf numFmtId="0" fontId="38" fillId="0" borderId="0">
      <alignment vertical="center"/>
    </xf>
    <xf numFmtId="196" fontId="1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31"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center"/>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2" fillId="0" borderId="0" applyNumberFormat="0" applyFill="0" applyBorder="0" applyAlignment="0" applyProtection="0">
      <alignment vertical="top"/>
      <protection locked="0"/>
    </xf>
    <xf numFmtId="0" fontId="333" fillId="0" borderId="0"/>
    <xf numFmtId="0" fontId="278" fillId="0" borderId="0" applyNumberFormat="0" applyFill="0" applyBorder="0" applyAlignment="0" applyProtection="0"/>
    <xf numFmtId="0" fontId="278" fillId="0" borderId="0" applyNumberFormat="0" applyFill="0" applyBorder="0" applyAlignment="0" applyProtection="0"/>
    <xf numFmtId="0" fontId="38" fillId="0" borderId="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287" fillId="59"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334" fillId="17"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5" borderId="0" applyNumberFormat="0" applyBorder="0" applyAlignment="0" applyProtection="0">
      <alignment vertical="center"/>
    </xf>
    <xf numFmtId="0" fontId="287" fillId="55"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335"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335" fillId="53"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287" fillId="53" borderId="0" applyNumberFormat="0" applyBorder="0" applyAlignment="0" applyProtection="0">
      <alignment vertical="center"/>
    </xf>
    <xf numFmtId="0" fontId="335" fillId="53" borderId="0" applyNumberFormat="0" applyBorder="0" applyAlignment="0" applyProtection="0">
      <alignment vertical="center"/>
    </xf>
    <xf numFmtId="0" fontId="335" fillId="53" borderId="0" applyNumberFormat="0" applyBorder="0" applyAlignment="0" applyProtection="0">
      <alignment vertical="center"/>
    </xf>
    <xf numFmtId="0" fontId="335" fillId="53" borderId="0" applyNumberFormat="0" applyBorder="0" applyAlignment="0" applyProtection="0">
      <alignment vertical="center"/>
    </xf>
    <xf numFmtId="0" fontId="335" fillId="53"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9" borderId="0" applyNumberFormat="0" applyBorder="0" applyAlignment="0" applyProtection="0">
      <alignment vertical="center"/>
    </xf>
    <xf numFmtId="0" fontId="287" fillId="53" borderId="0" applyNumberFormat="0" applyBorder="0" applyAlignment="0" applyProtection="0">
      <alignment vertical="center"/>
    </xf>
    <xf numFmtId="0" fontId="335" fillId="53" borderId="0" applyNumberFormat="0" applyBorder="0" applyAlignment="0" applyProtection="0">
      <alignment vertical="center"/>
    </xf>
    <xf numFmtId="0" fontId="287" fillId="53" borderId="0" applyNumberFormat="0" applyBorder="0" applyAlignment="0" applyProtection="0">
      <alignment vertical="center"/>
    </xf>
    <xf numFmtId="40" fontId="325" fillId="0" borderId="0" applyFont="0" applyFill="0" applyBorder="0" applyAlignment="0" applyProtection="0">
      <alignment vertical="center"/>
    </xf>
    <xf numFmtId="0" fontId="336" fillId="0" borderId="0" applyNumberFormat="0" applyFill="0" applyBorder="0" applyAlignment="0" applyProtection="0">
      <alignment vertical="top"/>
      <protection locked="0"/>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01" fillId="0" borderId="164"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0" fontId="156" fillId="0" borderId="189" applyNumberFormat="0" applyFill="0" applyAlignment="0" applyProtection="0">
      <alignment vertical="center"/>
    </xf>
    <xf numFmtId="178" fontId="38" fillId="0" borderId="0" applyFont="0" applyFill="0" applyBorder="0" applyAlignment="0" applyProtection="0">
      <alignment vertical="center"/>
    </xf>
    <xf numFmtId="178" fontId="38" fillId="0" borderId="0" applyFont="0" applyFill="0" applyBorder="0" applyAlignment="0" applyProtection="0">
      <alignment vertical="center"/>
    </xf>
    <xf numFmtId="178" fontId="38" fillId="0" borderId="0" applyFont="0" applyFill="0" applyBorder="0" applyAlignment="0" applyProtection="0">
      <alignment vertical="center"/>
    </xf>
    <xf numFmtId="178" fontId="38" fillId="0" borderId="0" applyFont="0" applyFill="0" applyBorder="0" applyAlignment="0" applyProtection="0">
      <alignment vertical="center"/>
    </xf>
    <xf numFmtId="178" fontId="38" fillId="0" borderId="0" applyFont="0" applyFill="0" applyBorder="0" applyAlignment="0" applyProtection="0">
      <alignment vertical="center"/>
    </xf>
    <xf numFmtId="178" fontId="38" fillId="0" borderId="0" applyFont="0" applyFill="0" applyBorder="0" applyAlignment="0" applyProtection="0">
      <alignment vertical="center"/>
    </xf>
    <xf numFmtId="232" fontId="57" fillId="0" borderId="0" applyFont="0" applyFill="0" applyBorder="0" applyAlignment="0" applyProtection="0"/>
    <xf numFmtId="219" fontId="57" fillId="0" borderId="0" applyFont="0" applyFill="0" applyBorder="0" applyAlignment="0" applyProtection="0"/>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274" fillId="85" borderId="178"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337" fillId="21" borderId="159"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4" fillId="85" borderId="178"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277" fillId="106" borderId="179"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338" fillId="22" borderId="162"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77" fillId="106" borderId="179" applyNumberFormat="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339"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4" fontId="264" fillId="0" borderId="4" applyBorder="0">
      <alignment horizontal="right"/>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340" fillId="0" borderId="161"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0" fontId="297" fillId="0" borderId="185" applyNumberFormat="0" applyFill="0" applyAlignment="0" applyProtection="0">
      <alignment vertical="center"/>
    </xf>
    <xf numFmtId="242" fontId="264" fillId="0" borderId="0" applyFont="0" applyFill="0" applyBorder="0" applyAlignment="0" applyProtection="0"/>
    <xf numFmtId="176" fontId="38" fillId="0" borderId="0" applyFont="0" applyFill="0" applyBorder="0" applyAlignment="0" applyProtection="0"/>
    <xf numFmtId="243" fontId="264" fillId="0" borderId="0" applyFont="0" applyFill="0" applyBorder="0" applyAlignment="0" applyProtection="0"/>
    <xf numFmtId="244" fontId="264" fillId="0" borderId="0" applyFont="0" applyFill="0" applyBorder="0" applyAlignment="0" applyProtection="0"/>
    <xf numFmtId="0" fontId="262" fillId="0" borderId="0"/>
    <xf numFmtId="177" fontId="262" fillId="0" borderId="0" applyFont="0" applyFill="0" applyBorder="0" applyAlignment="0" applyProtection="0"/>
    <xf numFmtId="179" fontId="262" fillId="0" borderId="0" applyFont="0" applyFill="0" applyBorder="0" applyAlignment="0" applyProtection="0"/>
    <xf numFmtId="37" fontId="57" fillId="0" borderId="0" applyFont="0" applyFill="0" applyBorder="0" applyAlignment="0" applyProtection="0"/>
    <xf numFmtId="39" fontId="57" fillId="0" borderId="0" applyFont="0" applyFill="0" applyBorder="0" applyAlignment="0" applyProtection="0"/>
    <xf numFmtId="245" fontId="280"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43" fontId="138" fillId="0" borderId="0" applyProtection="0">
      <alignment vertical="center"/>
    </xf>
    <xf numFmtId="0" fontId="280" fillId="0" borderId="0" applyFont="0" applyFill="0" applyBorder="0" applyAlignment="0" applyProtection="0"/>
    <xf numFmtId="179" fontId="38" fillId="0" borderId="0" applyFont="0" applyFill="0" applyBorder="0" applyAlignment="0" applyProtection="0"/>
    <xf numFmtId="0" fontId="280" fillId="0" borderId="0" applyFont="0" applyFill="0" applyBorder="0" applyAlignment="0" applyProtection="0"/>
    <xf numFmtId="0" fontId="280" fillId="0" borderId="0" applyFont="0" applyFill="0" applyBorder="0" applyAlignment="0" applyProtection="0"/>
    <xf numFmtId="0" fontId="280" fillId="0" borderId="0" applyFont="0" applyFill="0" applyBorder="0" applyAlignment="0" applyProtection="0"/>
    <xf numFmtId="0" fontId="280"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45" fontId="280"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45" fontId="280" fillId="0" borderId="0" applyFont="0" applyFill="0" applyBorder="0" applyAlignment="0" applyProtection="0"/>
    <xf numFmtId="245" fontId="280" fillId="0" borderId="0" applyFont="0" applyFill="0" applyBorder="0" applyAlignment="0" applyProtection="0"/>
    <xf numFmtId="245" fontId="280" fillId="0" borderId="0" applyFont="0" applyFill="0" applyBorder="0" applyAlignment="0" applyProtection="0"/>
    <xf numFmtId="245" fontId="280" fillId="0" borderId="0" applyFont="0" applyFill="0" applyBorder="0" applyAlignment="0" applyProtection="0"/>
    <xf numFmtId="179" fontId="38" fillId="0" borderId="0" applyFont="0" applyFill="0" applyBorder="0" applyAlignment="0" applyProtection="0"/>
    <xf numFmtId="245" fontId="38" fillId="0" borderId="0" applyFont="0" applyFill="0" applyBorder="0" applyAlignment="0" applyProtection="0">
      <alignment vertical="center"/>
    </xf>
    <xf numFmtId="179" fontId="138" fillId="0" borderId="0" applyProtection="0">
      <alignment vertical="center"/>
    </xf>
    <xf numFmtId="179" fontId="138" fillId="0" borderId="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Protection="0">
      <alignment vertical="center"/>
    </xf>
    <xf numFmtId="179" fontId="138" fillId="0" borderId="0" applyFont="0" applyFill="0" applyBorder="0" applyAlignment="0" applyProtection="0">
      <alignment vertical="center"/>
    </xf>
    <xf numFmtId="222" fontId="38" fillId="0" borderId="0" applyFont="0" applyFill="0" applyBorder="0" applyAlignment="0" applyProtection="0"/>
    <xf numFmtId="179" fontId="138" fillId="0" borderId="0" applyProtection="0">
      <alignment vertical="center"/>
    </xf>
    <xf numFmtId="179" fontId="138" fillId="0" borderId="0" applyFont="0" applyFill="0" applyBorder="0" applyAlignment="0" applyProtection="0">
      <alignment vertical="center"/>
    </xf>
    <xf numFmtId="179" fontId="138" fillId="0" borderId="0" applyProtection="0">
      <alignment vertical="center"/>
    </xf>
    <xf numFmtId="179" fontId="138" fillId="0" borderId="0" applyFont="0" applyFill="0" applyBorder="0" applyAlignment="0" applyProtection="0">
      <alignment vertical="center"/>
    </xf>
    <xf numFmtId="179"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9" fontId="1" fillId="0" borderId="0" applyFont="0" applyFill="0" applyBorder="0" applyAlignment="0" applyProtection="0">
      <alignment vertical="center"/>
    </xf>
    <xf numFmtId="179"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38" fillId="0" borderId="0" applyFont="0" applyFill="0" applyBorder="0" applyAlignment="0" applyProtection="0">
      <alignment vertical="center"/>
    </xf>
    <xf numFmtId="246" fontId="100"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9" fontId="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Protection="0"/>
    <xf numFmtId="179" fontId="138" fillId="0" borderId="0" applyFont="0" applyFill="0" applyBorder="0" applyAlignment="0" applyProtection="0">
      <alignment vertical="center"/>
    </xf>
    <xf numFmtId="179" fontId="138" fillId="0" borderId="0" applyProtection="0">
      <alignment vertical="center"/>
    </xf>
    <xf numFmtId="179" fontId="38" fillId="0" borderId="0" applyFont="0" applyFill="0" applyBorder="0" applyAlignment="0" applyProtection="0"/>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00"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232" fontId="280"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20"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247"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56" fillId="0" borderId="0" applyFont="0" applyFill="0" applyBorder="0" applyAlignment="0" applyProtection="0"/>
    <xf numFmtId="179" fontId="138" fillId="0" borderId="0" applyFont="0" applyFill="0" applyBorder="0" applyAlignment="0" applyProtection="0">
      <alignment vertical="center"/>
    </xf>
    <xf numFmtId="213" fontId="57"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00"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00"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100" fillId="0" borderId="0" applyFont="0" applyFill="0" applyBorder="0" applyAlignment="0" applyProtection="0">
      <alignment vertical="center"/>
    </xf>
    <xf numFmtId="43" fontId="138" fillId="0" borderId="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00"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81" fontId="280"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0" fontId="138" fillId="0" borderId="0" applyProtection="0">
      <alignment vertical="center"/>
    </xf>
    <xf numFmtId="0" fontId="138" fillId="0" borderId="0" applyProtection="0">
      <alignment vertical="center"/>
    </xf>
    <xf numFmtId="0" fontId="138" fillId="0" borderId="0" applyProtection="0">
      <alignment vertical="center"/>
    </xf>
    <xf numFmtId="0" fontId="138" fillId="0" borderId="0" applyProtection="0">
      <alignment vertical="center"/>
    </xf>
    <xf numFmtId="0" fontId="280" fillId="0" borderId="0" applyFont="0" applyFill="0" applyBorder="0" applyAlignment="0" applyProtection="0"/>
    <xf numFmtId="0" fontId="280" fillId="0" borderId="0" applyFont="0" applyFill="0" applyBorder="0" applyAlignment="0" applyProtection="0"/>
    <xf numFmtId="0" fontId="280" fillId="0" borderId="0" applyFont="0" applyFill="0" applyBorder="0" applyAlignment="0" applyProtection="0"/>
    <xf numFmtId="0" fontId="280" fillId="0" borderId="0" applyFont="0" applyFill="0" applyBorder="0" applyAlignment="0" applyProtection="0"/>
    <xf numFmtId="0" fontId="138" fillId="0" borderId="0" applyProtection="0">
      <alignment vertical="center"/>
    </xf>
    <xf numFmtId="0" fontId="138" fillId="0" borderId="0" applyProtection="0">
      <alignment vertical="center"/>
    </xf>
    <xf numFmtId="0" fontId="138" fillId="0" borderId="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138" fillId="0" borderId="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43"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30" fillId="0" borderId="0" applyFont="0" applyFill="0" applyBorder="0" applyAlignment="0" applyProtection="0">
      <alignment vertical="center"/>
    </xf>
    <xf numFmtId="179" fontId="330" fillId="0" borderId="0" applyFont="0" applyFill="0" applyBorder="0" applyAlignment="0" applyProtection="0">
      <alignment vertical="center"/>
    </xf>
    <xf numFmtId="179" fontId="330"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Protection="0">
      <alignment vertical="center"/>
    </xf>
    <xf numFmtId="179"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Protection="0">
      <alignment vertical="center"/>
    </xf>
    <xf numFmtId="179" fontId="138" fillId="0" borderId="0" applyProtection="0">
      <alignment vertical="center"/>
    </xf>
    <xf numFmtId="179" fontId="138" fillId="0" borderId="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222"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30" fillId="0" borderId="0" applyFont="0" applyFill="0" applyBorder="0" applyAlignment="0" applyProtection="0">
      <alignment vertical="center"/>
    </xf>
    <xf numFmtId="179" fontId="330" fillId="0" borderId="0" applyFont="0" applyFill="0" applyBorder="0" applyAlignment="0" applyProtection="0">
      <alignment vertical="center"/>
    </xf>
    <xf numFmtId="179" fontId="330" fillId="0" borderId="0" applyFont="0" applyFill="0" applyBorder="0" applyAlignment="0" applyProtection="0">
      <alignment vertical="center"/>
    </xf>
    <xf numFmtId="179" fontId="330"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3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247" fontId="38" fillId="0" borderId="0" applyFont="0" applyFill="0" applyBorder="0" applyAlignment="0" applyProtection="0">
      <alignment vertical="center"/>
    </xf>
    <xf numFmtId="179" fontId="1" fillId="0" borderId="0" applyFont="0" applyFill="0" applyBorder="0" applyAlignment="0" applyProtection="0">
      <alignment vertical="center"/>
    </xf>
    <xf numFmtId="179" fontId="1"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43" fontId="138" fillId="0" borderId="0" applyProtection="0">
      <alignment vertical="center"/>
    </xf>
    <xf numFmtId="179" fontId="100"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264" fillId="0" borderId="0" applyFont="0" applyFill="0" applyBorder="0" applyAlignment="0" applyProtection="0"/>
    <xf numFmtId="43"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100" fillId="0" borderId="0" applyFont="0" applyFill="0" applyBorder="0" applyAlignment="0" applyProtection="0">
      <alignment vertical="center"/>
    </xf>
    <xf numFmtId="43" fontId="138" fillId="0" borderId="0" applyProtection="0">
      <alignment vertical="center"/>
    </xf>
    <xf numFmtId="179" fontId="100" fillId="0" borderId="0" applyFont="0" applyFill="0" applyBorder="0" applyAlignment="0" applyProtection="0">
      <alignment vertical="center"/>
    </xf>
    <xf numFmtId="222" fontId="57"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43" fontId="57" fillId="0" borderId="0" applyFont="0" applyFill="0" applyBorder="0" applyAlignment="0" applyProtection="0"/>
    <xf numFmtId="213" fontId="57" fillId="0" borderId="0" applyFont="0" applyFill="0" applyBorder="0" applyAlignment="0" applyProtection="0"/>
    <xf numFmtId="179" fontId="38" fillId="0" borderId="0" applyFont="0" applyFill="0" applyBorder="0" applyAlignment="0" applyProtection="0"/>
    <xf numFmtId="43" fontId="57" fillId="0" borderId="0" applyFont="0" applyFill="0" applyBorder="0" applyAlignment="0" applyProtection="0"/>
    <xf numFmtId="222" fontId="57" fillId="0" borderId="0" applyFont="0" applyFill="0" applyBorder="0" applyAlignment="0" applyProtection="0"/>
    <xf numFmtId="181" fontId="38" fillId="0" borderId="0" applyFont="0" applyFill="0" applyBorder="0" applyAlignment="0" applyProtection="0"/>
    <xf numFmtId="43" fontId="138" fillId="0" borderId="0" applyProtection="0">
      <alignment vertical="center"/>
    </xf>
    <xf numFmtId="43" fontId="138" fillId="0" borderId="0" applyProtection="0">
      <alignment vertical="center"/>
    </xf>
    <xf numFmtId="43" fontId="138" fillId="0" borderId="0" applyProtection="0">
      <alignment vertical="center"/>
    </xf>
    <xf numFmtId="225" fontId="57" fillId="0" borderId="0" applyFont="0" applyFill="0" applyBorder="0" applyAlignment="0" applyProtection="0"/>
    <xf numFmtId="179" fontId="38" fillId="0" borderId="0" applyFont="0" applyFill="0" applyBorder="0" applyAlignment="0" applyProtection="0"/>
    <xf numFmtId="43" fontId="138" fillId="0" borderId="0" applyProtection="0">
      <alignment vertical="center"/>
    </xf>
    <xf numFmtId="222" fontId="57" fillId="0" borderId="0" applyFont="0" applyFill="0" applyBorder="0" applyAlignment="0" applyProtection="0"/>
    <xf numFmtId="222" fontId="57" fillId="0" borderId="0" applyFont="0" applyFill="0" applyBorder="0" applyAlignment="0" applyProtection="0"/>
    <xf numFmtId="222" fontId="57"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22" fontId="57" fillId="0" borderId="0" applyFont="0" applyFill="0" applyBorder="0" applyAlignment="0" applyProtection="0"/>
    <xf numFmtId="222" fontId="57" fillId="0" borderId="0" applyFont="0" applyFill="0" applyBorder="0" applyAlignment="0" applyProtection="0"/>
    <xf numFmtId="222" fontId="57" fillId="0" borderId="0" applyFont="0" applyFill="0" applyBorder="0" applyAlignment="0" applyProtection="0"/>
    <xf numFmtId="222" fontId="57"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22" fontId="38" fillId="0" borderId="0" applyFont="0" applyFill="0" applyBorder="0" applyAlignment="0" applyProtection="0">
      <alignment vertical="center"/>
    </xf>
    <xf numFmtId="179" fontId="320"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179" fontId="320" fillId="0" borderId="0" applyFont="0" applyFill="0" applyBorder="0" applyAlignment="0" applyProtection="0">
      <alignment vertical="center"/>
    </xf>
    <xf numFmtId="179" fontId="320"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43" fontId="138" fillId="0" borderId="0" applyProtection="0">
      <alignment vertical="center"/>
    </xf>
    <xf numFmtId="43" fontId="138" fillId="0" borderId="0" applyProtection="0">
      <alignment vertical="center"/>
    </xf>
    <xf numFmtId="179" fontId="138" fillId="0" borderId="0" applyFont="0" applyFill="0" applyBorder="0" applyAlignment="0" applyProtection="0">
      <alignment vertical="center"/>
    </xf>
    <xf numFmtId="179" fontId="320" fillId="0" borderId="0" applyFont="0" applyFill="0" applyBorder="0" applyAlignment="0" applyProtection="0">
      <alignment vertical="center"/>
    </xf>
    <xf numFmtId="179" fontId="138" fillId="0" borderId="0" applyFont="0" applyFill="0" applyBorder="0" applyAlignment="0" applyProtection="0">
      <alignment vertical="center"/>
    </xf>
    <xf numFmtId="179" fontId="320" fillId="0" borderId="0" applyFont="0" applyFill="0" applyBorder="0" applyAlignment="0" applyProtection="0">
      <alignment vertical="center"/>
    </xf>
    <xf numFmtId="179" fontId="38" fillId="0" borderId="0" applyFont="0" applyFill="0" applyBorder="0" applyAlignment="0" applyProtection="0">
      <alignment vertical="center"/>
    </xf>
    <xf numFmtId="179" fontId="320" fillId="0" borderId="0" applyFont="0" applyFill="0" applyBorder="0" applyAlignment="0" applyProtection="0">
      <alignment vertical="center"/>
    </xf>
    <xf numFmtId="179" fontId="38" fillId="0" borderId="0" applyFont="0" applyFill="0" applyBorder="0" applyAlignment="0" applyProtection="0">
      <alignment vertical="center"/>
    </xf>
    <xf numFmtId="179" fontId="320"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00"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222" fontId="57" fillId="0" borderId="0" applyFont="0" applyFill="0" applyBorder="0" applyAlignment="0" applyProtection="0"/>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179" fontId="138"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179" fontId="320" fillId="0" borderId="0" applyFont="0" applyFill="0" applyBorder="0" applyAlignment="0" applyProtection="0">
      <alignment vertical="center"/>
    </xf>
    <xf numFmtId="179" fontId="320" fillId="0" borderId="0" applyFont="0" applyFill="0" applyBorder="0" applyAlignment="0" applyProtection="0">
      <alignment vertical="center"/>
    </xf>
    <xf numFmtId="179" fontId="320" fillId="0" borderId="0" applyFont="0" applyFill="0" applyBorder="0" applyAlignment="0" applyProtection="0">
      <alignment vertical="center"/>
    </xf>
    <xf numFmtId="179" fontId="320" fillId="0" borderId="0" applyFont="0" applyFill="0" applyBorder="0" applyAlignment="0" applyProtection="0">
      <alignment vertical="center"/>
    </xf>
    <xf numFmtId="43"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43" fontId="138" fillId="0" borderId="0" applyProtection="0">
      <alignment vertical="center"/>
    </xf>
    <xf numFmtId="223" fontId="1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43" fontId="138" fillId="0" borderId="0" applyProtection="0">
      <alignment vertical="center"/>
    </xf>
    <xf numFmtId="43" fontId="138" fillId="0" borderId="0" applyProtection="0">
      <alignment vertical="center"/>
    </xf>
    <xf numFmtId="43" fontId="138" fillId="0" borderId="0" applyProtection="0">
      <alignment vertical="center"/>
    </xf>
    <xf numFmtId="43" fontId="138" fillId="0" borderId="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100" fillId="0" borderId="0" applyFont="0" applyFill="0" applyBorder="0" applyAlignment="0" applyProtection="0">
      <alignment vertical="center"/>
    </xf>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203" fontId="38" fillId="0" borderId="0" applyFont="0" applyFill="0" applyBorder="0" applyAlignment="0" applyProtection="0">
      <alignment vertical="center"/>
    </xf>
    <xf numFmtId="203" fontId="38" fillId="0" borderId="0" applyFont="0" applyFill="0" applyBorder="0" applyAlignment="0" applyProtection="0">
      <alignment vertical="center"/>
    </xf>
    <xf numFmtId="203" fontId="38" fillId="0" borderId="0" applyFont="0" applyFill="0" applyBorder="0" applyAlignment="0" applyProtection="0">
      <alignment vertical="center"/>
    </xf>
    <xf numFmtId="203" fontId="38" fillId="0" borderId="0" applyFont="0" applyFill="0" applyBorder="0" applyAlignment="0" applyProtection="0">
      <alignment vertical="center"/>
    </xf>
    <xf numFmtId="179" fontId="38" fillId="0" borderId="0" applyFont="0" applyFill="0" applyBorder="0" applyAlignment="0" applyProtection="0"/>
    <xf numFmtId="179" fontId="38" fillId="0" borderId="0" applyFont="0" applyFill="0" applyBorder="0" applyAlignment="0" applyProtection="0"/>
    <xf numFmtId="179" fontId="38" fillId="0" borderId="0" applyFont="0" applyFill="0" applyBorder="0" applyAlignment="0" applyProtection="0"/>
    <xf numFmtId="177" fontId="38" fillId="0" borderId="0" applyFont="0" applyFill="0" applyBorder="0" applyAlignment="0" applyProtection="0"/>
    <xf numFmtId="41" fontId="1" fillId="0" borderId="0" applyFont="0" applyFill="0" applyBorder="0" applyAlignment="0" applyProtection="0">
      <alignment vertical="center"/>
    </xf>
    <xf numFmtId="177" fontId="38" fillId="0" borderId="0" applyFont="0" applyFill="0" applyBorder="0" applyAlignment="0" applyProtection="0"/>
    <xf numFmtId="196" fontId="138" fillId="0" borderId="0" applyProtection="0">
      <alignment vertical="center"/>
    </xf>
    <xf numFmtId="177" fontId="38" fillId="0" borderId="0" applyFont="0" applyFill="0" applyBorder="0" applyAlignment="0" applyProtection="0">
      <alignment vertical="center"/>
    </xf>
    <xf numFmtId="245" fontId="280" fillId="0" borderId="0" applyFont="0" applyFill="0" applyBorder="0" applyAlignment="0" applyProtection="0"/>
    <xf numFmtId="0" fontId="341" fillId="0" borderId="0"/>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7" fillId="107"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8" fillId="24"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107"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7" fillId="4"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8" fillId="28"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4"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7" fillId="108"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8" fillId="32"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108"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7" fillId="77"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8" fillId="36"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7"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7" fillId="76"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8" fillId="40"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76"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7" fillId="109"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8" fillId="44"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267" fillId="109"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3" fillId="19" borderId="0" applyNumberFormat="0" applyBorder="0" applyAlignment="0" applyProtection="0">
      <alignment vertical="center"/>
    </xf>
    <xf numFmtId="0" fontId="342" fillId="19"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42" fillId="19"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0" fillId="97" borderId="0" applyNumberFormat="0" applyBorder="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06" fillId="85" borderId="184"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44" fillId="21" borderId="160"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06" fillId="85" borderId="184"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5" fillId="62" borderId="178"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6" fillId="20" borderId="159"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345" fillId="62" borderId="178" applyNumberFormat="0" applyAlignment="0" applyProtection="0">
      <alignment vertical="center"/>
    </xf>
    <xf numFmtId="0" fontId="57" fillId="0" borderId="0" applyProtection="0"/>
    <xf numFmtId="0" fontId="57" fillId="0" borderId="0"/>
    <xf numFmtId="0" fontId="57" fillId="0" borderId="0"/>
    <xf numFmtId="196" fontId="57" fillId="0" borderId="0" applyProtection="0"/>
    <xf numFmtId="0" fontId="57" fillId="0" borderId="0"/>
    <xf numFmtId="0" fontId="57" fillId="0" borderId="0"/>
    <xf numFmtId="0" fontId="264" fillId="0" borderId="0">
      <protection locked="0"/>
    </xf>
    <xf numFmtId="0" fontId="263" fillId="0" borderId="0"/>
    <xf numFmtId="0" fontId="264" fillId="0" borderId="0"/>
    <xf numFmtId="0" fontId="263" fillId="0" borderId="0"/>
    <xf numFmtId="0" fontId="264" fillId="0" borderId="0"/>
    <xf numFmtId="0" fontId="264" fillId="0" borderId="0"/>
    <xf numFmtId="0" fontId="264" fillId="0" borderId="0"/>
    <xf numFmtId="0" fontId="264" fillId="0" borderId="0"/>
    <xf numFmtId="0" fontId="276" fillId="0" borderId="0"/>
    <xf numFmtId="179" fontId="57" fillId="0" borderId="0" applyFont="0" applyFill="0" applyBorder="0" applyAlignment="0" applyProtection="0"/>
    <xf numFmtId="177" fontId="57" fillId="0" borderId="0" applyFont="0" applyFill="0" applyBorder="0" applyAlignment="0" applyProtection="0"/>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38" fillId="87" borderId="186"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87" borderId="186"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23" borderId="163"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138" fillId="87" borderId="186" applyNumberFormat="0" applyFont="0" applyAlignment="0" applyProtection="0">
      <alignment vertical="center"/>
    </xf>
    <xf numFmtId="0" fontId="38" fillId="87" borderId="186" applyNumberFormat="0" applyFont="0" applyAlignment="0" applyProtection="0">
      <alignment vertical="center"/>
    </xf>
    <xf numFmtId="0" fontId="267" fillId="107" borderId="0" applyNumberFormat="0" applyBorder="0" applyAlignment="0" applyProtection="0">
      <alignment vertical="center"/>
    </xf>
    <xf numFmtId="0" fontId="267" fillId="4" borderId="0" applyNumberFormat="0" applyBorder="0" applyAlignment="0" applyProtection="0">
      <alignment vertical="center"/>
    </xf>
    <xf numFmtId="0" fontId="267" fillId="108" borderId="0" applyNumberFormat="0" applyBorder="0" applyAlignment="0" applyProtection="0">
      <alignment vertical="center"/>
    </xf>
    <xf numFmtId="0" fontId="267" fillId="77" borderId="0" applyNumberFormat="0" applyBorder="0" applyAlignment="0" applyProtection="0">
      <alignment vertical="center"/>
    </xf>
    <xf numFmtId="0" fontId="267" fillId="76" borderId="0" applyNumberFormat="0" applyBorder="0" applyAlignment="0" applyProtection="0">
      <alignment vertical="center"/>
    </xf>
    <xf numFmtId="0" fontId="267" fillId="109" borderId="0" applyNumberFormat="0" applyBorder="0" applyAlignment="0" applyProtection="0">
      <alignment vertical="center"/>
    </xf>
  </cellStyleXfs>
  <cellXfs count="34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3" fontId="51" fillId="0" borderId="1" xfId="0" applyNumberFormat="1" applyFont="1" applyBorder="1" applyAlignment="1" applyProtection="1">
      <alignment horizontal="center" vertical="center" wrapText="1"/>
      <protection locked="0"/>
    </xf>
    <xf numFmtId="183"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80"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80" fontId="51" fillId="6" borderId="9" xfId="0" applyNumberFormat="1" applyFont="1" applyFill="1" applyBorder="1" applyAlignment="1" applyProtection="1">
      <alignment horizontal="center" vertical="center" wrapText="1"/>
    </xf>
    <xf numFmtId="180" fontId="51" fillId="6" borderId="10" xfId="0" applyNumberFormat="1" applyFont="1" applyFill="1" applyBorder="1" applyAlignment="1" applyProtection="1">
      <alignment horizontal="center" vertical="center" wrapText="1"/>
    </xf>
    <xf numFmtId="180" fontId="51" fillId="6" borderId="13" xfId="0" applyNumberFormat="1" applyFont="1" applyFill="1" applyBorder="1" applyAlignment="1" applyProtection="1">
      <alignment horizontal="center" vertical="center" wrapText="1"/>
    </xf>
    <xf numFmtId="180" fontId="51" fillId="6" borderId="23" xfId="0" applyNumberFormat="1" applyFont="1" applyFill="1" applyBorder="1" applyAlignment="1" applyProtection="1">
      <alignment horizontal="center" vertical="center" wrapText="1"/>
    </xf>
    <xf numFmtId="180"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80" fontId="51" fillId="0" borderId="2" xfId="0" applyNumberFormat="1" applyFont="1" applyFill="1" applyBorder="1" applyAlignment="1" applyProtection="1">
      <alignment horizontal="center" vertical="center" wrapText="1"/>
      <protection locked="0"/>
    </xf>
    <xf numFmtId="180"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80" fontId="48" fillId="6" borderId="1" xfId="0" applyNumberFormat="1" applyFont="1" applyFill="1" applyBorder="1" applyAlignment="1" applyProtection="1">
      <alignment horizontal="center" vertical="center" wrapText="1"/>
    </xf>
    <xf numFmtId="180" fontId="48" fillId="0" borderId="2" xfId="0" applyNumberFormat="1" applyFont="1" applyFill="1" applyBorder="1" applyAlignment="1" applyProtection="1">
      <alignment horizontal="center" vertical="center" wrapText="1"/>
      <protection locked="0"/>
    </xf>
    <xf numFmtId="180" fontId="48" fillId="6" borderId="2" xfId="0" applyNumberFormat="1" applyFont="1" applyFill="1" applyBorder="1" applyAlignment="1" applyProtection="1">
      <alignment horizontal="center" vertical="center" wrapText="1"/>
    </xf>
    <xf numFmtId="180" fontId="48" fillId="6" borderId="13" xfId="0" applyNumberFormat="1" applyFont="1" applyFill="1" applyBorder="1" applyAlignment="1" applyProtection="1">
      <alignment horizontal="center" vertical="center" wrapText="1"/>
    </xf>
    <xf numFmtId="180" fontId="48" fillId="0" borderId="1" xfId="0" applyNumberFormat="1" applyFont="1" applyBorder="1" applyAlignment="1" applyProtection="1">
      <alignment vertical="center" wrapText="1"/>
      <protection locked="0"/>
    </xf>
    <xf numFmtId="180" fontId="48" fillId="0" borderId="1" xfId="0" applyNumberFormat="1" applyFont="1" applyBorder="1" applyAlignment="1" applyProtection="1">
      <alignment horizontal="center" vertical="center" wrapText="1"/>
      <protection locked="0"/>
    </xf>
    <xf numFmtId="180"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80" fontId="48" fillId="6" borderId="24" xfId="0" applyNumberFormat="1" applyFont="1" applyFill="1" applyBorder="1" applyAlignment="1" applyProtection="1">
      <alignment horizontal="center" vertical="center" wrapText="1"/>
    </xf>
    <xf numFmtId="180"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80"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0" fontId="48" fillId="6" borderId="1" xfId="0" applyFont="1" applyFill="1" applyBorder="1" applyAlignment="1" applyProtection="1">
      <alignment horizontal="center" vertical="center"/>
    </xf>
    <xf numFmtId="180"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81"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81"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185" fontId="51" fillId="0" borderId="49" xfId="0" applyNumberFormat="1" applyFont="1" applyFill="1" applyBorder="1" applyAlignment="1" applyProtection="1">
      <alignment horizontal="center" vertical="center"/>
      <protection locked="0"/>
    </xf>
    <xf numFmtId="185" fontId="51" fillId="0" borderId="8" xfId="0" applyNumberFormat="1" applyFont="1" applyFill="1" applyBorder="1" applyAlignment="1" applyProtection="1">
      <alignment horizontal="center"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3"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81"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81"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81"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81"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81"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5"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5"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5"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81"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81"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81" fontId="57" fillId="0" borderId="1" xfId="1" applyNumberFormat="1" applyFont="1" applyFill="1" applyBorder="1" applyAlignment="1" applyProtection="1">
      <alignment horizontal="center"/>
      <protection locked="0"/>
    </xf>
    <xf numFmtId="183"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81"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81"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81"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3"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3"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81"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81"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81" fontId="58" fillId="6" borderId="1" xfId="0" applyNumberFormat="1" applyFont="1" applyFill="1" applyBorder="1" applyAlignment="1" applyProtection="1">
      <alignment horizontal="center" vertical="center"/>
    </xf>
    <xf numFmtId="185"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9"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81"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5" fontId="57" fillId="6" borderId="1" xfId="0" applyNumberFormat="1" applyFont="1" applyFill="1" applyBorder="1" applyAlignment="1" applyProtection="1">
      <alignment horizontal="center"/>
    </xf>
    <xf numFmtId="185"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80" fontId="106" fillId="6" borderId="1" xfId="0" applyNumberFormat="1" applyFont="1" applyFill="1" applyBorder="1" applyAlignment="1" applyProtection="1">
      <alignment horizontal="center" vertical="center"/>
    </xf>
    <xf numFmtId="180" fontId="106" fillId="6" borderId="24" xfId="0" applyNumberFormat="1" applyFont="1" applyFill="1" applyBorder="1" applyAlignment="1" applyProtection="1">
      <alignment horizontal="center" vertical="center"/>
    </xf>
    <xf numFmtId="181"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81" fontId="50" fillId="6" borderId="1" xfId="1" applyNumberFormat="1" applyFont="1" applyFill="1" applyBorder="1" applyAlignment="1" applyProtection="1">
      <alignment vertical="center"/>
    </xf>
    <xf numFmtId="181"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xf>
    <xf numFmtId="181"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81"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5"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5"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5"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3"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5" fontId="51" fillId="6" borderId="8" xfId="0" applyNumberFormat="1" applyFont="1" applyFill="1" applyBorder="1" applyAlignment="1" applyProtection="1">
      <alignment horizontal="center" vertical="center"/>
    </xf>
    <xf numFmtId="185" fontId="51" fillId="6" borderId="24" xfId="0" applyNumberFormat="1" applyFont="1" applyFill="1" applyBorder="1" applyAlignment="1" applyProtection="1">
      <alignment horizontal="center" vertical="center"/>
    </xf>
    <xf numFmtId="185"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7"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3"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3"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90"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5"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8"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8"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90"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90"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90" fontId="54" fillId="6" borderId="47" xfId="0" applyNumberFormat="1" applyFont="1" applyFill="1" applyBorder="1" applyAlignment="1" applyProtection="1">
      <alignment vertical="center" wrapText="1"/>
    </xf>
    <xf numFmtId="193"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5" fontId="55" fillId="6" borderId="5" xfId="0" applyNumberFormat="1" applyFont="1" applyFill="1" applyBorder="1" applyAlignment="1" applyProtection="1">
      <alignment horizontal="center" vertical="center"/>
    </xf>
    <xf numFmtId="185"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90" fontId="61" fillId="6" borderId="13" xfId="0" applyNumberFormat="1" applyFont="1" applyFill="1" applyBorder="1" applyAlignment="1" applyProtection="1">
      <alignment horizontal="right" vertical="center"/>
    </xf>
    <xf numFmtId="193"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3" fontId="55" fillId="3" borderId="3" xfId="0" applyNumberFormat="1" applyFont="1" applyFill="1" applyBorder="1" applyAlignment="1" applyProtection="1">
      <alignment horizontal="center" vertical="center"/>
      <protection locked="0"/>
    </xf>
    <xf numFmtId="193" fontId="55" fillId="3" borderId="3" xfId="0" applyNumberFormat="1" applyFont="1" applyFill="1" applyBorder="1" applyAlignment="1" applyProtection="1">
      <alignment horizontal="center" vertical="center" wrapText="1"/>
      <protection locked="0"/>
    </xf>
    <xf numFmtId="193"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81"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80"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90"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81"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3"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81"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5"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3" fontId="50" fillId="6" borderId="66" xfId="0" applyNumberFormat="1" applyFont="1" applyFill="1" applyBorder="1" applyAlignment="1" applyProtection="1">
      <alignment vertical="center"/>
    </xf>
    <xf numFmtId="183" fontId="50" fillId="6" borderId="32" xfId="0" applyNumberFormat="1" applyFont="1" applyFill="1" applyBorder="1" applyAlignment="1" applyProtection="1">
      <alignment vertical="center"/>
    </xf>
    <xf numFmtId="183"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3"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3" fontId="66" fillId="6" borderId="36" xfId="0" applyNumberFormat="1" applyFont="1" applyFill="1" applyBorder="1" applyAlignment="1" applyProtection="1">
      <alignment horizontal="center" vertical="center"/>
    </xf>
    <xf numFmtId="185"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80"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3" fontId="55" fillId="6" borderId="0" xfId="0" applyNumberFormat="1" applyFont="1" applyFill="1" applyBorder="1" applyAlignment="1" applyProtection="1">
      <alignment horizontal="center"/>
    </xf>
    <xf numFmtId="185"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92"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92"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92"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3" fontId="55" fillId="6" borderId="3" xfId="0" applyNumberFormat="1" applyFont="1" applyFill="1" applyBorder="1" applyAlignment="1" applyProtection="1">
      <alignment horizontal="center" vertical="center"/>
    </xf>
    <xf numFmtId="193" fontId="55" fillId="6" borderId="3" xfId="0" applyNumberFormat="1" applyFont="1" applyFill="1" applyBorder="1" applyAlignment="1" applyProtection="1">
      <alignment horizontal="center" vertical="center" wrapText="1"/>
    </xf>
    <xf numFmtId="193"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5" fontId="112" fillId="6" borderId="65" xfId="0" applyNumberFormat="1" applyFont="1" applyFill="1" applyBorder="1" applyAlignment="1" applyProtection="1">
      <alignment horizontal="center" vertical="center"/>
    </xf>
    <xf numFmtId="183"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5" fontId="106" fillId="0" borderId="1" xfId="0" applyNumberFormat="1" applyFont="1" applyFill="1" applyBorder="1" applyAlignment="1" applyProtection="1">
      <alignment horizontal="center" vertical="center"/>
      <protection locked="0"/>
    </xf>
    <xf numFmtId="181"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5" fontId="51" fillId="0" borderId="1" xfId="0" applyNumberFormat="1" applyFont="1" applyBorder="1" applyAlignment="1" applyProtection="1">
      <alignment vertical="center"/>
      <protection locked="0"/>
    </xf>
    <xf numFmtId="185"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7" fontId="51" fillId="0" borderId="1" xfId="0" applyNumberFormat="1" applyFont="1" applyBorder="1" applyAlignment="1" applyProtection="1">
      <alignment horizontal="center" vertical="center"/>
      <protection locked="0"/>
    </xf>
    <xf numFmtId="185"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2" fontId="0" fillId="6" borderId="9" xfId="0" applyNumberFormat="1" applyFill="1" applyBorder="1" applyAlignment="1" applyProtection="1">
      <alignment horizontal="center" vertical="center"/>
    </xf>
    <xf numFmtId="182" fontId="0" fillId="6" borderId="28" xfId="0" applyNumberFormat="1" applyFill="1" applyBorder="1" applyAlignment="1" applyProtection="1">
      <alignment horizontal="center" vertical="center"/>
    </xf>
    <xf numFmtId="182"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2" fontId="0" fillId="6" borderId="1" xfId="0" applyNumberFormat="1" applyFill="1" applyBorder="1" applyAlignment="1" applyProtection="1">
      <alignment horizontal="center" vertical="center"/>
    </xf>
    <xf numFmtId="182" fontId="0" fillId="6" borderId="5" xfId="0" applyNumberFormat="1" applyFill="1" applyBorder="1" applyAlignment="1" applyProtection="1">
      <alignment horizontal="center" vertical="center"/>
    </xf>
    <xf numFmtId="182"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2" fontId="0" fillId="6" borderId="33" xfId="0" applyNumberFormat="1" applyFill="1" applyBorder="1" applyAlignment="1" applyProtection="1">
      <alignment horizontal="center" vertical="center"/>
    </xf>
    <xf numFmtId="182" fontId="0" fillId="6" borderId="32" xfId="0" applyNumberFormat="1" applyFill="1" applyBorder="1" applyAlignment="1" applyProtection="1">
      <alignment horizontal="center" vertical="center"/>
    </xf>
    <xf numFmtId="182"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3"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3"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3" fontId="83" fillId="6" borderId="1" xfId="3" applyNumberFormat="1" applyFont="1" applyFill="1" applyBorder="1" applyAlignment="1" applyProtection="1">
      <alignment horizontal="center" vertical="center" wrapText="1"/>
    </xf>
    <xf numFmtId="183" fontId="0" fillId="0" borderId="0" xfId="0" applyNumberFormat="1" applyProtection="1">
      <alignment vertical="center"/>
    </xf>
    <xf numFmtId="183"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91"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5"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81"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90" fontId="51" fillId="0" borderId="1" xfId="0" applyNumberFormat="1" applyFont="1" applyFill="1" applyBorder="1" applyAlignment="1" applyProtection="1">
      <alignment horizontal="center" vertical="center"/>
      <protection locked="0"/>
    </xf>
    <xf numFmtId="190"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9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3" fontId="51" fillId="6" borderId="1" xfId="1" applyNumberFormat="1" applyFont="1" applyFill="1" applyBorder="1" applyAlignment="1" applyProtection="1">
      <alignment horizontal="center" vertical="center"/>
    </xf>
    <xf numFmtId="185"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81"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81"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90" fontId="51" fillId="3" borderId="0" xfId="0" applyNumberFormat="1" applyFont="1" applyFill="1" applyAlignment="1" applyProtection="1">
      <alignment horizontal="center" vertical="center"/>
      <protection locked="0"/>
    </xf>
    <xf numFmtId="190" fontId="50" fillId="6" borderId="28" xfId="0" applyNumberFormat="1" applyFont="1" applyFill="1" applyBorder="1" applyAlignment="1" applyProtection="1">
      <alignment horizontal="center" vertical="center"/>
    </xf>
    <xf numFmtId="190" fontId="106" fillId="0" borderId="13" xfId="0" applyNumberFormat="1" applyFont="1" applyFill="1" applyBorder="1" applyAlignment="1" applyProtection="1">
      <alignment horizontal="center" vertical="center"/>
      <protection locked="0"/>
    </xf>
    <xf numFmtId="190" fontId="51" fillId="0" borderId="13" xfId="0" applyNumberFormat="1" applyFont="1" applyFill="1" applyBorder="1" applyAlignment="1" applyProtection="1">
      <alignment horizontal="center" vertical="center"/>
      <protection locked="0"/>
    </xf>
    <xf numFmtId="190"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90"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81"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81"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81" fontId="50" fillId="6" borderId="33" xfId="0" applyNumberFormat="1" applyFont="1" applyFill="1" applyBorder="1" applyAlignment="1" applyProtection="1">
      <alignment vertical="center"/>
    </xf>
    <xf numFmtId="181" fontId="50" fillId="6" borderId="52" xfId="0" applyNumberFormat="1" applyFont="1" applyFill="1" applyBorder="1" applyAlignment="1" applyProtection="1">
      <alignment vertical="center"/>
    </xf>
    <xf numFmtId="181"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8"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8"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8" fontId="51" fillId="0" borderId="1" xfId="0" applyNumberFormat="1" applyFont="1" applyFill="1" applyBorder="1" applyAlignment="1" applyProtection="1">
      <alignment horizontal="center" vertical="center" shrinkToFit="1"/>
      <protection locked="0"/>
    </xf>
    <xf numFmtId="188" fontId="51" fillId="6" borderId="1" xfId="0" applyNumberFormat="1" applyFont="1" applyFill="1" applyBorder="1" applyAlignment="1" applyProtection="1">
      <alignment horizontal="center" vertical="center"/>
    </xf>
    <xf numFmtId="183" fontId="65" fillId="6" borderId="1" xfId="0" applyNumberFormat="1" applyFont="1" applyFill="1" applyBorder="1" applyAlignment="1" applyProtection="1">
      <alignment horizontal="center" vertical="center" wrapText="1"/>
    </xf>
    <xf numFmtId="181" fontId="65" fillId="5" borderId="1" xfId="1" applyNumberFormat="1" applyFont="1" applyFill="1" applyBorder="1" applyAlignment="1" applyProtection="1">
      <alignment horizontal="center" vertical="center"/>
      <protection locked="0"/>
    </xf>
    <xf numFmtId="181"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5" fontId="48" fillId="6" borderId="8" xfId="0" applyNumberFormat="1" applyFont="1" applyFill="1" applyBorder="1" applyProtection="1">
      <alignment vertical="center"/>
    </xf>
    <xf numFmtId="185"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8"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91"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82" fontId="62" fillId="6" borderId="24" xfId="0" applyNumberFormat="1" applyFont="1" applyFill="1" applyBorder="1" applyAlignment="1" applyProtection="1">
      <alignment horizontal="center" vertical="center"/>
    </xf>
    <xf numFmtId="182"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82" fontId="62" fillId="6" borderId="49"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3" fontId="55" fillId="6" borderId="0" xfId="0" applyNumberFormat="1" applyFont="1" applyFill="1" applyAlignment="1" applyProtection="1">
      <alignment horizontal="center" vertical="center"/>
      <protection locked="0"/>
    </xf>
    <xf numFmtId="185"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3" fontId="66" fillId="6" borderId="0" xfId="0" applyNumberFormat="1" applyFont="1" applyFill="1" applyBorder="1" applyAlignment="1" applyProtection="1">
      <alignment horizontal="center" vertical="center"/>
      <protection locked="0"/>
    </xf>
    <xf numFmtId="185"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5"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5"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5"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5"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5"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5"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3" fontId="72" fillId="6" borderId="0" xfId="0" applyNumberFormat="1" applyFont="1" applyFill="1" applyAlignment="1" applyProtection="1">
      <alignment horizontal="center" vertical="center"/>
      <protection locked="0"/>
    </xf>
    <xf numFmtId="185" fontId="72" fillId="6" borderId="0" xfId="0" applyNumberFormat="1" applyFont="1" applyFill="1" applyAlignment="1" applyProtection="1">
      <alignment horizontal="center" vertical="center"/>
      <protection locked="0"/>
    </xf>
    <xf numFmtId="180"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3"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3" fontId="55" fillId="6" borderId="0" xfId="0" applyNumberFormat="1" applyFont="1" applyFill="1" applyBorder="1" applyAlignment="1" applyProtection="1">
      <alignment horizontal="center"/>
      <protection locked="0"/>
    </xf>
    <xf numFmtId="185"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8"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80"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3" fontId="51" fillId="6" borderId="23" xfId="1" applyNumberFormat="1" applyFont="1" applyFill="1" applyBorder="1" applyAlignment="1" applyProtection="1">
      <alignment horizontal="center" vertical="center"/>
    </xf>
    <xf numFmtId="0" fontId="48" fillId="6" borderId="3" xfId="0" applyFont="1" applyFill="1" applyBorder="1" applyAlignment="1" applyProtection="1">
      <alignment vertical="center"/>
    </xf>
    <xf numFmtId="0" fontId="48" fillId="6" borderId="23" xfId="0"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80" fontId="51" fillId="0" borderId="1" xfId="0" applyNumberFormat="1" applyFont="1" applyFill="1" applyBorder="1" applyAlignment="1" applyProtection="1">
      <alignment horizontal="center" vertical="center" wrapText="1"/>
      <protection locked="0"/>
    </xf>
    <xf numFmtId="183" fontId="48" fillId="6" borderId="2" xfId="0" applyNumberFormat="1" applyFont="1" applyFill="1" applyBorder="1" applyProtection="1">
      <alignment vertical="center"/>
    </xf>
    <xf numFmtId="185"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3"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81"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81"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81"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81"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5"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5"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5"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5"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82" fontId="58" fillId="6" borderId="1" xfId="0" applyNumberFormat="1" applyFont="1" applyFill="1" applyBorder="1" applyAlignment="1" applyProtection="1">
      <alignment horizontal="center" vertical="center"/>
    </xf>
    <xf numFmtId="182" fontId="57" fillId="6" borderId="1" xfId="0" applyNumberFormat="1" applyFont="1" applyFill="1" applyBorder="1" applyAlignment="1" applyProtection="1">
      <alignment horizontal="center" vertical="center"/>
    </xf>
    <xf numFmtId="181" fontId="50" fillId="6" borderId="0" xfId="0" applyNumberFormat="1" applyFont="1" applyFill="1" applyBorder="1" applyAlignment="1" applyProtection="1">
      <alignment horizontal="center" vertical="center"/>
    </xf>
    <xf numFmtId="191" fontId="51" fillId="6" borderId="3" xfId="0" applyNumberFormat="1" applyFont="1" applyFill="1" applyBorder="1" applyAlignment="1" applyProtection="1">
      <alignment horizontal="center" vertical="center"/>
    </xf>
    <xf numFmtId="181"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5"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80" fontId="50" fillId="6" borderId="1" xfId="0" applyNumberFormat="1"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180" fontId="50" fillId="6" borderId="24" xfId="0" applyNumberFormat="1" applyFont="1" applyFill="1" applyBorder="1" applyAlignment="1" applyProtection="1">
      <alignment vertical="center"/>
    </xf>
    <xf numFmtId="180" fontId="50" fillId="6" borderId="25" xfId="0" applyNumberFormat="1" applyFont="1" applyFill="1" applyBorder="1" applyAlignment="1" applyProtection="1">
      <alignment vertical="center"/>
    </xf>
    <xf numFmtId="180"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5" fontId="48" fillId="6" borderId="49" xfId="0" applyNumberFormat="1" applyFont="1" applyFill="1" applyBorder="1" applyProtection="1">
      <alignment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90" fontId="109" fillId="12" borderId="124" xfId="9" applyNumberFormat="1" applyFont="1" applyFill="1" applyBorder="1" applyAlignment="1">
      <alignment horizontal="center" vertical="center" wrapText="1"/>
    </xf>
    <xf numFmtId="190"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81" fontId="106" fillId="0" borderId="0" xfId="9" applyNumberFormat="1" applyFont="1">
      <alignment vertical="center"/>
    </xf>
    <xf numFmtId="185" fontId="106" fillId="0" borderId="122" xfId="9" applyNumberFormat="1" applyFont="1" applyBorder="1">
      <alignment vertical="center"/>
    </xf>
    <xf numFmtId="185" fontId="106" fillId="0" borderId="0" xfId="9" applyNumberFormat="1" applyFont="1">
      <alignment vertical="center"/>
    </xf>
    <xf numFmtId="190"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90" fontId="109" fillId="12" borderId="127" xfId="9" applyNumberFormat="1" applyFont="1" applyFill="1" applyBorder="1" applyAlignment="1">
      <alignment horizontal="center" vertical="center" wrapText="1"/>
    </xf>
    <xf numFmtId="190"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90"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81"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90" fontId="109" fillId="12" borderId="133" xfId="9" applyNumberFormat="1" applyFont="1" applyFill="1" applyBorder="1" applyAlignment="1">
      <alignment horizontal="center" vertical="center" wrapText="1"/>
    </xf>
    <xf numFmtId="190" fontId="109" fillId="12" borderId="137" xfId="9" applyNumberFormat="1" applyFont="1" applyFill="1" applyBorder="1" applyAlignment="1">
      <alignment horizontal="center" vertical="center" wrapText="1"/>
    </xf>
    <xf numFmtId="190" fontId="106" fillId="14" borderId="0" xfId="9" applyNumberFormat="1" applyFont="1" applyFill="1" applyAlignment="1">
      <alignment horizontal="center" vertical="center"/>
    </xf>
    <xf numFmtId="190"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81"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82"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82"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4" fontId="106" fillId="0" borderId="0" xfId="9" applyNumberFormat="1" applyFont="1" applyAlignment="1">
      <alignment horizontal="center" vertical="center"/>
    </xf>
    <xf numFmtId="184" fontId="106" fillId="0" borderId="122" xfId="9" applyNumberFormat="1" applyFont="1" applyBorder="1" applyAlignment="1">
      <alignment horizontal="center" vertical="center"/>
    </xf>
    <xf numFmtId="181"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81"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4" fontId="106" fillId="5" borderId="0" xfId="9" applyNumberFormat="1" applyFont="1" applyFill="1" applyAlignment="1">
      <alignment horizontal="center" vertical="center"/>
    </xf>
    <xf numFmtId="0" fontId="106" fillId="5" borderId="122" xfId="9" applyFont="1" applyFill="1" applyBorder="1">
      <alignment vertical="center"/>
    </xf>
    <xf numFmtId="182"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4" fontId="121" fillId="0" borderId="0" xfId="9" applyNumberFormat="1" applyFont="1" applyAlignment="1">
      <alignment horizontal="center" vertical="center"/>
    </xf>
    <xf numFmtId="184"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4" fontId="48" fillId="6" borderId="30" xfId="0" applyNumberFormat="1" applyFont="1" applyFill="1" applyBorder="1" applyAlignment="1" applyProtection="1">
      <alignment horizontal="center" vertical="center" wrapText="1"/>
    </xf>
    <xf numFmtId="194" fontId="48" fillId="6" borderId="9" xfId="0" applyNumberFormat="1" applyFont="1" applyFill="1" applyBorder="1" applyAlignment="1" applyProtection="1">
      <alignment horizontal="center" vertical="center" wrapText="1"/>
    </xf>
    <xf numFmtId="194"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8"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3"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90" fontId="106" fillId="6" borderId="1" xfId="8" applyNumberFormat="1" applyFont="1" applyFill="1" applyBorder="1" applyAlignment="1" applyProtection="1">
      <alignment horizontal="center" vertical="center"/>
    </xf>
    <xf numFmtId="181" fontId="121" fillId="6" borderId="1" xfId="8" applyNumberFormat="1" applyFont="1" applyFill="1" applyBorder="1" applyAlignment="1" applyProtection="1">
      <alignment horizontal="center" vertical="center"/>
    </xf>
    <xf numFmtId="191"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3" fontId="66" fillId="6" borderId="88" xfId="0" applyNumberFormat="1" applyFont="1" applyFill="1" applyBorder="1" applyAlignment="1" applyProtection="1">
      <alignment horizontal="center" vertical="center"/>
      <protection locked="0"/>
    </xf>
    <xf numFmtId="185"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3" fontId="66" fillId="6" borderId="88" xfId="0" applyNumberFormat="1" applyFont="1" applyFill="1" applyBorder="1" applyAlignment="1" applyProtection="1">
      <alignment horizontal="center" vertical="center"/>
    </xf>
    <xf numFmtId="185"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200"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3"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81"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5"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181"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90"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81"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81"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9"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5"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5"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9"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8"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80"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8" fontId="65" fillId="0" borderId="1" xfId="0" applyNumberFormat="1" applyFont="1" applyFill="1" applyBorder="1" applyAlignment="1" applyProtection="1">
      <alignment horizontal="center" vertical="center" shrinkToFit="1"/>
      <protection locked="0"/>
    </xf>
    <xf numFmtId="181"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3"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3"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8"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8"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7"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3" fontId="51" fillId="6" borderId="0" xfId="0" applyNumberFormat="1" applyFont="1" applyFill="1" applyBorder="1" applyAlignment="1" applyProtection="1">
      <alignment horizontal="center" vertical="center" wrapText="1"/>
    </xf>
    <xf numFmtId="183" fontId="52" fillId="6" borderId="0" xfId="0" applyNumberFormat="1" applyFont="1" applyFill="1" applyBorder="1" applyAlignment="1" applyProtection="1">
      <alignment horizontal="center" vertical="center" wrapText="1"/>
    </xf>
    <xf numFmtId="180"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80" fontId="51" fillId="6" borderId="54" xfId="0" applyNumberFormat="1" applyFont="1" applyFill="1" applyBorder="1" applyAlignment="1" applyProtection="1">
      <alignment horizontal="center" vertical="center" wrapText="1"/>
    </xf>
    <xf numFmtId="180" fontId="51" fillId="6" borderId="3" xfId="0" applyNumberFormat="1" applyFont="1" applyFill="1" applyBorder="1" applyAlignment="1" applyProtection="1">
      <alignment horizontal="center" vertical="center" wrapText="1"/>
    </xf>
    <xf numFmtId="180" fontId="51" fillId="6" borderId="5" xfId="0" applyNumberFormat="1" applyFont="1" applyFill="1" applyBorder="1" applyAlignment="1" applyProtection="1">
      <alignment horizontal="center" vertical="center" wrapText="1"/>
    </xf>
    <xf numFmtId="180"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3"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3" fontId="51" fillId="6" borderId="54" xfId="0" applyNumberFormat="1" applyFont="1" applyFill="1" applyBorder="1" applyAlignment="1" applyProtection="1">
      <alignment horizontal="center" vertical="center"/>
    </xf>
    <xf numFmtId="183"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3"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3"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3"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3"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3" fontId="51" fillId="6" borderId="7" xfId="0" applyNumberFormat="1" applyFont="1" applyFill="1" applyBorder="1" applyAlignment="1" applyProtection="1">
      <alignment horizontal="center" vertical="center" wrapText="1"/>
    </xf>
    <xf numFmtId="183" fontId="51" fillId="6" borderId="2" xfId="0" applyNumberFormat="1" applyFont="1" applyFill="1" applyBorder="1" applyAlignment="1" applyProtection="1">
      <alignment horizontal="center" vertical="center" wrapText="1"/>
    </xf>
    <xf numFmtId="183"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3"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80" fontId="51" fillId="0" borderId="1" xfId="0" applyNumberFormat="1" applyFont="1" applyBorder="1" applyAlignment="1" applyProtection="1">
      <alignment vertical="center" wrapText="1"/>
      <protection locked="0"/>
    </xf>
    <xf numFmtId="180" fontId="51" fillId="0" borderId="1" xfId="0" applyNumberFormat="1" applyFont="1" applyBorder="1" applyAlignment="1" applyProtection="1">
      <alignment horizontal="center" vertical="center" wrapText="1"/>
      <protection locked="0"/>
    </xf>
    <xf numFmtId="180"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0"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80"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80"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80"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80" fontId="54" fillId="6" borderId="29" xfId="1" applyNumberFormat="1" applyFont="1" applyFill="1" applyBorder="1" applyAlignment="1" applyProtection="1">
      <alignment horizontal="center" vertical="center"/>
    </xf>
    <xf numFmtId="180" fontId="54" fillId="6" borderId="20" xfId="1" applyNumberFormat="1" applyFont="1" applyFill="1" applyBorder="1" applyAlignment="1" applyProtection="1">
      <alignment horizontal="center" vertical="center"/>
    </xf>
    <xf numFmtId="180"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3"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3"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80" fontId="48" fillId="0" borderId="0" xfId="0" applyNumberFormat="1" applyFont="1" applyProtection="1">
      <alignment vertical="center"/>
      <protection locked="0"/>
    </xf>
    <xf numFmtId="183"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horizontal="center" vertical="center"/>
    </xf>
    <xf numFmtId="181" fontId="51" fillId="6" borderId="23" xfId="1" applyNumberFormat="1" applyFont="1" applyFill="1" applyBorder="1" applyAlignment="1" applyProtection="1">
      <alignment horizontal="left" vertical="center"/>
    </xf>
    <xf numFmtId="0" fontId="56" fillId="6" borderId="0" xfId="0" applyFont="1" applyFill="1" applyAlignment="1" applyProtection="1">
      <alignment vertical="center" wrapText="1"/>
    </xf>
    <xf numFmtId="0" fontId="51" fillId="0" borderId="0" xfId="0" applyFont="1" applyFill="1" applyAlignment="1" applyProtection="1">
      <alignment vertical="center"/>
    </xf>
    <xf numFmtId="0" fontId="51" fillId="7" borderId="0" xfId="0" applyFont="1" applyFill="1" applyAlignment="1" applyProtection="1">
      <alignment vertical="center" wrapText="1"/>
      <protection locked="0"/>
    </xf>
    <xf numFmtId="183"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3"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3" fontId="51" fillId="0" borderId="0" xfId="0" applyNumberFormat="1" applyFont="1" applyAlignment="1" applyProtection="1">
      <alignment vertical="center"/>
    </xf>
    <xf numFmtId="0" fontId="127" fillId="0" borderId="5" xfId="5" applyFont="1" applyBorder="1" applyAlignment="1">
      <alignment horizontal="right" vertical="center"/>
    </xf>
    <xf numFmtId="196"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8"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81"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90"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3" fontId="61" fillId="6" borderId="0" xfId="0" applyNumberFormat="1" applyFont="1" applyFill="1" applyBorder="1" applyAlignment="1" applyProtection="1">
      <alignment horizontal="center" vertical="center"/>
      <protection locked="0"/>
    </xf>
    <xf numFmtId="185"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3" fontId="48" fillId="6" borderId="21" xfId="0" applyNumberFormat="1" applyFont="1" applyFill="1" applyBorder="1" applyAlignment="1" applyProtection="1">
      <alignment horizontal="center" vertical="center" wrapText="1"/>
    </xf>
    <xf numFmtId="193"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93" fontId="55" fillId="6" borderId="48" xfId="0" applyNumberFormat="1" applyFont="1" applyFill="1" applyBorder="1" applyAlignment="1" applyProtection="1">
      <alignment horizontal="center" vertical="center"/>
    </xf>
    <xf numFmtId="193" fontId="55" fillId="6" borderId="48" xfId="0" applyNumberFormat="1" applyFont="1" applyFill="1" applyBorder="1" applyAlignment="1" applyProtection="1">
      <alignment horizontal="center" vertical="center" wrapText="1"/>
    </xf>
    <xf numFmtId="193"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8"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91" fontId="57" fillId="6" borderId="15" xfId="0" applyNumberFormat="1" applyFont="1" applyFill="1" applyBorder="1" applyAlignment="1" applyProtection="1">
      <alignment horizontal="center" vertical="center" wrapText="1"/>
    </xf>
    <xf numFmtId="191"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91"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91"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90" fontId="106" fillId="6" borderId="1" xfId="0" applyNumberFormat="1" applyFont="1" applyFill="1" applyBorder="1" applyAlignment="1" applyProtection="1">
      <alignment horizontal="center" vertical="center"/>
    </xf>
    <xf numFmtId="191" fontId="106" fillId="6" borderId="1" xfId="0" applyNumberFormat="1" applyFont="1" applyFill="1" applyBorder="1" applyAlignment="1" applyProtection="1">
      <alignment horizontal="center" vertical="center"/>
    </xf>
    <xf numFmtId="181" fontId="121" fillId="6" borderId="1" xfId="0" applyNumberFormat="1" applyFont="1" applyFill="1" applyBorder="1" applyAlignment="1" applyProtection="1">
      <alignment horizontal="center" vertical="center"/>
    </xf>
    <xf numFmtId="191" fontId="121" fillId="6" borderId="1" xfId="0" applyNumberFormat="1" applyFont="1" applyFill="1" applyBorder="1" applyAlignment="1" applyProtection="1">
      <alignment horizontal="center" vertical="center" wrapText="1"/>
    </xf>
    <xf numFmtId="190" fontId="106" fillId="6" borderId="2" xfId="0" applyNumberFormat="1" applyFont="1" applyFill="1" applyBorder="1" applyAlignment="1" applyProtection="1">
      <alignment horizontal="center" vertical="center" wrapText="1"/>
    </xf>
    <xf numFmtId="183"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6"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7" fillId="0" borderId="0" xfId="13"/>
    <xf numFmtId="0" fontId="57" fillId="5" borderId="0" xfId="13" applyFill="1"/>
    <xf numFmtId="0" fontId="0" fillId="0" borderId="0" xfId="0" applyAlignment="1">
      <alignment horizontal="center" vertical="center"/>
    </xf>
    <xf numFmtId="0" fontId="100" fillId="0" borderId="0" xfId="0" applyFont="1" applyAlignment="1">
      <alignment horizontal="left" vertical="center" wrapText="1"/>
    </xf>
    <xf numFmtId="0" fontId="100" fillId="49" borderId="0" xfId="0" applyFont="1" applyFill="1" applyAlignment="1">
      <alignment horizontal="left" vertical="center" wrapText="1"/>
    </xf>
    <xf numFmtId="0" fontId="258" fillId="13" borderId="0" xfId="0" applyFont="1" applyFill="1" applyAlignment="1">
      <alignment horizontal="left" vertical="center" wrapText="1"/>
    </xf>
    <xf numFmtId="0" fontId="258" fillId="49" borderId="0" xfId="0" applyFont="1" applyFill="1" applyAlignment="1">
      <alignment horizontal="left" vertical="center" wrapText="1"/>
    </xf>
    <xf numFmtId="0" fontId="258" fillId="0" borderId="0" xfId="0" applyFont="1" applyAlignment="1">
      <alignment horizontal="left" vertical="center" wrapText="1"/>
    </xf>
    <xf numFmtId="0" fontId="257" fillId="48" borderId="165" xfId="0" applyFont="1" applyFill="1" applyBorder="1" applyAlignment="1">
      <alignment horizontal="left" vertical="center"/>
    </xf>
    <xf numFmtId="0" fontId="257" fillId="48" borderId="166" xfId="0" applyFont="1" applyFill="1" applyBorder="1" applyAlignment="1">
      <alignment horizontal="left" vertical="center"/>
    </xf>
    <xf numFmtId="0" fontId="100" fillId="0" borderId="167" xfId="0" applyFont="1" applyBorder="1" applyAlignment="1">
      <alignment horizontal="left" vertical="center" wrapText="1"/>
    </xf>
    <xf numFmtId="0" fontId="0" fillId="0" borderId="167" xfId="0" applyBorder="1" applyAlignment="1">
      <alignment horizontal="left" vertical="center" wrapText="1"/>
    </xf>
    <xf numFmtId="0" fontId="100" fillId="49" borderId="167" xfId="0" applyFont="1" applyFill="1" applyBorder="1" applyAlignment="1">
      <alignment horizontal="left" vertical="center" wrapText="1"/>
    </xf>
    <xf numFmtId="0" fontId="0" fillId="49" borderId="167" xfId="0" applyFill="1" applyBorder="1" applyAlignment="1">
      <alignment horizontal="left" vertical="center" wrapText="1"/>
    </xf>
    <xf numFmtId="0" fontId="258" fillId="13" borderId="167" xfId="0" applyFont="1" applyFill="1" applyBorder="1" applyAlignment="1">
      <alignment horizontal="left" vertical="center" wrapText="1"/>
    </xf>
    <xf numFmtId="0" fontId="0" fillId="0" borderId="0" xfId="0" applyAlignment="1">
      <alignment horizontal="left" vertical="center"/>
    </xf>
    <xf numFmtId="0" fontId="258" fillId="49" borderId="167" xfId="0" applyFont="1" applyFill="1" applyBorder="1" applyAlignment="1">
      <alignment horizontal="left" vertical="center" wrapText="1"/>
    </xf>
    <xf numFmtId="0" fontId="258" fillId="0" borderId="167" xfId="0" applyFont="1" applyBorder="1" applyAlignment="1">
      <alignment horizontal="left" vertical="center" wrapText="1"/>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0" fillId="0" borderId="0" xfId="13" applyFont="1" applyAlignment="1">
      <alignment horizontal="left" vertical="center"/>
    </xf>
    <xf numFmtId="0" fontId="57" fillId="0" borderId="0" xfId="13" applyAlignment="1">
      <alignment horizontal="left" vertical="center"/>
    </xf>
    <xf numFmtId="0" fontId="57" fillId="5" borderId="0" xfId="13" applyFill="1" applyAlignment="1">
      <alignment horizontal="left" vertical="center"/>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00" fillId="0" borderId="0" xfId="0" applyFont="1">
      <alignment vertical="center"/>
    </xf>
    <xf numFmtId="0" fontId="100" fillId="0" borderId="0" xfId="0" applyFont="1" applyAlignment="1">
      <alignment horizontal="left" vertical="center"/>
    </xf>
    <xf numFmtId="181" fontId="81" fillId="0" borderId="1" xfId="1" applyNumberFormat="1" applyFont="1" applyFill="1" applyBorder="1" applyAlignment="1" applyProtection="1">
      <alignment vertical="center"/>
      <protection locked="0" hidden="1"/>
    </xf>
    <xf numFmtId="0" fontId="84" fillId="0" borderId="170" xfId="0" applyFont="1" applyFill="1" applyBorder="1" applyAlignment="1" applyProtection="1">
      <alignment horizontal="center" vertical="top" wrapText="1"/>
      <protection locked="0"/>
    </xf>
    <xf numFmtId="0" fontId="81" fillId="0" borderId="169" xfId="0" applyFont="1" applyFill="1" applyBorder="1" applyAlignment="1" applyProtection="1">
      <alignment vertical="top" wrapText="1"/>
      <protection locked="0"/>
    </xf>
    <xf numFmtId="0" fontId="100" fillId="0" borderId="0" xfId="0" applyFont="1" applyAlignment="1">
      <alignment horizontal="center" vertical="center"/>
    </xf>
    <xf numFmtId="9" fontId="0" fillId="0" borderId="0" xfId="0" applyNumberFormat="1" applyAlignment="1">
      <alignment horizontal="center" vertical="center"/>
    </xf>
    <xf numFmtId="9" fontId="0" fillId="0" borderId="0" xfId="14" applyFont="1" applyAlignment="1">
      <alignment horizontal="center" vertical="center"/>
    </xf>
    <xf numFmtId="10" fontId="0" fillId="0" borderId="0" xfId="14" applyNumberFormat="1" applyFont="1">
      <alignment vertical="center"/>
    </xf>
    <xf numFmtId="181" fontId="138" fillId="0" borderId="1" xfId="1" applyNumberFormat="1" applyFont="1" applyFill="1" applyBorder="1" applyAlignment="1" applyProtection="1">
      <alignment vertical="center"/>
      <protection locked="0"/>
    </xf>
    <xf numFmtId="0" fontId="48" fillId="0" borderId="25" xfId="0" applyNumberFormat="1" applyFont="1" applyFill="1" applyBorder="1" applyAlignment="1" applyProtection="1">
      <alignment horizontal="center" vertical="center" wrapText="1"/>
      <protection locked="0"/>
    </xf>
    <xf numFmtId="0" fontId="171" fillId="0" borderId="0" xfId="15"/>
    <xf numFmtId="0" fontId="184" fillId="0" borderId="1" xfId="15" applyFont="1" applyBorder="1" applyAlignment="1">
      <alignment horizontal="left"/>
    </xf>
    <xf numFmtId="201" fontId="260" fillId="0" borderId="1" xfId="15" applyNumberFormat="1" applyFont="1" applyBorder="1" applyAlignment="1">
      <alignment horizontal="right"/>
    </xf>
    <xf numFmtId="201" fontId="260" fillId="15" borderId="1" xfId="15" applyNumberFormat="1" applyFont="1" applyFill="1" applyBorder="1" applyAlignment="1">
      <alignment horizontal="right"/>
    </xf>
    <xf numFmtId="0" fontId="184" fillId="15" borderId="1" xfId="15" applyFont="1" applyFill="1" applyBorder="1" applyAlignment="1">
      <alignment horizontal="left"/>
    </xf>
    <xf numFmtId="0" fontId="184" fillId="0" borderId="1" xfId="15" applyFont="1" applyBorder="1" applyAlignment="1">
      <alignment horizontal="center"/>
    </xf>
    <xf numFmtId="201" fontId="261" fillId="50" borderId="1" xfId="15" applyNumberFormat="1" applyFont="1" applyFill="1" applyBorder="1" applyAlignment="1">
      <alignment horizontal="right"/>
    </xf>
    <xf numFmtId="0" fontId="184" fillId="50" borderId="1" xfId="15" applyFont="1" applyFill="1" applyBorder="1" applyAlignment="1">
      <alignment horizontal="left"/>
    </xf>
    <xf numFmtId="0" fontId="171" fillId="0" borderId="58" xfId="15" applyBorder="1" applyAlignment="1"/>
    <xf numFmtId="201" fontId="171" fillId="0" borderId="0" xfId="15" applyNumberFormat="1"/>
    <xf numFmtId="0" fontId="184" fillId="0" borderId="1" xfId="15" applyFont="1" applyBorder="1" applyAlignment="1">
      <alignment horizontal="left" vertical="center"/>
    </xf>
    <xf numFmtId="201" fontId="261" fillId="0" borderId="1" xfId="15" applyNumberFormat="1" applyFont="1" applyBorder="1" applyAlignment="1">
      <alignment horizontal="right"/>
    </xf>
    <xf numFmtId="0" fontId="184" fillId="0" borderId="1" xfId="15" applyFont="1" applyBorder="1" applyAlignment="1">
      <alignment vertical="center"/>
    </xf>
    <xf numFmtId="202" fontId="261" fillId="15" borderId="1" xfId="15" applyNumberFormat="1" applyFont="1" applyFill="1" applyBorder="1" applyAlignment="1">
      <alignment horizontal="right" vertical="center"/>
    </xf>
    <xf numFmtId="0" fontId="184" fillId="15" borderId="1" xfId="15" applyFont="1" applyFill="1" applyBorder="1" applyAlignment="1">
      <alignment horizontal="left" vertical="center"/>
    </xf>
    <xf numFmtId="202" fontId="171" fillId="0" borderId="0" xfId="15" applyNumberFormat="1"/>
    <xf numFmtId="202" fontId="261" fillId="0" borderId="176" xfId="15" applyNumberFormat="1" applyFont="1" applyFill="1" applyBorder="1" applyAlignment="1">
      <alignment horizontal="right" vertical="center"/>
    </xf>
    <xf numFmtId="0" fontId="184" fillId="0" borderId="176" xfId="15" applyFont="1" applyFill="1" applyBorder="1" applyAlignment="1">
      <alignment horizontal="left" vertical="center"/>
    </xf>
    <xf numFmtId="0" fontId="184" fillId="0" borderId="176" xfId="15" applyFont="1" applyBorder="1" applyAlignment="1">
      <alignment horizontal="left" vertical="top" wrapText="1"/>
    </xf>
    <xf numFmtId="201" fontId="260" fillId="0" borderId="176" xfId="15" applyNumberFormat="1" applyFont="1" applyBorder="1" applyAlignment="1">
      <alignment horizontal="right"/>
    </xf>
    <xf numFmtId="0" fontId="184" fillId="0" borderId="176" xfId="15" applyFont="1" applyBorder="1" applyAlignment="1">
      <alignment horizontal="left"/>
    </xf>
    <xf numFmtId="202" fontId="261" fillId="0" borderId="176" xfId="15" applyNumberFormat="1" applyFont="1" applyBorder="1" applyAlignment="1">
      <alignment horizontal="right"/>
    </xf>
    <xf numFmtId="1" fontId="184" fillId="0" borderId="176" xfId="15" applyNumberFormat="1" applyFont="1" applyBorder="1" applyAlignment="1">
      <alignment horizontal="right" vertical="center"/>
    </xf>
    <xf numFmtId="0" fontId="100" fillId="0" borderId="23" xfId="0" applyFont="1" applyBorder="1" applyAlignment="1">
      <alignment horizontal="left" vertical="center"/>
    </xf>
    <xf numFmtId="0" fontId="0" fillId="0" borderId="24" xfId="0" applyBorder="1" applyAlignment="1">
      <alignment horizontal="left" vertical="center"/>
    </xf>
    <xf numFmtId="0" fontId="0" fillId="0" borderId="49" xfId="0" applyBorder="1" applyAlignment="1">
      <alignment horizontal="left" vertical="center"/>
    </xf>
    <xf numFmtId="49" fontId="0" fillId="0" borderId="0" xfId="0" applyNumberFormat="1" applyAlignment="1">
      <alignment horizontal="left" vertical="center"/>
    </xf>
    <xf numFmtId="0" fontId="101" fillId="0" borderId="6" xfId="0" applyFont="1" applyBorder="1" applyAlignment="1">
      <alignment horizontal="left" vertical="center"/>
    </xf>
    <xf numFmtId="0" fontId="101" fillId="0" borderId="9" xfId="0" applyFont="1" applyBorder="1" applyAlignment="1">
      <alignment horizontal="left" vertical="center"/>
    </xf>
    <xf numFmtId="49" fontId="101" fillId="0" borderId="9" xfId="0" applyNumberFormat="1" applyFont="1" applyBorder="1" applyAlignment="1">
      <alignment horizontal="left" vertical="center"/>
    </xf>
    <xf numFmtId="0" fontId="101" fillId="0" borderId="10" xfId="0" applyFont="1" applyBorder="1" applyAlignment="1">
      <alignment horizontal="left" vertical="center"/>
    </xf>
    <xf numFmtId="0" fontId="100" fillId="0" borderId="1" xfId="0" applyFont="1" applyBorder="1" applyAlignment="1">
      <alignment horizontal="left" vertical="center"/>
    </xf>
    <xf numFmtId="49" fontId="100" fillId="0" borderId="1" xfId="0" applyNumberFormat="1" applyFont="1" applyBorder="1" applyAlignment="1">
      <alignment horizontal="left" vertical="center"/>
    </xf>
    <xf numFmtId="0" fontId="0" fillId="0" borderId="1" xfId="0" applyBorder="1" applyAlignment="1">
      <alignment horizontal="left" vertical="center"/>
    </xf>
    <xf numFmtId="0" fontId="100" fillId="0" borderId="24" xfId="0" applyFont="1" applyBorder="1" applyAlignment="1">
      <alignment horizontal="left" vertical="center"/>
    </xf>
    <xf numFmtId="0" fontId="101" fillId="0" borderId="25" xfId="0" applyFont="1" applyBorder="1" applyAlignment="1">
      <alignment horizontal="left" vertical="center"/>
    </xf>
    <xf numFmtId="0" fontId="101" fillId="0" borderId="32" xfId="0" applyFont="1" applyBorder="1" applyAlignment="1">
      <alignment horizontal="left" vertical="center"/>
    </xf>
    <xf numFmtId="49" fontId="101" fillId="0" borderId="32" xfId="0" applyNumberFormat="1" applyFont="1" applyBorder="1" applyAlignment="1">
      <alignment horizontal="left" vertical="center"/>
    </xf>
    <xf numFmtId="0" fontId="101" fillId="0" borderId="49" xfId="0" applyFont="1" applyBorder="1" applyAlignment="1">
      <alignment horizontal="left" vertical="center"/>
    </xf>
    <xf numFmtId="9" fontId="0" fillId="0" borderId="0" xfId="0" applyNumberFormat="1" applyBorder="1" applyAlignment="1">
      <alignment horizontal="left" vertical="center"/>
    </xf>
    <xf numFmtId="9" fontId="0" fillId="0" borderId="0" xfId="0" applyNumberFormat="1" applyAlignment="1">
      <alignment horizontal="left" vertical="center"/>
    </xf>
    <xf numFmtId="9" fontId="101" fillId="0" borderId="0" xfId="0" applyNumberFormat="1" applyFont="1" applyBorder="1" applyAlignment="1">
      <alignment horizontal="left" vertical="center"/>
    </xf>
    <xf numFmtId="9" fontId="100" fillId="0" borderId="0" xfId="0" applyNumberFormat="1" applyFont="1" applyBorder="1" applyAlignment="1">
      <alignment horizontal="left" vertical="center"/>
    </xf>
    <xf numFmtId="0" fontId="0" fillId="0" borderId="0" xfId="0" applyNumberFormat="1" applyAlignment="1">
      <alignment horizontal="left" vertical="center"/>
    </xf>
    <xf numFmtId="0" fontId="100" fillId="0" borderId="1" xfId="0" applyNumberFormat="1" applyFont="1" applyBorder="1" applyAlignment="1">
      <alignment horizontal="left" vertical="center"/>
    </xf>
    <xf numFmtId="0" fontId="100" fillId="0" borderId="1" xfId="0" applyFont="1" applyFill="1" applyBorder="1" applyAlignment="1">
      <alignment horizontal="left" vertical="center"/>
    </xf>
    <xf numFmtId="0" fontId="100" fillId="0" borderId="1" xfId="0" applyFont="1" applyBorder="1" applyAlignment="1">
      <alignment horizontal="left" vertical="center" wrapText="1"/>
    </xf>
    <xf numFmtId="0" fontId="100" fillId="0" borderId="1" xfId="0" applyNumberFormat="1" applyFont="1" applyBorder="1" applyAlignment="1">
      <alignment horizontal="left" vertical="center" wrapText="1"/>
    </xf>
    <xf numFmtId="0" fontId="0" fillId="0" borderId="1" xfId="0" applyBorder="1" applyAlignment="1">
      <alignment horizontal="left" vertical="center" wrapText="1"/>
    </xf>
    <xf numFmtId="0" fontId="0" fillId="0" borderId="0" xfId="0" applyNumberFormat="1">
      <alignment vertical="center"/>
    </xf>
    <xf numFmtId="49" fontId="0" fillId="0" borderId="0" xfId="0" applyNumberFormat="1">
      <alignment vertical="center"/>
    </xf>
    <xf numFmtId="49" fontId="100" fillId="0" borderId="9" xfId="0" applyNumberFormat="1" applyFont="1" applyBorder="1" applyAlignment="1">
      <alignment horizontal="left" vertical="center"/>
    </xf>
    <xf numFmtId="49" fontId="0" fillId="0" borderId="10" xfId="0" applyNumberFormat="1" applyBorder="1" applyAlignment="1">
      <alignment horizontal="left" vertical="center"/>
    </xf>
    <xf numFmtId="49" fontId="0" fillId="0" borderId="24" xfId="0" applyNumberFormat="1" applyBorder="1" applyAlignment="1">
      <alignment horizontal="left" vertical="center"/>
    </xf>
    <xf numFmtId="49" fontId="101" fillId="0" borderId="49" xfId="0" applyNumberFormat="1" applyFont="1" applyBorder="1" applyAlignment="1">
      <alignment horizontal="left" vertical="center"/>
    </xf>
    <xf numFmtId="49" fontId="0" fillId="0" borderId="0" xfId="0" applyNumberFormat="1" applyBorder="1" applyAlignment="1">
      <alignment horizontal="left" vertical="center"/>
    </xf>
    <xf numFmtId="49" fontId="100" fillId="0" borderId="0" xfId="0" applyNumberFormat="1" applyFont="1" applyBorder="1" applyAlignment="1">
      <alignment horizontal="left" vertical="center"/>
    </xf>
    <xf numFmtId="49" fontId="101" fillId="0" borderId="0" xfId="0" applyNumberFormat="1" applyFont="1" applyBorder="1" applyAlignment="1">
      <alignment horizontal="left" vertical="center"/>
    </xf>
    <xf numFmtId="10" fontId="51" fillId="0" borderId="1" xfId="0" applyNumberFormat="1" applyFont="1" applyBorder="1" applyProtection="1">
      <alignment vertical="center"/>
      <protection locked="0"/>
    </xf>
    <xf numFmtId="49" fontId="100" fillId="0" borderId="6" xfId="0" applyNumberFormat="1" applyFont="1" applyBorder="1" applyAlignment="1">
      <alignment horizontal="left" vertical="center"/>
    </xf>
    <xf numFmtId="49" fontId="0" fillId="0" borderId="23" xfId="0" applyNumberFormat="1" applyBorder="1" applyAlignment="1">
      <alignment horizontal="left" vertical="center"/>
    </xf>
    <xf numFmtId="49" fontId="100" fillId="0" borderId="23" xfId="0" applyNumberFormat="1" applyFont="1" applyBorder="1" applyAlignment="1">
      <alignment horizontal="left" vertical="center"/>
    </xf>
    <xf numFmtId="49" fontId="100" fillId="0" borderId="25" xfId="0" applyNumberFormat="1" applyFont="1" applyBorder="1" applyAlignment="1">
      <alignment horizontal="left" vertical="center"/>
    </xf>
    <xf numFmtId="0" fontId="100" fillId="0" borderId="9" xfId="0" applyNumberFormat="1" applyFont="1" applyBorder="1" applyAlignment="1">
      <alignment horizontal="left" vertical="center"/>
    </xf>
    <xf numFmtId="0" fontId="100" fillId="0" borderId="10" xfId="0" applyNumberFormat="1" applyFont="1" applyBorder="1" applyAlignment="1">
      <alignment horizontal="left" vertical="center"/>
    </xf>
    <xf numFmtId="0" fontId="0" fillId="0" borderId="1" xfId="0" applyNumberFormat="1" applyBorder="1" applyAlignment="1">
      <alignment horizontal="left" vertical="center"/>
    </xf>
    <xf numFmtId="9" fontId="100" fillId="0" borderId="1" xfId="0" applyNumberFormat="1" applyFont="1" applyBorder="1" applyAlignment="1">
      <alignment horizontal="left" vertical="center"/>
    </xf>
    <xf numFmtId="9" fontId="0" fillId="0" borderId="1" xfId="0" applyNumberFormat="1" applyBorder="1" applyAlignment="1">
      <alignment horizontal="left" vertical="center"/>
    </xf>
    <xf numFmtId="9" fontId="0" fillId="0" borderId="24" xfId="0" applyNumberFormat="1" applyBorder="1" applyAlignment="1">
      <alignment horizontal="left" vertical="center"/>
    </xf>
    <xf numFmtId="0" fontId="0" fillId="0" borderId="32" xfId="0" applyNumberFormat="1" applyBorder="1" applyAlignment="1">
      <alignment horizontal="left" vertical="center"/>
    </xf>
    <xf numFmtId="9" fontId="0" fillId="0" borderId="32" xfId="0" applyNumberFormat="1" applyBorder="1" applyAlignment="1">
      <alignment horizontal="left" vertical="center"/>
    </xf>
    <xf numFmtId="0" fontId="84" fillId="0" borderId="169" xfId="0" applyFont="1" applyFill="1" applyBorder="1" applyAlignment="1" applyProtection="1">
      <alignment horizontal="center" vertical="top" wrapText="1"/>
      <protection locked="0"/>
    </xf>
    <xf numFmtId="0" fontId="84" fillId="0" borderId="168" xfId="0" applyFont="1" applyFill="1" applyBorder="1" applyAlignment="1" applyProtection="1">
      <alignment horizontal="center" vertical="top" wrapText="1"/>
      <protection locked="0"/>
    </xf>
    <xf numFmtId="0" fontId="51" fillId="6" borderId="11"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185" fontId="51" fillId="9" borderId="24" xfId="0" applyNumberFormat="1" applyFont="1" applyFill="1" applyBorder="1" applyAlignment="1" applyProtection="1">
      <alignment horizontal="center" vertical="center"/>
      <protection locked="0"/>
    </xf>
    <xf numFmtId="0" fontId="149" fillId="6" borderId="0" xfId="0" applyFont="1" applyFill="1" applyAlignment="1" applyProtection="1">
      <alignment vertical="center" wrapText="1"/>
    </xf>
    <xf numFmtId="0" fontId="56" fillId="6" borderId="26" xfId="0" applyFont="1" applyFill="1" applyBorder="1" applyAlignment="1" applyProtection="1">
      <alignment vertical="center" wrapText="1"/>
    </xf>
    <xf numFmtId="14" fontId="51" fillId="6" borderId="67" xfId="0" applyNumberFormat="1" applyFont="1" applyFill="1" applyBorder="1" applyAlignment="1" applyProtection="1">
      <alignment horizontal="center" vertical="center"/>
    </xf>
    <xf numFmtId="0" fontId="51" fillId="6" borderId="0" xfId="0" applyFont="1" applyFill="1" applyAlignment="1" applyProtection="1">
      <alignment vertical="center" wrapText="1"/>
    </xf>
    <xf numFmtId="0" fontId="56" fillId="6" borderId="27" xfId="0" applyFont="1" applyFill="1" applyBorder="1" applyAlignment="1" applyProtection="1">
      <alignment vertical="center" wrapText="1"/>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83"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19" xfId="0" applyFont="1" applyFill="1" applyBorder="1" applyAlignment="1" applyProtection="1">
      <alignment vertical="center"/>
    </xf>
    <xf numFmtId="0" fontId="51" fillId="6" borderId="16" xfId="0" applyFont="1" applyFill="1" applyBorder="1" applyAlignment="1" applyProtection="1">
      <alignment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4" fontId="57" fillId="6" borderId="6" xfId="1" applyNumberFormat="1"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83" fontId="51"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81"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83"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right" vertical="center" wrapText="1"/>
    </xf>
    <xf numFmtId="0" fontId="51" fillId="6" borderId="1" xfId="1" applyFont="1" applyFill="1" applyBorder="1" applyAlignment="1" applyProtection="1">
      <alignment horizontal="center" vertical="center" wrapText="1"/>
    </xf>
    <xf numFmtId="181" fontId="51" fillId="2" borderId="5" xfId="1" applyNumberFormat="1" applyFont="1" applyFill="1" applyBorder="1" applyAlignment="1" applyProtection="1">
      <alignment vertical="center"/>
      <protection locked="0"/>
    </xf>
    <xf numFmtId="183" fontId="57" fillId="6" borderId="1" xfId="1" applyNumberFormat="1" applyFont="1" applyFill="1" applyBorder="1" applyAlignment="1" applyProtection="1">
      <alignment horizontal="center" vertical="center"/>
    </xf>
    <xf numFmtId="184" fontId="57" fillId="6" borderId="1" xfId="1"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xf>
    <xf numFmtId="0" fontId="51" fillId="6" borderId="24" xfId="1" applyNumberFormat="1" applyFont="1" applyFill="1" applyBorder="1" applyAlignment="1" applyProtection="1">
      <alignment horizontal="center" vertical="center"/>
    </xf>
    <xf numFmtId="185" fontId="51" fillId="6" borderId="5" xfId="0" applyNumberFormat="1" applyFont="1" applyFill="1" applyBorder="1" applyAlignment="1" applyProtection="1">
      <alignment horizontal="center" vertical="center"/>
    </xf>
    <xf numFmtId="0" fontId="51" fillId="0" borderId="3" xfId="0" applyFont="1" applyBorder="1" applyAlignment="1" applyProtection="1">
      <alignment vertical="center"/>
      <protection locked="0"/>
    </xf>
    <xf numFmtId="185" fontId="51" fillId="0" borderId="5" xfId="0" applyNumberFormat="1" applyFont="1" applyBorder="1" applyAlignment="1" applyProtection="1">
      <alignment vertical="center"/>
      <protection locked="0"/>
    </xf>
    <xf numFmtId="0" fontId="51" fillId="6" borderId="23" xfId="0" applyFont="1" applyFill="1" applyBorder="1" applyAlignment="1" applyProtection="1">
      <alignment horizontal="center" vertical="center"/>
    </xf>
    <xf numFmtId="0" fontId="51" fillId="0" borderId="1" xfId="0" applyNumberFormat="1" applyFont="1" applyBorder="1" applyAlignment="1" applyProtection="1">
      <alignment horizontal="center" vertical="center"/>
      <protection locked="0"/>
    </xf>
    <xf numFmtId="0" fontId="106"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0" fontId="51" fillId="0" borderId="3" xfId="0" applyFont="1" applyBorder="1" applyAlignment="1" applyProtection="1">
      <alignment horizontal="center" vertical="center"/>
      <protection locked="0"/>
    </xf>
    <xf numFmtId="10" fontId="51" fillId="0" borderId="1" xfId="0" applyNumberFormat="1" applyFont="1" applyFill="1" applyBorder="1" applyAlignment="1" applyProtection="1">
      <alignment horizontal="center" vertical="center"/>
      <protection locked="0"/>
    </xf>
    <xf numFmtId="187" fontId="51" fillId="0" borderId="1" xfId="0" applyNumberFormat="1" applyFont="1" applyFill="1" applyBorder="1" applyAlignment="1" applyProtection="1">
      <alignment horizontal="center" vertical="center"/>
      <protection locked="0"/>
    </xf>
    <xf numFmtId="181" fontId="51" fillId="6" borderId="23" xfId="1" applyNumberFormat="1" applyFont="1" applyFill="1" applyBorder="1" applyAlignment="1" applyProtection="1">
      <alignment horizontal="left" vertical="center" wrapText="1"/>
      <protection locked="0"/>
    </xf>
    <xf numFmtId="181" fontId="51" fillId="6" borderId="5" xfId="1" applyNumberFormat="1" applyFont="1" applyFill="1" applyBorder="1" applyAlignment="1" applyProtection="1">
      <alignment vertical="center"/>
    </xf>
    <xf numFmtId="185" fontId="52" fillId="6" borderId="1" xfId="0" applyNumberFormat="1" applyFont="1" applyFill="1" applyBorder="1" applyAlignment="1" applyProtection="1">
      <alignment horizontal="center" vertical="center"/>
      <protection locked="0"/>
    </xf>
    <xf numFmtId="9" fontId="51" fillId="6" borderId="5" xfId="0" applyNumberFormat="1" applyFont="1" applyFill="1" applyBorder="1" applyAlignment="1" applyProtection="1">
      <alignment horizontal="center" vertical="center"/>
    </xf>
    <xf numFmtId="0" fontId="51" fillId="6" borderId="23" xfId="0" applyFont="1" applyFill="1" applyBorder="1" applyAlignment="1" applyProtection="1">
      <alignment vertical="center"/>
    </xf>
    <xf numFmtId="185" fontId="51" fillId="6" borderId="1" xfId="0" applyNumberFormat="1" applyFont="1" applyFill="1" applyBorder="1" applyAlignment="1" applyProtection="1">
      <alignment vertical="center"/>
    </xf>
    <xf numFmtId="185" fontId="51" fillId="6" borderId="5" xfId="0" applyNumberFormat="1" applyFont="1" applyFill="1" applyBorder="1" applyAlignment="1" applyProtection="1">
      <alignment vertical="center"/>
    </xf>
    <xf numFmtId="185"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5" fontId="51" fillId="6" borderId="1"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0" fontId="56" fillId="6" borderId="25" xfId="1" applyFont="1" applyFill="1" applyBorder="1" applyAlignment="1" applyProtection="1">
      <alignment vertical="center" wrapText="1"/>
    </xf>
    <xf numFmtId="0" fontId="56" fillId="6" borderId="32" xfId="1" applyFont="1" applyFill="1" applyBorder="1" applyAlignment="1" applyProtection="1">
      <alignment vertical="center"/>
    </xf>
    <xf numFmtId="0" fontId="56" fillId="6" borderId="33" xfId="1" applyFont="1" applyFill="1" applyBorder="1" applyAlignment="1" applyProtection="1">
      <alignment vertical="center"/>
    </xf>
    <xf numFmtId="0" fontId="56" fillId="6" borderId="25" xfId="1" applyFont="1" applyFill="1" applyBorder="1" applyAlignment="1" applyProtection="1">
      <alignment vertical="center"/>
    </xf>
    <xf numFmtId="0" fontId="56" fillId="6" borderId="32" xfId="1" applyFont="1" applyFill="1" applyBorder="1" applyAlignment="1" applyProtection="1">
      <alignment horizontal="center" vertical="center"/>
    </xf>
    <xf numFmtId="185" fontId="56" fillId="6" borderId="32" xfId="1" applyNumberFormat="1" applyFont="1" applyFill="1" applyBorder="1" applyAlignment="1" applyProtection="1">
      <alignment vertical="center"/>
    </xf>
    <xf numFmtId="0" fontId="56" fillId="6" borderId="49" xfId="1" applyFont="1" applyFill="1" applyBorder="1" applyAlignment="1" applyProtection="1">
      <alignment vertical="center"/>
    </xf>
    <xf numFmtId="180"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83" fontId="51" fillId="6" borderId="25" xfId="1" applyNumberFormat="1" applyFont="1" applyFill="1" applyBorder="1" applyAlignment="1" applyProtection="1">
      <alignment horizontal="center" vertical="center"/>
    </xf>
    <xf numFmtId="183"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3"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180" fontId="57" fillId="6" borderId="6" xfId="1" applyNumberFormat="1" applyFont="1" applyFill="1" applyBorder="1" applyAlignment="1" applyProtection="1">
      <alignment vertical="center" wrapText="1"/>
    </xf>
    <xf numFmtId="180" fontId="57" fillId="0" borderId="10" xfId="1" applyNumberFormat="1" applyFont="1" applyFill="1" applyBorder="1" applyAlignment="1" applyProtection="1">
      <alignment horizontal="center" vertical="center"/>
      <protection locked="0"/>
    </xf>
    <xf numFmtId="180" fontId="57" fillId="6" borderId="23" xfId="1" applyNumberFormat="1" applyFont="1" applyFill="1" applyBorder="1" applyAlignment="1" applyProtection="1">
      <alignment vertical="center" wrapText="1"/>
    </xf>
    <xf numFmtId="180" fontId="51" fillId="0" borderId="24" xfId="1"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vertical="center" wrapText="1"/>
    </xf>
    <xf numFmtId="180" fontId="57" fillId="6" borderId="24" xfId="1" applyNumberFormat="1" applyFont="1" applyFill="1" applyBorder="1" applyAlignment="1" applyProtection="1">
      <alignment horizontal="center" vertical="center"/>
    </xf>
    <xf numFmtId="180" fontId="57" fillId="6" borderId="25" xfId="1" applyNumberFormat="1" applyFont="1" applyFill="1" applyBorder="1" applyAlignment="1" applyProtection="1">
      <alignment vertical="center" wrapText="1"/>
    </xf>
    <xf numFmtId="180" fontId="57" fillId="6" borderId="49" xfId="1" applyNumberFormat="1" applyFont="1" applyFill="1" applyBorder="1" applyAlignment="1" applyProtection="1">
      <alignment horizontal="center" vertical="center"/>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0" fontId="131" fillId="6" borderId="0" xfId="0" applyFont="1" applyFill="1" applyAlignment="1" applyProtection="1">
      <alignment horizontal="left" vertical="center"/>
      <protection locked="0"/>
    </xf>
    <xf numFmtId="183" fontId="51" fillId="6" borderId="0" xfId="0" applyNumberFormat="1" applyFont="1" applyFill="1" applyAlignment="1" applyProtection="1">
      <alignment horizontal="center" vertical="center"/>
      <protection locked="0"/>
    </xf>
    <xf numFmtId="0" fontId="51"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106" fillId="6" borderId="0" xfId="0" applyFont="1" applyFill="1" applyAlignment="1" applyProtection="1">
      <alignment horizontal="left" vertical="center"/>
      <protection locked="0"/>
    </xf>
    <xf numFmtId="0" fontId="51" fillId="6" borderId="41" xfId="0"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1" fillId="6" borderId="11" xfId="0" applyFont="1" applyFill="1" applyBorder="1" applyAlignment="1" applyProtection="1">
      <alignment vertical="center" wrapText="1"/>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5" fontId="106" fillId="6" borderId="0" xfId="0" applyNumberFormat="1" applyFont="1" applyFill="1" applyAlignment="1" applyProtection="1">
      <alignment horizontal="center" vertical="center"/>
    </xf>
    <xf numFmtId="187"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0" fontId="51" fillId="6" borderId="25" xfId="0" applyFont="1" applyFill="1" applyBorder="1" applyAlignment="1" applyProtection="1">
      <alignment horizontal="right" vertical="center" wrapText="1"/>
    </xf>
    <xf numFmtId="10" fontId="51" fillId="0" borderId="49" xfId="0" applyNumberFormat="1" applyFont="1" applyFill="1" applyBorder="1" applyAlignment="1" applyProtection="1">
      <alignment horizontal="center" vertical="center"/>
      <protection locked="0"/>
    </xf>
    <xf numFmtId="0" fontId="51" fillId="6" borderId="14" xfId="0" applyFont="1" applyFill="1" applyBorder="1" applyAlignment="1" applyProtection="1">
      <alignment vertical="center" wrapText="1"/>
    </xf>
    <xf numFmtId="10" fontId="51" fillId="0" borderId="53" xfId="0" applyNumberFormat="1" applyFont="1" applyFill="1" applyBorder="1" applyAlignment="1" applyProtection="1">
      <alignment horizontal="center" vertical="center"/>
      <protection locked="0"/>
    </xf>
    <xf numFmtId="0" fontId="51" fillId="6" borderId="0" xfId="0" applyFont="1" applyFill="1" applyAlignment="1" applyProtection="1">
      <alignment horizontal="left" vertical="center"/>
      <protection locked="0"/>
    </xf>
    <xf numFmtId="0" fontId="51" fillId="6" borderId="40" xfId="0" applyFont="1" applyFill="1" applyBorder="1" applyAlignment="1" applyProtection="1">
      <alignment vertical="center" wrapText="1"/>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82" fontId="51" fillId="6" borderId="62" xfId="0" applyNumberFormat="1" applyFont="1" applyFill="1" applyBorder="1" applyAlignment="1" applyProtection="1">
      <alignment horizontal="center" vertical="center"/>
    </xf>
    <xf numFmtId="0" fontId="51" fillId="2" borderId="24" xfId="0" applyFont="1" applyFill="1" applyBorder="1" applyAlignment="1" applyProtection="1">
      <alignment horizontal="center" vertical="center"/>
      <protection locked="0"/>
    </xf>
    <xf numFmtId="0" fontId="201"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0" borderId="24" xfId="0" applyFont="1" applyBorder="1" applyAlignment="1" applyProtection="1">
      <alignment horizontal="center" vertical="center"/>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1" fillId="0" borderId="49" xfId="0" applyFont="1" applyBorder="1" applyAlignment="1" applyProtection="1">
      <alignment vertical="center"/>
      <protection locked="0"/>
    </xf>
    <xf numFmtId="10" fontId="51" fillId="9" borderId="1" xfId="1" applyNumberFormat="1" applyFont="1" applyFill="1" applyBorder="1" applyAlignment="1" applyProtection="1">
      <alignment horizontal="center" vertical="center"/>
      <protection locked="0"/>
    </xf>
    <xf numFmtId="180" fontId="51" fillId="9" borderId="24" xfId="1" applyNumberFormat="1" applyFont="1" applyFill="1" applyBorder="1" applyAlignment="1" applyProtection="1">
      <alignment horizontal="center" vertical="center"/>
      <protection locked="0"/>
    </xf>
    <xf numFmtId="0" fontId="51" fillId="0" borderId="23" xfId="0" applyNumberFormat="1" applyFont="1" applyBorder="1" applyProtection="1">
      <alignment vertical="center"/>
      <protection locked="0"/>
    </xf>
    <xf numFmtId="0" fontId="57" fillId="9"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6"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6" fontId="65" fillId="0" borderId="5" xfId="0" applyNumberFormat="1" applyFont="1" applyFill="1" applyBorder="1" applyAlignment="1" applyProtection="1">
      <alignment horizontal="center" vertical="center" wrapText="1"/>
    </xf>
    <xf numFmtId="186" fontId="65" fillId="0" borderId="54" xfId="0" applyNumberFormat="1" applyFont="1" applyFill="1" applyBorder="1" applyAlignment="1" applyProtection="1">
      <alignment horizontal="center" vertical="center" wrapText="1"/>
    </xf>
    <xf numFmtId="186"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6"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8"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10" fontId="0" fillId="0" borderId="0" xfId="14" applyNumberFormat="1" applyFont="1" applyAlignment="1">
      <alignment horizontal="center" vertical="center"/>
    </xf>
    <xf numFmtId="0" fontId="184" fillId="0" borderId="177" xfId="15" applyFont="1" applyFill="1" applyBorder="1" applyAlignment="1">
      <alignment horizontal="left" vertical="center"/>
    </xf>
    <xf numFmtId="0" fontId="184" fillId="0" borderId="175" xfId="15" applyFont="1" applyFill="1" applyBorder="1" applyAlignment="1">
      <alignment horizontal="left" vertical="center"/>
    </xf>
    <xf numFmtId="0" fontId="184" fillId="0" borderId="176" xfId="15" applyFont="1" applyBorder="1" applyAlignment="1">
      <alignment horizontal="left"/>
    </xf>
    <xf numFmtId="0" fontId="184" fillId="0" borderId="176" xfId="15" applyFont="1" applyBorder="1" applyAlignment="1">
      <alignment horizontal="left" vertical="center"/>
    </xf>
    <xf numFmtId="0" fontId="184" fillId="0" borderId="176" xfId="15" applyFont="1" applyBorder="1" applyAlignment="1">
      <alignment horizontal="left" vertical="center" wrapText="1"/>
    </xf>
    <xf numFmtId="0" fontId="259" fillId="0" borderId="1" xfId="15" applyFont="1" applyBorder="1" applyAlignment="1">
      <alignment horizontal="center" vertical="center"/>
    </xf>
    <xf numFmtId="0" fontId="184" fillId="0" borderId="1" xfId="15" applyFont="1" applyBorder="1" applyAlignment="1">
      <alignment horizontal="left"/>
    </xf>
    <xf numFmtId="0" fontId="184" fillId="15" borderId="1" xfId="15" applyFont="1" applyFill="1" applyBorder="1" applyAlignment="1">
      <alignment horizontal="left"/>
    </xf>
    <xf numFmtId="0" fontId="184" fillId="0" borderId="173" xfId="15" applyFont="1" applyBorder="1" applyAlignment="1">
      <alignment horizontal="center" vertical="center" wrapText="1"/>
    </xf>
    <xf numFmtId="0" fontId="184" fillId="0" borderId="15" xfId="15" applyFont="1" applyBorder="1" applyAlignment="1">
      <alignment horizontal="center" vertical="center" wrapText="1"/>
    </xf>
    <xf numFmtId="0" fontId="184" fillId="0" borderId="2" xfId="15" applyFont="1" applyBorder="1" applyAlignment="1">
      <alignment horizontal="center" vertical="center" wrapText="1"/>
    </xf>
    <xf numFmtId="0" fontId="184" fillId="50" borderId="1" xfId="15" applyFont="1" applyFill="1" applyBorder="1" applyAlignment="1">
      <alignment horizontal="left" vertical="center"/>
    </xf>
    <xf numFmtId="0" fontId="184" fillId="0" borderId="173" xfId="15" applyFont="1" applyBorder="1" applyAlignment="1">
      <alignment horizontal="center" vertical="center"/>
    </xf>
    <xf numFmtId="0" fontId="184" fillId="0" borderId="2" xfId="15" applyFont="1" applyBorder="1" applyAlignment="1">
      <alignment horizontal="center" vertical="center"/>
    </xf>
    <xf numFmtId="201" fontId="261" fillId="0" borderId="173" xfId="15" applyNumberFormat="1" applyFont="1" applyBorder="1" applyAlignment="1">
      <alignment horizontal="right" vertical="center"/>
    </xf>
    <xf numFmtId="201" fontId="261" fillId="0" borderId="2" xfId="15" applyNumberFormat="1" applyFont="1" applyBorder="1" applyAlignment="1">
      <alignment horizontal="right" vertical="center"/>
    </xf>
    <xf numFmtId="0" fontId="184" fillId="50" borderId="1" xfId="15" applyFont="1" applyFill="1" applyBorder="1" applyAlignment="1">
      <alignment horizontal="left"/>
    </xf>
    <xf numFmtId="0" fontId="184" fillId="0" borderId="174" xfId="15" applyFont="1" applyBorder="1" applyAlignment="1">
      <alignment horizontal="center" vertical="center" wrapText="1"/>
    </xf>
    <xf numFmtId="0" fontId="184" fillId="0" borderId="58" xfId="15" applyFont="1" applyBorder="1" applyAlignment="1">
      <alignment horizontal="center" vertical="center" wrapText="1"/>
    </xf>
    <xf numFmtId="0" fontId="184" fillId="0" borderId="4" xfId="15" applyFont="1" applyBorder="1" applyAlignment="1">
      <alignment horizontal="center" vertical="center" wrapText="1"/>
    </xf>
    <xf numFmtId="0" fontId="184" fillId="15" borderId="1" xfId="15" applyFont="1" applyFill="1" applyBorder="1" applyAlignment="1">
      <alignment horizontal="left" vertical="center"/>
    </xf>
    <xf numFmtId="0" fontId="184" fillId="0" borderId="173" xfId="15" applyFont="1" applyFill="1" applyBorder="1" applyAlignment="1">
      <alignment horizontal="center" vertical="center" wrapText="1"/>
    </xf>
    <xf numFmtId="0" fontId="184" fillId="0" borderId="15" xfId="15" applyFont="1" applyFill="1" applyBorder="1" applyAlignment="1">
      <alignment horizontal="center" vertical="center" wrapText="1"/>
    </xf>
    <xf numFmtId="0" fontId="184" fillId="0" borderId="5" xfId="15" applyFont="1" applyFill="1" applyBorder="1" applyAlignment="1">
      <alignment horizontal="left" vertical="center"/>
    </xf>
    <xf numFmtId="49" fontId="100" fillId="0" borderId="11" xfId="0" applyNumberFormat="1" applyFont="1" applyBorder="1" applyAlignment="1">
      <alignment horizontal="center" vertical="center"/>
    </xf>
    <xf numFmtId="49" fontId="100" fillId="0" borderId="41" xfId="0" applyNumberFormat="1" applyFont="1" applyBorder="1" applyAlignment="1">
      <alignment horizontal="center" vertical="center"/>
    </xf>
    <xf numFmtId="49" fontId="100" fillId="0" borderId="40" xfId="0" applyNumberFormat="1" applyFont="1" applyBorder="1" applyAlignment="1">
      <alignment horizontal="center" vertical="center"/>
    </xf>
    <xf numFmtId="49" fontId="100" fillId="0" borderId="14" xfId="0" applyNumberFormat="1" applyFont="1" applyBorder="1" applyAlignment="1">
      <alignment horizontal="center" vertical="center"/>
    </xf>
    <xf numFmtId="49" fontId="101" fillId="0" borderId="38" xfId="0" applyNumberFormat="1" applyFont="1" applyBorder="1" applyAlignment="1">
      <alignment horizontal="center" vertical="center"/>
    </xf>
    <xf numFmtId="49" fontId="101" fillId="0" borderId="66" xfId="0" applyNumberFormat="1" applyFont="1" applyBorder="1" applyAlignment="1">
      <alignment horizontal="center" vertical="center"/>
    </xf>
    <xf numFmtId="0" fontId="100" fillId="0" borderId="9" xfId="0" applyNumberFormat="1" applyFont="1" applyBorder="1" applyAlignment="1">
      <alignment horizontal="left" vertical="center"/>
    </xf>
    <xf numFmtId="49" fontId="100" fillId="0" borderId="9" xfId="0" applyNumberFormat="1" applyFont="1" applyBorder="1" applyAlignment="1">
      <alignment horizontal="lef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69" xfId="0" applyFont="1" applyFill="1" applyBorder="1" applyAlignment="1" applyProtection="1">
      <alignment horizontal="center" vertical="top" wrapText="1"/>
      <protection locked="0"/>
    </xf>
    <xf numFmtId="0" fontId="84" fillId="0" borderId="168" xfId="0" applyFont="1" applyFill="1" applyBorder="1" applyAlignment="1" applyProtection="1">
      <alignment horizontal="center" vertical="top" wrapText="1"/>
      <protection locked="0"/>
    </xf>
    <xf numFmtId="0" fontId="84" fillId="0" borderId="170" xfId="0" applyFont="1" applyFill="1" applyBorder="1" applyAlignment="1" applyProtection="1">
      <alignment vertical="top" wrapText="1"/>
      <protection locked="0"/>
    </xf>
    <xf numFmtId="0" fontId="81" fillId="0" borderId="171" xfId="0" applyFont="1" applyFill="1" applyBorder="1" applyAlignment="1" applyProtection="1">
      <alignment vertical="top"/>
      <protection locked="0"/>
    </xf>
    <xf numFmtId="0" fontId="81" fillId="0" borderId="172" xfId="0" applyFont="1" applyFill="1" applyBorder="1" applyAlignment="1" applyProtection="1">
      <alignment vertical="top"/>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6"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6" fontId="48" fillId="6" borderId="5" xfId="0" applyNumberFormat="1" applyFont="1" applyFill="1" applyBorder="1" applyAlignment="1" applyProtection="1">
      <alignment horizontal="center" vertical="center" wrapText="1"/>
    </xf>
    <xf numFmtId="186" fontId="48" fillId="6" borderId="3" xfId="0" applyNumberFormat="1" applyFont="1" applyFill="1" applyBorder="1" applyAlignment="1" applyProtection="1">
      <alignment horizontal="center" vertical="center" wrapText="1"/>
    </xf>
    <xf numFmtId="186"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9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56" fillId="0" borderId="0" xfId="0" applyFont="1" applyAlignment="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7330">
    <cellStyle name="_x0007_" xfId="16"/>
    <cellStyle name="??&amp;O龡&amp;H?_x0008_??_x0007__x0001__x0001_" xfId="17"/>
    <cellStyle name="??|?Revenuenuesy L" xfId="18"/>
    <cellStyle name="??|?Revenuenuesy L 2" xfId="19"/>
    <cellStyle name="??|?Revenuenuesy L 3" xfId="20"/>
    <cellStyle name="@_text" xfId="21"/>
    <cellStyle name="@_text_销售费用10.21最终-T" xfId="22"/>
    <cellStyle name="@_text_销售费用10.24最新OK-清华园" xfId="23"/>
    <cellStyle name="@ET_Style?.xl71" xfId="24"/>
    <cellStyle name="_（80CM）EM射频卡停车场管理系统设备代理报价表06.03.26" xfId="25"/>
    <cellStyle name="_（80CM）EM射频卡停车场管理系统设备代理报价表06.03.26 2" xfId="26"/>
    <cellStyle name="_~9837326" xfId="27"/>
    <cellStyle name="_■项目成本测算表" xfId="28"/>
    <cellStyle name="_08-10计划（0731）摸底0808调整(09调整）" xfId="29"/>
    <cellStyle name="_2273-16 Deferred tax" xfId="30"/>
    <cellStyle name="_2273-16 Deferred tax_销售费用10.21最终-T" xfId="31"/>
    <cellStyle name="_2273-16 Deferred tax_销售费用10.24最新OK-清华园" xfId="32"/>
    <cellStyle name="_Book1" xfId="33"/>
    <cellStyle name="_Book2" xfId="34"/>
    <cellStyle name="_Book2 2" xfId="35"/>
    <cellStyle name="_Breakdown for 2004Q2BSAR-Final" xfId="36"/>
    <cellStyle name="_Breakdown for 2004Q2BSAR-Final_Consol SP-Wah Sang-PRC-20080331-080615" xfId="37"/>
    <cellStyle name="_Breakdown for 2004Q2BSAR-Final_Consol SP-Wah Sang-PRC-20080331-080621" xfId="38"/>
    <cellStyle name="_CCTV" xfId="39"/>
    <cellStyle name="_CCTV 2" xfId="40"/>
    <cellStyle name="_Consol SP-Wah Sang-PRC-20080331-080615" xfId="41"/>
    <cellStyle name="_Consol SP-Wah Sang-PRC-20080331-080621" xfId="42"/>
    <cellStyle name="_ET_STYLE_NoName_00_" xfId="43"/>
    <cellStyle name="_ET_STYLE_NoName_00_ 2" xfId="44"/>
    <cellStyle name="_Group reconciliation-20091231" xfId="45"/>
    <cellStyle name="_ht总报价" xfId="46"/>
    <cellStyle name="_ht总报价 2" xfId="47"/>
    <cellStyle name="_New RP for 2004_Sunco Group_Summary200403-0507-Subsi" xfId="48"/>
    <cellStyle name="_New RP for 2004_Sunco Group_Summary200403-0507-Subsi_Consol SP-Wah Sang-PRC-20080331-080615" xfId="49"/>
    <cellStyle name="_New RP for 2004_Sunco Group_Summary200403-0507-Subsi_Consol SP-Wah Sang-PRC-20080331-080621" xfId="50"/>
    <cellStyle name="_NL-Prysmian-Final" xfId="51"/>
    <cellStyle name="_Preliminary AR-2007731-prysmain" xfId="52"/>
    <cellStyle name="_ROIC-2008-重庆区域（0327根据集团审定预算更新）" xfId="53"/>
    <cellStyle name="_ROIC-2008-重庆区域（0327根据集团审定预算更新）_销售费用10.21最终-T" xfId="54"/>
    <cellStyle name="_ROIC-2008-重庆区域（0327根据集团审定预算更新）_销售费用10.24最新OK-清华园" xfId="55"/>
    <cellStyle name="_ROIC预算值(反馈版)" xfId="56"/>
    <cellStyle name="_ROIC预算值-报集团-重庆区域-0807" xfId="57"/>
    <cellStyle name="_ROIC预算值-报集团-重庆区域-0807_销售费用10.21最终-T" xfId="58"/>
    <cellStyle name="_ROIC预算值-报集团-重庆区域-0807_销售费用10.24最新OK-清华园" xfId="59"/>
    <cellStyle name="_Spreadsheet-Kyocera-123106 v5" xfId="60"/>
    <cellStyle name="_TO LIRONGJUAN" xfId="61"/>
    <cellStyle name="_Valuation0712" xfId="62"/>
    <cellStyle name="_Valuation0712_销售费用10.21最终-T" xfId="63"/>
    <cellStyle name="_Valuation0712_销售费用10.24最新OK-清华园" xfId="64"/>
    <cellStyle name="_北京公司ROIC计算－08-0228" xfId="65"/>
    <cellStyle name="_北京公司ROIC计算－08-0228_销售费用10.21最终-T" xfId="66"/>
    <cellStyle name="_北京公司ROIC计算－08-0228_销售费用10.24最新OK-清华园" xfId="67"/>
    <cellStyle name="_财务管理报告－重庆区域－200807" xfId="68"/>
    <cellStyle name="_沧州网络系统报价" xfId="69"/>
    <cellStyle name="_沧州网络系统报价 2" xfId="70"/>
    <cellStyle name="_程控交换机系统报价" xfId="71"/>
    <cellStyle name="_程控交换机系统报价 2" xfId="72"/>
    <cellStyle name="_大方居测算依据（5月份调整版）" xfId="73"/>
    <cellStyle name="_电视报价清单" xfId="74"/>
    <cellStyle name="_电视报价清单 2" xfId="75"/>
    <cellStyle name="_电视报价清单1" xfId="76"/>
    <cellStyle name="_电视报价清单1 2" xfId="77"/>
    <cellStyle name="_电视会议" xfId="78"/>
    <cellStyle name="_电视会议 2" xfId="79"/>
    <cellStyle name="_电视最终" xfId="80"/>
    <cellStyle name="_电视最终 2" xfId="81"/>
    <cellStyle name="_对标景观详细" xfId="82"/>
    <cellStyle name="_附注07.01" xfId="83"/>
    <cellStyle name="_复件 总报价1" xfId="84"/>
    <cellStyle name="_复件 总报价1 2" xfId="85"/>
    <cellStyle name="_副本pp分工" xfId="86"/>
    <cellStyle name="_回款EBIT" xfId="87"/>
    <cellStyle name="_回款EBIT_销售费用10.21最终-T" xfId="88"/>
    <cellStyle name="_回款EBIT_销售费用10.24最新OK-清华园" xfId="89"/>
    <cellStyle name="_回款口径EBIT与13点均值IC" xfId="90"/>
    <cellStyle name="_回款口径EBIT与13点均值IC_销售费用10.21最终-T" xfId="91"/>
    <cellStyle name="_回款口径EBIT与13点均值IC_销售费用10.24最新OK-清华园" xfId="92"/>
    <cellStyle name="_加拿大爱克信门禁报价" xfId="93"/>
    <cellStyle name="_加拿大爱克信门禁报价 2" xfId="94"/>
    <cellStyle name="_晶元09-10年销售计划" xfId="95"/>
    <cellStyle name="_楼宇自控报价清单" xfId="96"/>
    <cellStyle name="_楼宇自控报价清单 2" xfId="97"/>
    <cellStyle name="_目标成本测算表" xfId="98"/>
    <cellStyle name="_浦江镇项目三至五期经济测算090916" xfId="99"/>
    <cellStyle name="_清华园成本测算（方案版080812报集团）" xfId="100"/>
    <cellStyle name="_人防地下车库" xfId="101"/>
    <cellStyle name="_榕江二期成本测算表（081215）" xfId="102"/>
    <cellStyle name="_上海公司信息月报2008年8月" xfId="103"/>
    <cellStyle name="_投资大厦门禁" xfId="104"/>
    <cellStyle name="_投资大厦门禁 2" xfId="105"/>
    <cellStyle name="_系统集成报价表" xfId="106"/>
    <cellStyle name="_系统集成报价表 2" xfId="107"/>
    <cellStyle name="_线槽线管" xfId="108"/>
    <cellStyle name="_线槽线管 2" xfId="109"/>
    <cellStyle name="_信息查询" xfId="110"/>
    <cellStyle name="_信息查询 2" xfId="111"/>
    <cellStyle name="_一卡通" xfId="112"/>
    <cellStyle name="_一卡通 2" xfId="113"/>
    <cellStyle name="_一卡通系统设备清单05.06.10" xfId="114"/>
    <cellStyle name="_一卡通系统设备清单05.06.10 2" xfId="115"/>
    <cellStyle name="_一线公司运营计划分析表-模板-修正(北区)" xfId="116"/>
    <cellStyle name="_指标数据对标（深圳公司）" xfId="117"/>
    <cellStyle name="_指标数据对标（深圳公司）-汇" xfId="118"/>
    <cellStyle name="_智能化及社区管网" xfId="119"/>
    <cellStyle name="_重固测算表11年3月15日（东块）终稿成本" xfId="120"/>
    <cellStyle name="_重庆2008年ROIC计算2008年2月4日-checked" xfId="121"/>
    <cellStyle name="_总报价" xfId="122"/>
    <cellStyle name="_总报价 2" xfId="123"/>
    <cellStyle name="_总报价1" xfId="124"/>
    <cellStyle name="_总报价1 2" xfId="125"/>
    <cellStyle name="{Comma [0]}" xfId="126"/>
    <cellStyle name="{Comma}" xfId="127"/>
    <cellStyle name="{Date}" xfId="128"/>
    <cellStyle name="{Month}" xfId="129"/>
    <cellStyle name="{Percent}" xfId="130"/>
    <cellStyle name="{Thousand [0]}" xfId="131"/>
    <cellStyle name="{Thousand}" xfId="132"/>
    <cellStyle name="{Z'0000(1 dec)}" xfId="133"/>
    <cellStyle name="{Z'0000(4 dec)}" xfId="134"/>
    <cellStyle name="0,0_x000d__x000a_NA_x000d__x000a_" xfId="135"/>
    <cellStyle name="0,0_x000d__x000a_NA_x000d__x000a_ 2" xfId="136"/>
    <cellStyle name="20% - Accent1" xfId="137"/>
    <cellStyle name="20% - Accent2" xfId="138"/>
    <cellStyle name="20% - Accent3" xfId="139"/>
    <cellStyle name="20% - Accent4" xfId="140"/>
    <cellStyle name="20% - Accent5" xfId="141"/>
    <cellStyle name="20% - Accent6" xfId="142"/>
    <cellStyle name="20% - 强调文字颜色 1 10" xfId="143"/>
    <cellStyle name="20% - 强调文字颜色 1 10 2" xfId="144"/>
    <cellStyle name="20% - 强调文字颜色 1 11" xfId="145"/>
    <cellStyle name="20% - 强调文字颜色 1 11 2" xfId="146"/>
    <cellStyle name="20% - 强调文字颜色 1 12" xfId="147"/>
    <cellStyle name="20% - 强调文字颜色 1 2" xfId="148"/>
    <cellStyle name="20% - 强调文字颜色 1 2 10" xfId="149"/>
    <cellStyle name="20% - 强调文字颜色 1 2 2" xfId="150"/>
    <cellStyle name="20% - 强调文字颜色 1 2 2 2" xfId="151"/>
    <cellStyle name="20% - 强调文字颜色 1 2 2 2 2" xfId="152"/>
    <cellStyle name="20% - 强调文字颜色 1 2 2 2 3" xfId="153"/>
    <cellStyle name="20% - 强调文字颜色 1 2 2 2 4" xfId="154"/>
    <cellStyle name="20% - 强调文字颜色 1 2 2 3" xfId="155"/>
    <cellStyle name="20% - 强调文字颜色 1 2 2 4" xfId="156"/>
    <cellStyle name="20% - 强调文字颜色 1 2 2 5" xfId="157"/>
    <cellStyle name="20% - 强调文字颜色 1 2 2_样本-每月费用" xfId="158"/>
    <cellStyle name="20% - 强调文字颜色 1 2 3" xfId="159"/>
    <cellStyle name="20% - 强调文字颜色 1 2 3 2" xfId="160"/>
    <cellStyle name="20% - 强调文字颜色 1 2 3 3" xfId="161"/>
    <cellStyle name="20% - 强调文字颜色 1 2 3 4" xfId="162"/>
    <cellStyle name="20% - 强调文字颜色 1 2 4" xfId="163"/>
    <cellStyle name="20% - 强调文字颜色 1 2 4 2" xfId="164"/>
    <cellStyle name="20% - 强调文字颜色 1 2 4 3" xfId="165"/>
    <cellStyle name="20% - 强调文字颜色 1 2 4 4" xfId="166"/>
    <cellStyle name="20% - 强调文字颜色 1 2 5" xfId="167"/>
    <cellStyle name="20% - 强调文字颜色 1 2 5 2" xfId="168"/>
    <cellStyle name="20% - 强调文字颜色 1 2 5 3" xfId="169"/>
    <cellStyle name="20% - 强调文字颜色 1 2 5 4" xfId="170"/>
    <cellStyle name="20% - 强调文字颜色 1 2 6" xfId="171"/>
    <cellStyle name="20% - 强调文字颜色 1 2 6 2" xfId="172"/>
    <cellStyle name="20% - 强调文字颜色 1 2 6 3" xfId="173"/>
    <cellStyle name="20% - 强调文字颜色 1 2 6 4" xfId="174"/>
    <cellStyle name="20% - 强调文字颜色 1 2 7" xfId="175"/>
    <cellStyle name="20% - 强调文字颜色 1 2 7 2" xfId="176"/>
    <cellStyle name="20% - 强调文字颜色 1 2 7 3" xfId="177"/>
    <cellStyle name="20% - 强调文字颜色 1 2 7 4" xfId="178"/>
    <cellStyle name="20% - 强调文字颜色 1 2 8" xfId="179"/>
    <cellStyle name="20% - 强调文字颜色 1 2 8 2" xfId="180"/>
    <cellStyle name="20% - 强调文字颜色 1 2 8 3" xfId="181"/>
    <cellStyle name="20% - 强调文字颜色 1 2 8 4" xfId="182"/>
    <cellStyle name="20% - 强调文字颜色 1 2 9" xfId="183"/>
    <cellStyle name="20% - 强调文字颜色 1 3" xfId="184"/>
    <cellStyle name="20% - 强调文字颜色 1 3 2" xfId="185"/>
    <cellStyle name="20% - 强调文字颜色 1 4" xfId="186"/>
    <cellStyle name="20% - 强调文字颜色 1 4 2" xfId="187"/>
    <cellStyle name="20% - 强调文字颜色 1 5" xfId="188"/>
    <cellStyle name="20% - 强调文字颜色 1 5 2" xfId="189"/>
    <cellStyle name="20% - 强调文字颜色 1 6" xfId="190"/>
    <cellStyle name="20% - 强调文字颜色 1 6 2" xfId="191"/>
    <cellStyle name="20% - 强调文字颜色 1 7" xfId="192"/>
    <cellStyle name="20% - 强调文字颜色 1 7 2" xfId="193"/>
    <cellStyle name="20% - 强调文字颜色 1 8" xfId="194"/>
    <cellStyle name="20% - 强调文字颜色 1 8 2" xfId="195"/>
    <cellStyle name="20% - 强调文字颜色 1 9" xfId="196"/>
    <cellStyle name="20% - 强调文字颜色 1 9 2" xfId="197"/>
    <cellStyle name="20% - 强调文字颜色 2 10" xfId="198"/>
    <cellStyle name="20% - 强调文字颜色 2 10 2" xfId="199"/>
    <cellStyle name="20% - 强调文字颜色 2 11" xfId="200"/>
    <cellStyle name="20% - 强调文字颜色 2 11 2" xfId="201"/>
    <cellStyle name="20% - 强调文字颜色 2 12" xfId="202"/>
    <cellStyle name="20% - 强调文字颜色 2 2" xfId="203"/>
    <cellStyle name="20% - 强调文字颜色 2 2 10" xfId="204"/>
    <cellStyle name="20% - 强调文字颜色 2 2 2" xfId="205"/>
    <cellStyle name="20% - 强调文字颜色 2 2 2 2" xfId="206"/>
    <cellStyle name="20% - 强调文字颜色 2 2 2 2 2" xfId="207"/>
    <cellStyle name="20% - 强调文字颜色 2 2 2 2 3" xfId="208"/>
    <cellStyle name="20% - 强调文字颜色 2 2 2 2 4" xfId="209"/>
    <cellStyle name="20% - 强调文字颜色 2 2 2 3" xfId="210"/>
    <cellStyle name="20% - 强调文字颜色 2 2 2 4" xfId="211"/>
    <cellStyle name="20% - 强调文字颜色 2 2 2 5" xfId="212"/>
    <cellStyle name="20% - 强调文字颜色 2 2 2_样本-每月费用" xfId="213"/>
    <cellStyle name="20% - 强调文字颜色 2 2 3" xfId="214"/>
    <cellStyle name="20% - 强调文字颜色 2 2 3 2" xfId="215"/>
    <cellStyle name="20% - 强调文字颜色 2 2 3 3" xfId="216"/>
    <cellStyle name="20% - 强调文字颜色 2 2 3 4" xfId="217"/>
    <cellStyle name="20% - 强调文字颜色 2 2 4" xfId="218"/>
    <cellStyle name="20% - 强调文字颜色 2 2 4 2" xfId="219"/>
    <cellStyle name="20% - 强调文字颜色 2 2 4 3" xfId="220"/>
    <cellStyle name="20% - 强调文字颜色 2 2 4 4" xfId="221"/>
    <cellStyle name="20% - 强调文字颜色 2 2 5" xfId="222"/>
    <cellStyle name="20% - 强调文字颜色 2 2 5 2" xfId="223"/>
    <cellStyle name="20% - 强调文字颜色 2 2 5 3" xfId="224"/>
    <cellStyle name="20% - 强调文字颜色 2 2 5 4" xfId="225"/>
    <cellStyle name="20% - 强调文字颜色 2 2 6" xfId="226"/>
    <cellStyle name="20% - 强调文字颜色 2 2 6 2" xfId="227"/>
    <cellStyle name="20% - 强调文字颜色 2 2 6 3" xfId="228"/>
    <cellStyle name="20% - 强调文字颜色 2 2 6 4" xfId="229"/>
    <cellStyle name="20% - 强调文字颜色 2 2 7" xfId="230"/>
    <cellStyle name="20% - 强调文字颜色 2 2 7 2" xfId="231"/>
    <cellStyle name="20% - 强调文字颜色 2 2 7 3" xfId="232"/>
    <cellStyle name="20% - 强调文字颜色 2 2 7 4" xfId="233"/>
    <cellStyle name="20% - 强调文字颜色 2 2 8" xfId="234"/>
    <cellStyle name="20% - 强调文字颜色 2 2 8 2" xfId="235"/>
    <cellStyle name="20% - 强调文字颜色 2 2 8 3" xfId="236"/>
    <cellStyle name="20% - 强调文字颜色 2 2 8 4" xfId="237"/>
    <cellStyle name="20% - 强调文字颜色 2 2 9" xfId="238"/>
    <cellStyle name="20% - 强调文字颜色 2 3" xfId="239"/>
    <cellStyle name="20% - 强调文字颜色 2 3 2" xfId="240"/>
    <cellStyle name="20% - 强调文字颜色 2 4" xfId="241"/>
    <cellStyle name="20% - 强调文字颜色 2 4 2" xfId="242"/>
    <cellStyle name="20% - 强调文字颜色 2 5" xfId="243"/>
    <cellStyle name="20% - 强调文字颜色 2 5 2" xfId="244"/>
    <cellStyle name="20% - 强调文字颜色 2 6" xfId="245"/>
    <cellStyle name="20% - 强调文字颜色 2 6 2" xfId="246"/>
    <cellStyle name="20% - 强调文字颜色 2 7" xfId="247"/>
    <cellStyle name="20% - 强调文字颜色 2 7 2" xfId="248"/>
    <cellStyle name="20% - 强调文字颜色 2 8" xfId="249"/>
    <cellStyle name="20% - 强调文字颜色 2 8 2" xfId="250"/>
    <cellStyle name="20% - 强调文字颜色 2 9" xfId="251"/>
    <cellStyle name="20% - 强调文字颜色 2 9 2" xfId="252"/>
    <cellStyle name="20% - 强调文字颜色 3 10" xfId="253"/>
    <cellStyle name="20% - 强调文字颜色 3 10 2" xfId="254"/>
    <cellStyle name="20% - 强调文字颜色 3 11" xfId="255"/>
    <cellStyle name="20% - 强调文字颜色 3 11 2" xfId="256"/>
    <cellStyle name="20% - 强调文字颜色 3 12" xfId="257"/>
    <cellStyle name="20% - 强调文字颜色 3 2" xfId="258"/>
    <cellStyle name="20% - 强调文字颜色 3 2 10" xfId="259"/>
    <cellStyle name="20% - 强调文字颜色 3 2 2" xfId="260"/>
    <cellStyle name="20% - 强调文字颜色 3 2 2 2" xfId="261"/>
    <cellStyle name="20% - 强调文字颜色 3 2 2 2 2" xfId="262"/>
    <cellStyle name="20% - 强调文字颜色 3 2 2 2 3" xfId="263"/>
    <cellStyle name="20% - 强调文字颜色 3 2 2 2 4" xfId="264"/>
    <cellStyle name="20% - 强调文字颜色 3 2 2 3" xfId="265"/>
    <cellStyle name="20% - 强调文字颜色 3 2 2 4" xfId="266"/>
    <cellStyle name="20% - 强调文字颜色 3 2 2 5" xfId="267"/>
    <cellStyle name="20% - 强调文字颜色 3 2 2_样本-每月费用" xfId="268"/>
    <cellStyle name="20% - 强调文字颜色 3 2 3" xfId="269"/>
    <cellStyle name="20% - 强调文字颜色 3 2 3 2" xfId="270"/>
    <cellStyle name="20% - 强调文字颜色 3 2 3 3" xfId="271"/>
    <cellStyle name="20% - 强调文字颜色 3 2 3 4" xfId="272"/>
    <cellStyle name="20% - 强调文字颜色 3 2 4" xfId="273"/>
    <cellStyle name="20% - 强调文字颜色 3 2 4 2" xfId="274"/>
    <cellStyle name="20% - 强调文字颜色 3 2 4 3" xfId="275"/>
    <cellStyle name="20% - 强调文字颜色 3 2 4 4" xfId="276"/>
    <cellStyle name="20% - 强调文字颜色 3 2 5" xfId="277"/>
    <cellStyle name="20% - 强调文字颜色 3 2 5 2" xfId="278"/>
    <cellStyle name="20% - 强调文字颜色 3 2 5 3" xfId="279"/>
    <cellStyle name="20% - 强调文字颜色 3 2 5 4" xfId="280"/>
    <cellStyle name="20% - 强调文字颜色 3 2 6" xfId="281"/>
    <cellStyle name="20% - 强调文字颜色 3 2 6 2" xfId="282"/>
    <cellStyle name="20% - 强调文字颜色 3 2 6 3" xfId="283"/>
    <cellStyle name="20% - 强调文字颜色 3 2 6 4" xfId="284"/>
    <cellStyle name="20% - 强调文字颜色 3 2 7" xfId="285"/>
    <cellStyle name="20% - 强调文字颜色 3 2 7 2" xfId="286"/>
    <cellStyle name="20% - 强调文字颜色 3 2 7 3" xfId="287"/>
    <cellStyle name="20% - 强调文字颜色 3 2 7 4" xfId="288"/>
    <cellStyle name="20% - 强调文字颜色 3 2 8" xfId="289"/>
    <cellStyle name="20% - 强调文字颜色 3 2 8 2" xfId="290"/>
    <cellStyle name="20% - 强调文字颜色 3 2 8 3" xfId="291"/>
    <cellStyle name="20% - 强调文字颜色 3 2 8 4" xfId="292"/>
    <cellStyle name="20% - 强调文字颜色 3 2 9" xfId="293"/>
    <cellStyle name="20% - 强调文字颜色 3 3" xfId="294"/>
    <cellStyle name="20% - 强调文字颜色 3 3 2" xfId="295"/>
    <cellStyle name="20% - 强调文字颜色 3 4" xfId="296"/>
    <cellStyle name="20% - 强调文字颜色 3 4 2" xfId="297"/>
    <cellStyle name="20% - 强调文字颜色 3 5" xfId="298"/>
    <cellStyle name="20% - 强调文字颜色 3 5 2" xfId="299"/>
    <cellStyle name="20% - 强调文字颜色 3 6" xfId="300"/>
    <cellStyle name="20% - 强调文字颜色 3 6 2" xfId="301"/>
    <cellStyle name="20% - 强调文字颜色 3 7" xfId="302"/>
    <cellStyle name="20% - 强调文字颜色 3 7 2" xfId="303"/>
    <cellStyle name="20% - 强调文字颜色 3 8" xfId="304"/>
    <cellStyle name="20% - 强调文字颜色 3 8 2" xfId="305"/>
    <cellStyle name="20% - 强调文字颜色 3 9" xfId="306"/>
    <cellStyle name="20% - 强调文字颜色 3 9 2" xfId="307"/>
    <cellStyle name="20% - 强调文字颜色 4 10" xfId="308"/>
    <cellStyle name="20% - 强调文字颜色 4 10 2" xfId="309"/>
    <cellStyle name="20% - 强调文字颜色 4 11" xfId="310"/>
    <cellStyle name="20% - 强调文字颜色 4 11 2" xfId="311"/>
    <cellStyle name="20% - 强调文字颜色 4 12" xfId="312"/>
    <cellStyle name="20% - 强调文字颜色 4 2" xfId="313"/>
    <cellStyle name="20% - 强调文字颜色 4 2 10" xfId="314"/>
    <cellStyle name="20% - 强调文字颜色 4 2 2" xfId="315"/>
    <cellStyle name="20% - 强调文字颜色 4 2 2 2" xfId="316"/>
    <cellStyle name="20% - 强调文字颜色 4 2 2 2 2" xfId="317"/>
    <cellStyle name="20% - 强调文字颜色 4 2 2 2 3" xfId="318"/>
    <cellStyle name="20% - 强调文字颜色 4 2 2 2 4" xfId="319"/>
    <cellStyle name="20% - 强调文字颜色 4 2 2 3" xfId="320"/>
    <cellStyle name="20% - 强调文字颜色 4 2 2 4" xfId="321"/>
    <cellStyle name="20% - 强调文字颜色 4 2 2 5" xfId="322"/>
    <cellStyle name="20% - 强调文字颜色 4 2 2_样本-每月费用" xfId="323"/>
    <cellStyle name="20% - 强调文字颜色 4 2 3" xfId="324"/>
    <cellStyle name="20% - 强调文字颜色 4 2 3 2" xfId="325"/>
    <cellStyle name="20% - 强调文字颜色 4 2 3 3" xfId="326"/>
    <cellStyle name="20% - 强调文字颜色 4 2 3 4" xfId="327"/>
    <cellStyle name="20% - 强调文字颜色 4 2 4" xfId="328"/>
    <cellStyle name="20% - 强调文字颜色 4 2 4 2" xfId="329"/>
    <cellStyle name="20% - 强调文字颜色 4 2 4 3" xfId="330"/>
    <cellStyle name="20% - 强调文字颜色 4 2 4 4" xfId="331"/>
    <cellStyle name="20% - 强调文字颜色 4 2 5" xfId="332"/>
    <cellStyle name="20% - 强调文字颜色 4 2 5 2" xfId="333"/>
    <cellStyle name="20% - 强调文字颜色 4 2 5 3" xfId="334"/>
    <cellStyle name="20% - 强调文字颜色 4 2 5 4" xfId="335"/>
    <cellStyle name="20% - 强调文字颜色 4 2 6" xfId="336"/>
    <cellStyle name="20% - 强调文字颜色 4 2 6 2" xfId="337"/>
    <cellStyle name="20% - 强调文字颜色 4 2 6 3" xfId="338"/>
    <cellStyle name="20% - 强调文字颜色 4 2 6 4" xfId="339"/>
    <cellStyle name="20% - 强调文字颜色 4 2 7" xfId="340"/>
    <cellStyle name="20% - 强调文字颜色 4 2 7 2" xfId="341"/>
    <cellStyle name="20% - 强调文字颜色 4 2 7 3" xfId="342"/>
    <cellStyle name="20% - 强调文字颜色 4 2 7 4" xfId="343"/>
    <cellStyle name="20% - 强调文字颜色 4 2 8" xfId="344"/>
    <cellStyle name="20% - 强调文字颜色 4 2 8 2" xfId="345"/>
    <cellStyle name="20% - 强调文字颜色 4 2 8 3" xfId="346"/>
    <cellStyle name="20% - 强调文字颜色 4 2 8 4" xfId="347"/>
    <cellStyle name="20% - 强调文字颜色 4 2 9" xfId="348"/>
    <cellStyle name="20% - 强调文字颜色 4 3" xfId="349"/>
    <cellStyle name="20% - 强调文字颜色 4 3 2" xfId="350"/>
    <cellStyle name="20% - 强调文字颜色 4 4" xfId="351"/>
    <cellStyle name="20% - 强调文字颜色 4 4 2" xfId="352"/>
    <cellStyle name="20% - 强调文字颜色 4 5" xfId="353"/>
    <cellStyle name="20% - 强调文字颜色 4 5 2" xfId="354"/>
    <cellStyle name="20% - 强调文字颜色 4 6" xfId="355"/>
    <cellStyle name="20% - 强调文字颜色 4 6 2" xfId="356"/>
    <cellStyle name="20% - 强调文字颜色 4 7" xfId="357"/>
    <cellStyle name="20% - 强调文字颜色 4 7 2" xfId="358"/>
    <cellStyle name="20% - 强调文字颜色 4 8" xfId="359"/>
    <cellStyle name="20% - 强调文字颜色 4 8 2" xfId="360"/>
    <cellStyle name="20% - 强调文字颜色 4 9" xfId="361"/>
    <cellStyle name="20% - 强调文字颜色 4 9 2" xfId="362"/>
    <cellStyle name="20% - 强调文字颜色 5 10" xfId="363"/>
    <cellStyle name="20% - 强调文字颜色 5 10 2" xfId="364"/>
    <cellStyle name="20% - 强调文字颜色 5 11" xfId="365"/>
    <cellStyle name="20% - 强调文字颜色 5 11 2" xfId="366"/>
    <cellStyle name="20% - 强调文字颜色 5 12" xfId="367"/>
    <cellStyle name="20% - 强调文字颜色 5 2" xfId="368"/>
    <cellStyle name="20% - 强调文字颜色 5 2 10" xfId="369"/>
    <cellStyle name="20% - 强调文字颜色 5 2 2" xfId="370"/>
    <cellStyle name="20% - 强调文字颜色 5 2 2 2" xfId="371"/>
    <cellStyle name="20% - 强调文字颜色 5 2 2 2 2" xfId="372"/>
    <cellStyle name="20% - 强调文字颜色 5 2 2 2 3" xfId="373"/>
    <cellStyle name="20% - 强调文字颜色 5 2 2 2 4" xfId="374"/>
    <cellStyle name="20% - 强调文字颜色 5 2 2 3" xfId="375"/>
    <cellStyle name="20% - 强调文字颜色 5 2 2 4" xfId="376"/>
    <cellStyle name="20% - 强调文字颜色 5 2 2 5" xfId="377"/>
    <cellStyle name="20% - 强调文字颜色 5 2 2_样本-每月费用" xfId="378"/>
    <cellStyle name="20% - 强调文字颜色 5 2 3" xfId="379"/>
    <cellStyle name="20% - 强调文字颜色 5 2 3 2" xfId="380"/>
    <cellStyle name="20% - 强调文字颜色 5 2 3 3" xfId="381"/>
    <cellStyle name="20% - 强调文字颜色 5 2 3 4" xfId="382"/>
    <cellStyle name="20% - 强调文字颜色 5 2 4" xfId="383"/>
    <cellStyle name="20% - 强调文字颜色 5 2 4 2" xfId="384"/>
    <cellStyle name="20% - 强调文字颜色 5 2 4 3" xfId="385"/>
    <cellStyle name="20% - 强调文字颜色 5 2 4 4" xfId="386"/>
    <cellStyle name="20% - 强调文字颜色 5 2 5" xfId="387"/>
    <cellStyle name="20% - 强调文字颜色 5 2 5 2" xfId="388"/>
    <cellStyle name="20% - 强调文字颜色 5 2 5 3" xfId="389"/>
    <cellStyle name="20% - 强调文字颜色 5 2 5 4" xfId="390"/>
    <cellStyle name="20% - 强调文字颜色 5 2 6" xfId="391"/>
    <cellStyle name="20% - 强调文字颜色 5 2 6 2" xfId="392"/>
    <cellStyle name="20% - 强调文字颜色 5 2 6 3" xfId="393"/>
    <cellStyle name="20% - 强调文字颜色 5 2 6 4" xfId="394"/>
    <cellStyle name="20% - 强调文字颜色 5 2 7" xfId="395"/>
    <cellStyle name="20% - 强调文字颜色 5 2 7 2" xfId="396"/>
    <cellStyle name="20% - 强调文字颜色 5 2 7 3" xfId="397"/>
    <cellStyle name="20% - 强调文字颜色 5 2 7 4" xfId="398"/>
    <cellStyle name="20% - 强调文字颜色 5 2 8" xfId="399"/>
    <cellStyle name="20% - 强调文字颜色 5 2 8 2" xfId="400"/>
    <cellStyle name="20% - 强调文字颜色 5 2 8 3" xfId="401"/>
    <cellStyle name="20% - 强调文字颜色 5 2 8 4" xfId="402"/>
    <cellStyle name="20% - 强调文字颜色 5 2 9" xfId="403"/>
    <cellStyle name="20% - 强调文字颜色 5 3" xfId="404"/>
    <cellStyle name="20% - 强调文字颜色 5 3 2" xfId="405"/>
    <cellStyle name="20% - 强调文字颜色 5 4" xfId="406"/>
    <cellStyle name="20% - 强调文字颜色 5 4 2" xfId="407"/>
    <cellStyle name="20% - 强调文字颜色 5 5" xfId="408"/>
    <cellStyle name="20% - 强调文字颜色 5 5 2" xfId="409"/>
    <cellStyle name="20% - 强调文字颜色 5 6" xfId="410"/>
    <cellStyle name="20% - 强调文字颜色 5 6 2" xfId="411"/>
    <cellStyle name="20% - 强调文字颜色 5 7" xfId="412"/>
    <cellStyle name="20% - 强调文字颜色 5 7 2" xfId="413"/>
    <cellStyle name="20% - 强调文字颜色 5 8" xfId="414"/>
    <cellStyle name="20% - 强调文字颜色 5 8 2" xfId="415"/>
    <cellStyle name="20% - 强调文字颜色 5 9" xfId="416"/>
    <cellStyle name="20% - 强调文字颜色 5 9 2" xfId="417"/>
    <cellStyle name="20% - 强调文字颜色 6 10" xfId="418"/>
    <cellStyle name="20% - 强调文字颜色 6 10 2" xfId="419"/>
    <cellStyle name="20% - 强调文字颜色 6 11" xfId="420"/>
    <cellStyle name="20% - 强调文字颜色 6 11 2" xfId="421"/>
    <cellStyle name="20% - 强调文字颜色 6 12" xfId="422"/>
    <cellStyle name="20% - 强调文字颜色 6 2" xfId="423"/>
    <cellStyle name="20% - 强调文字颜色 6 2 10" xfId="424"/>
    <cellStyle name="20% - 强调文字颜色 6 2 2" xfId="425"/>
    <cellStyle name="20% - 强调文字颜色 6 2 2 2" xfId="426"/>
    <cellStyle name="20% - 强调文字颜色 6 2 2 2 2" xfId="427"/>
    <cellStyle name="20% - 强调文字颜色 6 2 2 2 3" xfId="428"/>
    <cellStyle name="20% - 强调文字颜色 6 2 2 2 4" xfId="429"/>
    <cellStyle name="20% - 强调文字颜色 6 2 2 3" xfId="430"/>
    <cellStyle name="20% - 强调文字颜色 6 2 2 4" xfId="431"/>
    <cellStyle name="20% - 强调文字颜色 6 2 2 5" xfId="432"/>
    <cellStyle name="20% - 强调文字颜色 6 2 2_样本-每月费用" xfId="433"/>
    <cellStyle name="20% - 强调文字颜色 6 2 3" xfId="434"/>
    <cellStyle name="20% - 强调文字颜色 6 2 3 2" xfId="435"/>
    <cellStyle name="20% - 强调文字颜色 6 2 3 3" xfId="436"/>
    <cellStyle name="20% - 强调文字颜色 6 2 3 4" xfId="437"/>
    <cellStyle name="20% - 强调文字颜色 6 2 4" xfId="438"/>
    <cellStyle name="20% - 强调文字颜色 6 2 4 2" xfId="439"/>
    <cellStyle name="20% - 强调文字颜色 6 2 4 3" xfId="440"/>
    <cellStyle name="20% - 强调文字颜色 6 2 4 4" xfId="441"/>
    <cellStyle name="20% - 强调文字颜色 6 2 5" xfId="442"/>
    <cellStyle name="20% - 强调文字颜色 6 2 5 2" xfId="443"/>
    <cellStyle name="20% - 强调文字颜色 6 2 5 3" xfId="444"/>
    <cellStyle name="20% - 强调文字颜色 6 2 5 4" xfId="445"/>
    <cellStyle name="20% - 强调文字颜色 6 2 6" xfId="446"/>
    <cellStyle name="20% - 强调文字颜色 6 2 6 2" xfId="447"/>
    <cellStyle name="20% - 强调文字颜色 6 2 6 3" xfId="448"/>
    <cellStyle name="20% - 强调文字颜色 6 2 6 4" xfId="449"/>
    <cellStyle name="20% - 强调文字颜色 6 2 7" xfId="450"/>
    <cellStyle name="20% - 强调文字颜色 6 2 7 2" xfId="451"/>
    <cellStyle name="20% - 强调文字颜色 6 2 7 3" xfId="452"/>
    <cellStyle name="20% - 强调文字颜色 6 2 7 4" xfId="453"/>
    <cellStyle name="20% - 强调文字颜色 6 2 8" xfId="454"/>
    <cellStyle name="20% - 强调文字颜色 6 2 8 2" xfId="455"/>
    <cellStyle name="20% - 强调文字颜色 6 2 8 3" xfId="456"/>
    <cellStyle name="20% - 强调文字颜色 6 2 8 4" xfId="457"/>
    <cellStyle name="20% - 强调文字颜色 6 2 9" xfId="458"/>
    <cellStyle name="20% - 强调文字颜色 6 3" xfId="459"/>
    <cellStyle name="20% - 强调文字颜色 6 3 2" xfId="460"/>
    <cellStyle name="20% - 强调文字颜色 6 4" xfId="461"/>
    <cellStyle name="20% - 强调文字颜色 6 4 2" xfId="462"/>
    <cellStyle name="20% - 强调文字颜色 6 5" xfId="463"/>
    <cellStyle name="20% - 强调文字颜色 6 5 2" xfId="464"/>
    <cellStyle name="20% - 强调文字颜色 6 6" xfId="465"/>
    <cellStyle name="20% - 强调文字颜色 6 6 2" xfId="466"/>
    <cellStyle name="20% - 强调文字颜色 6 7" xfId="467"/>
    <cellStyle name="20% - 强调文字颜色 6 7 2" xfId="468"/>
    <cellStyle name="20% - 强调文字颜色 6 8" xfId="469"/>
    <cellStyle name="20% - 强调文字颜色 6 8 2" xfId="470"/>
    <cellStyle name="20% - 强调文字颜色 6 9" xfId="471"/>
    <cellStyle name="20% - 强调文字颜色 6 9 2" xfId="472"/>
    <cellStyle name="20% - 着色 1" xfId="473"/>
    <cellStyle name="20% - 着色 2" xfId="474"/>
    <cellStyle name="20% - 着色 3" xfId="475"/>
    <cellStyle name="20% - 着色 4" xfId="476"/>
    <cellStyle name="20% - 着色 5" xfId="477"/>
    <cellStyle name="20% - 着色 6" xfId="478"/>
    <cellStyle name="3232" xfId="479"/>
    <cellStyle name="3232 2" xfId="480"/>
    <cellStyle name="3232 2 2" xfId="481"/>
    <cellStyle name="3232 2 2 2" xfId="482"/>
    <cellStyle name="3232 2 3" xfId="483"/>
    <cellStyle name="3232 2 3 2" xfId="484"/>
    <cellStyle name="3232 2 4" xfId="485"/>
    <cellStyle name="3232 2 4 2" xfId="486"/>
    <cellStyle name="3232 2 5" xfId="487"/>
    <cellStyle name="3232 2 5 2" xfId="488"/>
    <cellStyle name="3232 2 6" xfId="489"/>
    <cellStyle name="3232 2 6 2" xfId="490"/>
    <cellStyle name="3232 2 7" xfId="491"/>
    <cellStyle name="3232 3" xfId="492"/>
    <cellStyle name="3232 3 2" xfId="493"/>
    <cellStyle name="3232 4" xfId="494"/>
    <cellStyle name="3232 5" xfId="495"/>
    <cellStyle name="3232 6" xfId="496"/>
    <cellStyle name="3232 7" xfId="497"/>
    <cellStyle name="3232_6期B2-1最新测算1.16" xfId="498"/>
    <cellStyle name="33" xfId="499"/>
    <cellStyle name="40% - Accent1" xfId="500"/>
    <cellStyle name="40% - Accent2" xfId="501"/>
    <cellStyle name="40% - Accent3" xfId="502"/>
    <cellStyle name="40% - Accent4" xfId="503"/>
    <cellStyle name="40% - Accent5" xfId="504"/>
    <cellStyle name="40% - Accent6" xfId="505"/>
    <cellStyle name="40% - 强调文字颜色 1 10" xfId="506"/>
    <cellStyle name="40% - 强调文字颜色 1 10 2" xfId="507"/>
    <cellStyle name="40% - 强调文字颜色 1 11" xfId="508"/>
    <cellStyle name="40% - 强调文字颜色 1 11 2" xfId="509"/>
    <cellStyle name="40% - 强调文字颜色 1 12" xfId="510"/>
    <cellStyle name="40% - 强调文字颜色 1 2" xfId="511"/>
    <cellStyle name="40% - 强调文字颜色 1 2 10" xfId="512"/>
    <cellStyle name="40% - 强调文字颜色 1 2 2" xfId="513"/>
    <cellStyle name="40% - 强调文字颜色 1 2 2 2" xfId="514"/>
    <cellStyle name="40% - 强调文字颜色 1 2 2 2 2" xfId="515"/>
    <cellStyle name="40% - 强调文字颜色 1 2 2 2 3" xfId="516"/>
    <cellStyle name="40% - 强调文字颜色 1 2 2 2 4" xfId="517"/>
    <cellStyle name="40% - 强调文字颜色 1 2 2 3" xfId="518"/>
    <cellStyle name="40% - 强调文字颜色 1 2 2 4" xfId="519"/>
    <cellStyle name="40% - 强调文字颜色 1 2 2 5" xfId="520"/>
    <cellStyle name="40% - 强调文字颜色 1 2 2_样本-每月费用" xfId="521"/>
    <cellStyle name="40% - 强调文字颜色 1 2 3" xfId="522"/>
    <cellStyle name="40% - 强调文字颜色 1 2 3 2" xfId="523"/>
    <cellStyle name="40% - 强调文字颜色 1 2 3 3" xfId="524"/>
    <cellStyle name="40% - 强调文字颜色 1 2 3 4" xfId="525"/>
    <cellStyle name="40% - 强调文字颜色 1 2 4" xfId="526"/>
    <cellStyle name="40% - 强调文字颜色 1 2 4 2" xfId="527"/>
    <cellStyle name="40% - 强调文字颜色 1 2 4 3" xfId="528"/>
    <cellStyle name="40% - 强调文字颜色 1 2 4 4" xfId="529"/>
    <cellStyle name="40% - 强调文字颜色 1 2 5" xfId="530"/>
    <cellStyle name="40% - 强调文字颜色 1 2 5 2" xfId="531"/>
    <cellStyle name="40% - 强调文字颜色 1 2 5 3" xfId="532"/>
    <cellStyle name="40% - 强调文字颜色 1 2 5 4" xfId="533"/>
    <cellStyle name="40% - 强调文字颜色 1 2 6" xfId="534"/>
    <cellStyle name="40% - 强调文字颜色 1 2 6 2" xfId="535"/>
    <cellStyle name="40% - 强调文字颜色 1 2 6 3" xfId="536"/>
    <cellStyle name="40% - 强调文字颜色 1 2 6 4" xfId="537"/>
    <cellStyle name="40% - 强调文字颜色 1 2 7" xfId="538"/>
    <cellStyle name="40% - 强调文字颜色 1 2 7 2" xfId="539"/>
    <cellStyle name="40% - 强调文字颜色 1 2 7 3" xfId="540"/>
    <cellStyle name="40% - 强调文字颜色 1 2 7 4" xfId="541"/>
    <cellStyle name="40% - 强调文字颜色 1 2 8" xfId="542"/>
    <cellStyle name="40% - 强调文字颜色 1 2 8 2" xfId="543"/>
    <cellStyle name="40% - 强调文字颜色 1 2 8 3" xfId="544"/>
    <cellStyle name="40% - 强调文字颜色 1 2 8 4" xfId="545"/>
    <cellStyle name="40% - 强调文字颜色 1 2 9" xfId="546"/>
    <cellStyle name="40% - 强调文字颜色 1 3" xfId="547"/>
    <cellStyle name="40% - 强调文字颜色 1 3 2" xfId="548"/>
    <cellStyle name="40% - 强调文字颜色 1 4" xfId="549"/>
    <cellStyle name="40% - 强调文字颜色 1 4 2" xfId="550"/>
    <cellStyle name="40% - 强调文字颜色 1 5" xfId="551"/>
    <cellStyle name="40% - 强调文字颜色 1 5 2" xfId="552"/>
    <cellStyle name="40% - 强调文字颜色 1 6" xfId="553"/>
    <cellStyle name="40% - 强调文字颜色 1 6 2" xfId="554"/>
    <cellStyle name="40% - 强调文字颜色 1 7" xfId="555"/>
    <cellStyle name="40% - 强调文字颜色 1 7 2" xfId="556"/>
    <cellStyle name="40% - 强调文字颜色 1 8" xfId="557"/>
    <cellStyle name="40% - 强调文字颜色 1 8 2" xfId="558"/>
    <cellStyle name="40% - 强调文字颜色 1 9" xfId="559"/>
    <cellStyle name="40% - 强调文字颜色 1 9 2" xfId="560"/>
    <cellStyle name="40% - 强调文字颜色 2 10" xfId="561"/>
    <cellStyle name="40% - 强调文字颜色 2 10 2" xfId="562"/>
    <cellStyle name="40% - 强调文字颜色 2 11" xfId="563"/>
    <cellStyle name="40% - 强调文字颜色 2 11 2" xfId="564"/>
    <cellStyle name="40% - 强调文字颜色 2 12" xfId="565"/>
    <cellStyle name="40% - 强调文字颜色 2 2" xfId="566"/>
    <cellStyle name="40% - 强调文字颜色 2 2 10" xfId="567"/>
    <cellStyle name="40% - 强调文字颜色 2 2 2" xfId="568"/>
    <cellStyle name="40% - 强调文字颜色 2 2 2 2" xfId="569"/>
    <cellStyle name="40% - 强调文字颜色 2 2 2 2 2" xfId="570"/>
    <cellStyle name="40% - 强调文字颜色 2 2 2 2 3" xfId="571"/>
    <cellStyle name="40% - 强调文字颜色 2 2 2 2 4" xfId="572"/>
    <cellStyle name="40% - 强调文字颜色 2 2 2 3" xfId="573"/>
    <cellStyle name="40% - 强调文字颜色 2 2 2 4" xfId="574"/>
    <cellStyle name="40% - 强调文字颜色 2 2 2 5" xfId="575"/>
    <cellStyle name="40% - 强调文字颜色 2 2 2_样本-每月费用" xfId="576"/>
    <cellStyle name="40% - 强调文字颜色 2 2 3" xfId="577"/>
    <cellStyle name="40% - 强调文字颜色 2 2 3 2" xfId="578"/>
    <cellStyle name="40% - 强调文字颜色 2 2 3 3" xfId="579"/>
    <cellStyle name="40% - 强调文字颜色 2 2 3 4" xfId="580"/>
    <cellStyle name="40% - 强调文字颜色 2 2 4" xfId="581"/>
    <cellStyle name="40% - 强调文字颜色 2 2 4 2" xfId="582"/>
    <cellStyle name="40% - 强调文字颜色 2 2 4 3" xfId="583"/>
    <cellStyle name="40% - 强调文字颜色 2 2 4 4" xfId="584"/>
    <cellStyle name="40% - 强调文字颜色 2 2 5" xfId="585"/>
    <cellStyle name="40% - 强调文字颜色 2 2 5 2" xfId="586"/>
    <cellStyle name="40% - 强调文字颜色 2 2 5 3" xfId="587"/>
    <cellStyle name="40% - 强调文字颜色 2 2 5 4" xfId="588"/>
    <cellStyle name="40% - 强调文字颜色 2 2 6" xfId="589"/>
    <cellStyle name="40% - 强调文字颜色 2 2 6 2" xfId="590"/>
    <cellStyle name="40% - 强调文字颜色 2 2 6 3" xfId="591"/>
    <cellStyle name="40% - 强调文字颜色 2 2 6 4" xfId="592"/>
    <cellStyle name="40% - 强调文字颜色 2 2 7" xfId="593"/>
    <cellStyle name="40% - 强调文字颜色 2 2 7 2" xfId="594"/>
    <cellStyle name="40% - 强调文字颜色 2 2 7 3" xfId="595"/>
    <cellStyle name="40% - 强调文字颜色 2 2 7 4" xfId="596"/>
    <cellStyle name="40% - 强调文字颜色 2 2 8" xfId="597"/>
    <cellStyle name="40% - 强调文字颜色 2 2 8 2" xfId="598"/>
    <cellStyle name="40% - 强调文字颜色 2 2 8 3" xfId="599"/>
    <cellStyle name="40% - 强调文字颜色 2 2 8 4" xfId="600"/>
    <cellStyle name="40% - 强调文字颜色 2 2 9" xfId="601"/>
    <cellStyle name="40% - 强调文字颜色 2 3" xfId="602"/>
    <cellStyle name="40% - 强调文字颜色 2 3 2" xfId="603"/>
    <cellStyle name="40% - 强调文字颜色 2 4" xfId="604"/>
    <cellStyle name="40% - 强调文字颜色 2 4 2" xfId="605"/>
    <cellStyle name="40% - 强调文字颜色 2 5" xfId="606"/>
    <cellStyle name="40% - 强调文字颜色 2 5 2" xfId="607"/>
    <cellStyle name="40% - 强调文字颜色 2 6" xfId="608"/>
    <cellStyle name="40% - 强调文字颜色 2 6 2" xfId="609"/>
    <cellStyle name="40% - 强调文字颜色 2 7" xfId="610"/>
    <cellStyle name="40% - 强调文字颜色 2 7 2" xfId="611"/>
    <cellStyle name="40% - 强调文字颜色 2 8" xfId="612"/>
    <cellStyle name="40% - 强调文字颜色 2 8 2" xfId="613"/>
    <cellStyle name="40% - 强调文字颜色 2 9" xfId="614"/>
    <cellStyle name="40% - 强调文字颜色 2 9 2" xfId="615"/>
    <cellStyle name="40% - 强调文字颜色 3 10" xfId="616"/>
    <cellStyle name="40% - 强调文字颜色 3 10 2" xfId="617"/>
    <cellStyle name="40% - 强调文字颜色 3 11" xfId="618"/>
    <cellStyle name="40% - 强调文字颜色 3 11 2" xfId="619"/>
    <cellStyle name="40% - 强调文字颜色 3 12" xfId="620"/>
    <cellStyle name="40% - 强调文字颜色 3 2" xfId="621"/>
    <cellStyle name="40% - 强调文字颜色 3 2 10" xfId="622"/>
    <cellStyle name="40% - 强调文字颜色 3 2 2" xfId="623"/>
    <cellStyle name="40% - 强调文字颜色 3 2 2 2" xfId="624"/>
    <cellStyle name="40% - 强调文字颜色 3 2 2 2 2" xfId="625"/>
    <cellStyle name="40% - 强调文字颜色 3 2 2 2 3" xfId="626"/>
    <cellStyle name="40% - 强调文字颜色 3 2 2 2 4" xfId="627"/>
    <cellStyle name="40% - 强调文字颜色 3 2 2 3" xfId="628"/>
    <cellStyle name="40% - 强调文字颜色 3 2 2 4" xfId="629"/>
    <cellStyle name="40% - 强调文字颜色 3 2 2 5" xfId="630"/>
    <cellStyle name="40% - 强调文字颜色 3 2 2_样本-每月费用" xfId="631"/>
    <cellStyle name="40% - 强调文字颜色 3 2 3" xfId="632"/>
    <cellStyle name="40% - 强调文字颜色 3 2 3 2" xfId="633"/>
    <cellStyle name="40% - 强调文字颜色 3 2 3 3" xfId="634"/>
    <cellStyle name="40% - 强调文字颜色 3 2 3 4" xfId="635"/>
    <cellStyle name="40% - 强调文字颜色 3 2 4" xfId="636"/>
    <cellStyle name="40% - 强调文字颜色 3 2 4 2" xfId="637"/>
    <cellStyle name="40% - 强调文字颜色 3 2 4 3" xfId="638"/>
    <cellStyle name="40% - 强调文字颜色 3 2 4 4" xfId="639"/>
    <cellStyle name="40% - 强调文字颜色 3 2 5" xfId="640"/>
    <cellStyle name="40% - 强调文字颜色 3 2 5 2" xfId="641"/>
    <cellStyle name="40% - 强调文字颜色 3 2 5 3" xfId="642"/>
    <cellStyle name="40% - 强调文字颜色 3 2 5 4" xfId="643"/>
    <cellStyle name="40% - 强调文字颜色 3 2 6" xfId="644"/>
    <cellStyle name="40% - 强调文字颜色 3 2 6 2" xfId="645"/>
    <cellStyle name="40% - 强调文字颜色 3 2 6 3" xfId="646"/>
    <cellStyle name="40% - 强调文字颜色 3 2 6 4" xfId="647"/>
    <cellStyle name="40% - 强调文字颜色 3 2 7" xfId="648"/>
    <cellStyle name="40% - 强调文字颜色 3 2 7 2" xfId="649"/>
    <cellStyle name="40% - 强调文字颜色 3 2 7 3" xfId="650"/>
    <cellStyle name="40% - 强调文字颜色 3 2 7 4" xfId="651"/>
    <cellStyle name="40% - 强调文字颜色 3 2 8" xfId="652"/>
    <cellStyle name="40% - 强调文字颜色 3 2 8 2" xfId="653"/>
    <cellStyle name="40% - 强调文字颜色 3 2 8 3" xfId="654"/>
    <cellStyle name="40% - 强调文字颜色 3 2 8 4" xfId="655"/>
    <cellStyle name="40% - 强调文字颜色 3 2 9" xfId="656"/>
    <cellStyle name="40% - 强调文字颜色 3 3" xfId="657"/>
    <cellStyle name="40% - 强调文字颜色 3 3 2" xfId="658"/>
    <cellStyle name="40% - 强调文字颜色 3 4" xfId="659"/>
    <cellStyle name="40% - 强调文字颜色 3 4 2" xfId="660"/>
    <cellStyle name="40% - 强调文字颜色 3 5" xfId="661"/>
    <cellStyle name="40% - 强调文字颜色 3 5 2" xfId="662"/>
    <cellStyle name="40% - 强调文字颜色 3 6" xfId="663"/>
    <cellStyle name="40% - 强调文字颜色 3 6 2" xfId="664"/>
    <cellStyle name="40% - 强调文字颜色 3 7" xfId="665"/>
    <cellStyle name="40% - 强调文字颜色 3 7 2" xfId="666"/>
    <cellStyle name="40% - 强调文字颜色 3 8" xfId="667"/>
    <cellStyle name="40% - 强调文字颜色 3 8 2" xfId="668"/>
    <cellStyle name="40% - 强调文字颜色 3 9" xfId="669"/>
    <cellStyle name="40% - 强调文字颜色 3 9 2" xfId="670"/>
    <cellStyle name="40% - 强调文字颜色 4 10" xfId="671"/>
    <cellStyle name="40% - 强调文字颜色 4 10 2" xfId="672"/>
    <cellStyle name="40% - 强调文字颜色 4 11" xfId="673"/>
    <cellStyle name="40% - 强调文字颜色 4 11 2" xfId="674"/>
    <cellStyle name="40% - 强调文字颜色 4 12" xfId="675"/>
    <cellStyle name="40% - 强调文字颜色 4 2" xfId="676"/>
    <cellStyle name="40% - 强调文字颜色 4 2 10" xfId="677"/>
    <cellStyle name="40% - 强调文字颜色 4 2 2" xfId="678"/>
    <cellStyle name="40% - 强调文字颜色 4 2 2 2" xfId="679"/>
    <cellStyle name="40% - 强调文字颜色 4 2 2 2 2" xfId="680"/>
    <cellStyle name="40% - 强调文字颜色 4 2 2 2 3" xfId="681"/>
    <cellStyle name="40% - 强调文字颜色 4 2 2 2 4" xfId="682"/>
    <cellStyle name="40% - 强调文字颜色 4 2 2 3" xfId="683"/>
    <cellStyle name="40% - 强调文字颜色 4 2 2 4" xfId="684"/>
    <cellStyle name="40% - 强调文字颜色 4 2 2 5" xfId="685"/>
    <cellStyle name="40% - 强调文字颜色 4 2 2_样本-每月费用" xfId="686"/>
    <cellStyle name="40% - 强调文字颜色 4 2 3" xfId="687"/>
    <cellStyle name="40% - 强调文字颜色 4 2 3 2" xfId="688"/>
    <cellStyle name="40% - 强调文字颜色 4 2 3 3" xfId="689"/>
    <cellStyle name="40% - 强调文字颜色 4 2 3 4" xfId="690"/>
    <cellStyle name="40% - 强调文字颜色 4 2 4" xfId="691"/>
    <cellStyle name="40% - 强调文字颜色 4 2 4 2" xfId="692"/>
    <cellStyle name="40% - 强调文字颜色 4 2 4 3" xfId="693"/>
    <cellStyle name="40% - 强调文字颜色 4 2 4 4" xfId="694"/>
    <cellStyle name="40% - 强调文字颜色 4 2 5" xfId="695"/>
    <cellStyle name="40% - 强调文字颜色 4 2 5 2" xfId="696"/>
    <cellStyle name="40% - 强调文字颜色 4 2 5 3" xfId="697"/>
    <cellStyle name="40% - 强调文字颜色 4 2 5 4" xfId="698"/>
    <cellStyle name="40% - 强调文字颜色 4 2 6" xfId="699"/>
    <cellStyle name="40% - 强调文字颜色 4 2 6 2" xfId="700"/>
    <cellStyle name="40% - 强调文字颜色 4 2 6 3" xfId="701"/>
    <cellStyle name="40% - 强调文字颜色 4 2 6 4" xfId="702"/>
    <cellStyle name="40% - 强调文字颜色 4 2 7" xfId="703"/>
    <cellStyle name="40% - 强调文字颜色 4 2 7 2" xfId="704"/>
    <cellStyle name="40% - 强调文字颜色 4 2 7 3" xfId="705"/>
    <cellStyle name="40% - 强调文字颜色 4 2 7 4" xfId="706"/>
    <cellStyle name="40% - 强调文字颜色 4 2 8" xfId="707"/>
    <cellStyle name="40% - 强调文字颜色 4 2 8 2" xfId="708"/>
    <cellStyle name="40% - 强调文字颜色 4 2 8 3" xfId="709"/>
    <cellStyle name="40% - 强调文字颜色 4 2 8 4" xfId="710"/>
    <cellStyle name="40% - 强调文字颜色 4 2 9" xfId="711"/>
    <cellStyle name="40% - 强调文字颜色 4 3" xfId="712"/>
    <cellStyle name="40% - 强调文字颜色 4 3 2" xfId="713"/>
    <cellStyle name="40% - 强调文字颜色 4 4" xfId="714"/>
    <cellStyle name="40% - 强调文字颜色 4 4 2" xfId="715"/>
    <cellStyle name="40% - 强调文字颜色 4 5" xfId="716"/>
    <cellStyle name="40% - 强调文字颜色 4 5 2" xfId="717"/>
    <cellStyle name="40% - 强调文字颜色 4 6" xfId="718"/>
    <cellStyle name="40% - 强调文字颜色 4 6 2" xfId="719"/>
    <cellStyle name="40% - 强调文字颜色 4 7" xfId="720"/>
    <cellStyle name="40% - 强调文字颜色 4 7 2" xfId="721"/>
    <cellStyle name="40% - 强调文字颜色 4 8" xfId="722"/>
    <cellStyle name="40% - 强调文字颜色 4 8 2" xfId="723"/>
    <cellStyle name="40% - 强调文字颜色 4 9" xfId="724"/>
    <cellStyle name="40% - 强调文字颜色 4 9 2" xfId="725"/>
    <cellStyle name="40% - 强调文字颜色 5 10" xfId="726"/>
    <cellStyle name="40% - 强调文字颜色 5 10 2" xfId="727"/>
    <cellStyle name="40% - 强调文字颜色 5 11" xfId="728"/>
    <cellStyle name="40% - 强调文字颜色 5 11 2" xfId="729"/>
    <cellStyle name="40% - 强调文字颜色 5 12" xfId="730"/>
    <cellStyle name="40% - 强调文字颜色 5 2" xfId="731"/>
    <cellStyle name="40% - 强调文字颜色 5 2 10" xfId="732"/>
    <cellStyle name="40% - 强调文字颜色 5 2 2" xfId="733"/>
    <cellStyle name="40% - 强调文字颜色 5 2 2 2" xfId="734"/>
    <cellStyle name="40% - 强调文字颜色 5 2 2 2 2" xfId="735"/>
    <cellStyle name="40% - 强调文字颜色 5 2 2 2 3" xfId="736"/>
    <cellStyle name="40% - 强调文字颜色 5 2 2 2 4" xfId="737"/>
    <cellStyle name="40% - 强调文字颜色 5 2 2 3" xfId="738"/>
    <cellStyle name="40% - 强调文字颜色 5 2 2 4" xfId="739"/>
    <cellStyle name="40% - 强调文字颜色 5 2 2 5" xfId="740"/>
    <cellStyle name="40% - 强调文字颜色 5 2 2_样本-每月费用" xfId="741"/>
    <cellStyle name="40% - 强调文字颜色 5 2 3" xfId="742"/>
    <cellStyle name="40% - 强调文字颜色 5 2 3 2" xfId="743"/>
    <cellStyle name="40% - 强调文字颜色 5 2 3 3" xfId="744"/>
    <cellStyle name="40% - 强调文字颜色 5 2 3 4" xfId="745"/>
    <cellStyle name="40% - 强调文字颜色 5 2 4" xfId="746"/>
    <cellStyle name="40% - 强调文字颜色 5 2 4 2" xfId="747"/>
    <cellStyle name="40% - 强调文字颜色 5 2 4 3" xfId="748"/>
    <cellStyle name="40% - 强调文字颜色 5 2 4 4" xfId="749"/>
    <cellStyle name="40% - 强调文字颜色 5 2 5" xfId="750"/>
    <cellStyle name="40% - 强调文字颜色 5 2 5 2" xfId="751"/>
    <cellStyle name="40% - 强调文字颜色 5 2 5 3" xfId="752"/>
    <cellStyle name="40% - 强调文字颜色 5 2 5 4" xfId="753"/>
    <cellStyle name="40% - 强调文字颜色 5 2 6" xfId="754"/>
    <cellStyle name="40% - 强调文字颜色 5 2 6 2" xfId="755"/>
    <cellStyle name="40% - 强调文字颜色 5 2 6 3" xfId="756"/>
    <cellStyle name="40% - 强调文字颜色 5 2 6 4" xfId="757"/>
    <cellStyle name="40% - 强调文字颜色 5 2 7" xfId="758"/>
    <cellStyle name="40% - 强调文字颜色 5 2 7 2" xfId="759"/>
    <cellStyle name="40% - 强调文字颜色 5 2 7 3" xfId="760"/>
    <cellStyle name="40% - 强调文字颜色 5 2 7 4" xfId="761"/>
    <cellStyle name="40% - 强调文字颜色 5 2 8" xfId="762"/>
    <cellStyle name="40% - 强调文字颜色 5 2 8 2" xfId="763"/>
    <cellStyle name="40% - 强调文字颜色 5 2 8 3" xfId="764"/>
    <cellStyle name="40% - 强调文字颜色 5 2 8 4" xfId="765"/>
    <cellStyle name="40% - 强调文字颜色 5 2 9" xfId="766"/>
    <cellStyle name="40% - 强调文字颜色 5 3" xfId="767"/>
    <cellStyle name="40% - 强调文字颜色 5 3 2" xfId="768"/>
    <cellStyle name="40% - 强调文字颜色 5 4" xfId="769"/>
    <cellStyle name="40% - 强调文字颜色 5 4 2" xfId="770"/>
    <cellStyle name="40% - 强调文字颜色 5 5" xfId="771"/>
    <cellStyle name="40% - 强调文字颜色 5 5 2" xfId="772"/>
    <cellStyle name="40% - 强调文字颜色 5 6" xfId="773"/>
    <cellStyle name="40% - 强调文字颜色 5 6 2" xfId="774"/>
    <cellStyle name="40% - 强调文字颜色 5 7" xfId="775"/>
    <cellStyle name="40% - 强调文字颜色 5 7 2" xfId="776"/>
    <cellStyle name="40% - 强调文字颜色 5 8" xfId="777"/>
    <cellStyle name="40% - 强调文字颜色 5 8 2" xfId="778"/>
    <cellStyle name="40% - 强调文字颜色 5 9" xfId="779"/>
    <cellStyle name="40% - 强调文字颜色 5 9 2" xfId="780"/>
    <cellStyle name="40% - 强调文字颜色 6 10" xfId="781"/>
    <cellStyle name="40% - 强调文字颜色 6 10 2" xfId="782"/>
    <cellStyle name="40% - 强调文字颜色 6 11" xfId="783"/>
    <cellStyle name="40% - 强调文字颜色 6 11 2" xfId="784"/>
    <cellStyle name="40% - 强调文字颜色 6 12" xfId="785"/>
    <cellStyle name="40% - 强调文字颜色 6 2" xfId="786"/>
    <cellStyle name="40% - 强调文字颜色 6 2 10" xfId="787"/>
    <cellStyle name="40% - 强调文字颜色 6 2 2" xfId="788"/>
    <cellStyle name="40% - 强调文字颜色 6 2 2 2" xfId="789"/>
    <cellStyle name="40% - 强调文字颜色 6 2 2 2 2" xfId="790"/>
    <cellStyle name="40% - 强调文字颜色 6 2 2 2 3" xfId="791"/>
    <cellStyle name="40% - 强调文字颜色 6 2 2 2 4" xfId="792"/>
    <cellStyle name="40% - 强调文字颜色 6 2 2 3" xfId="793"/>
    <cellStyle name="40% - 强调文字颜色 6 2 2 4" xfId="794"/>
    <cellStyle name="40% - 强调文字颜色 6 2 2 5" xfId="795"/>
    <cellStyle name="40% - 强调文字颜色 6 2 2_样本-每月费用" xfId="796"/>
    <cellStyle name="40% - 强调文字颜色 6 2 3" xfId="797"/>
    <cellStyle name="40% - 强调文字颜色 6 2 3 2" xfId="798"/>
    <cellStyle name="40% - 强调文字颜色 6 2 3 3" xfId="799"/>
    <cellStyle name="40% - 强调文字颜色 6 2 3 4" xfId="800"/>
    <cellStyle name="40% - 强调文字颜色 6 2 4" xfId="801"/>
    <cellStyle name="40% - 强调文字颜色 6 2 4 2" xfId="802"/>
    <cellStyle name="40% - 强调文字颜色 6 2 4 3" xfId="803"/>
    <cellStyle name="40% - 强调文字颜色 6 2 4 4" xfId="804"/>
    <cellStyle name="40% - 强调文字颜色 6 2 5" xfId="805"/>
    <cellStyle name="40% - 强调文字颜色 6 2 5 2" xfId="806"/>
    <cellStyle name="40% - 强调文字颜色 6 2 5 3" xfId="807"/>
    <cellStyle name="40% - 强调文字颜色 6 2 5 4" xfId="808"/>
    <cellStyle name="40% - 强调文字颜色 6 2 6" xfId="809"/>
    <cellStyle name="40% - 强调文字颜色 6 2 6 2" xfId="810"/>
    <cellStyle name="40% - 强调文字颜色 6 2 6 3" xfId="811"/>
    <cellStyle name="40% - 强调文字颜色 6 2 6 4" xfId="812"/>
    <cellStyle name="40% - 强调文字颜色 6 2 7" xfId="813"/>
    <cellStyle name="40% - 强调文字颜色 6 2 7 2" xfId="814"/>
    <cellStyle name="40% - 强调文字颜色 6 2 7 3" xfId="815"/>
    <cellStyle name="40% - 强调文字颜色 6 2 7 4" xfId="816"/>
    <cellStyle name="40% - 强调文字颜色 6 2 8" xfId="817"/>
    <cellStyle name="40% - 强调文字颜色 6 2 8 2" xfId="818"/>
    <cellStyle name="40% - 强调文字颜色 6 2 8 3" xfId="819"/>
    <cellStyle name="40% - 强调文字颜色 6 2 8 4" xfId="820"/>
    <cellStyle name="40% - 强调文字颜色 6 2 9" xfId="821"/>
    <cellStyle name="40% - 强调文字颜色 6 3" xfId="822"/>
    <cellStyle name="40% - 强调文字颜色 6 3 2" xfId="823"/>
    <cellStyle name="40% - 强调文字颜色 6 4" xfId="824"/>
    <cellStyle name="40% - 强调文字颜色 6 4 2" xfId="825"/>
    <cellStyle name="40% - 强调文字颜色 6 5" xfId="826"/>
    <cellStyle name="40% - 强调文字颜色 6 5 2" xfId="827"/>
    <cellStyle name="40% - 强调文字颜色 6 6" xfId="828"/>
    <cellStyle name="40% - 强调文字颜色 6 6 2" xfId="829"/>
    <cellStyle name="40% - 强调文字颜色 6 7" xfId="830"/>
    <cellStyle name="40% - 强调文字颜色 6 7 2" xfId="831"/>
    <cellStyle name="40% - 强调文字颜色 6 8" xfId="832"/>
    <cellStyle name="40% - 强调文字颜色 6 8 2" xfId="833"/>
    <cellStyle name="40% - 强调文字颜色 6 9" xfId="834"/>
    <cellStyle name="40% - 强调文字颜色 6 9 2" xfId="835"/>
    <cellStyle name="40% - 着色 1" xfId="836"/>
    <cellStyle name="40% - 着色 2" xfId="837"/>
    <cellStyle name="40% - 着色 3" xfId="838"/>
    <cellStyle name="40% - 着色 4" xfId="839"/>
    <cellStyle name="40% - 着色 5" xfId="840"/>
    <cellStyle name="40% - 着色 6" xfId="841"/>
    <cellStyle name="60% - Accent1" xfId="842"/>
    <cellStyle name="60% - Accent2" xfId="843"/>
    <cellStyle name="60% - Accent3" xfId="844"/>
    <cellStyle name="60% - Accent4" xfId="845"/>
    <cellStyle name="60% - Accent5" xfId="846"/>
    <cellStyle name="60% - Accent6" xfId="847"/>
    <cellStyle name="60% - 强调文字颜色 1 10" xfId="848"/>
    <cellStyle name="60% - 强调文字颜色 1 10 2" xfId="849"/>
    <cellStyle name="60% - 强调文字颜色 1 11" xfId="850"/>
    <cellStyle name="60% - 强调文字颜色 1 11 2" xfId="851"/>
    <cellStyle name="60% - 强调文字颜色 1 12" xfId="852"/>
    <cellStyle name="60% - 强调文字颜色 1 2" xfId="853"/>
    <cellStyle name="60% - 强调文字颜色 1 2 10" xfId="854"/>
    <cellStyle name="60% - 强调文字颜色 1 2 2" xfId="855"/>
    <cellStyle name="60% - 强调文字颜色 1 2 2 2" xfId="856"/>
    <cellStyle name="60% - 强调文字颜色 1 2 2 2 2" xfId="857"/>
    <cellStyle name="60% - 强调文字颜色 1 2 2 2 3" xfId="858"/>
    <cellStyle name="60% - 强调文字颜色 1 2 2 2 4" xfId="859"/>
    <cellStyle name="60% - 强调文字颜色 1 2 2 3" xfId="860"/>
    <cellStyle name="60% - 强调文字颜色 1 2 2 4" xfId="861"/>
    <cellStyle name="60% - 强调文字颜色 1 2 2 5" xfId="862"/>
    <cellStyle name="60% - 强调文字颜色 1 2 2_样本-每月费用" xfId="863"/>
    <cellStyle name="60% - 强调文字颜色 1 2 3" xfId="864"/>
    <cellStyle name="60% - 强调文字颜色 1 2 3 2" xfId="865"/>
    <cellStyle name="60% - 强调文字颜色 1 2 3 2 2" xfId="866"/>
    <cellStyle name="60% - 强调文字颜色 1 2 3 3" xfId="867"/>
    <cellStyle name="60% - 强调文字颜色 1 2 3 3 2" xfId="868"/>
    <cellStyle name="60% - 强调文字颜色 1 2 3 4" xfId="869"/>
    <cellStyle name="60% - 强调文字颜色 1 2 3 4 2" xfId="870"/>
    <cellStyle name="60% - 强调文字颜色 1 2 3 5" xfId="871"/>
    <cellStyle name="60% - 强调文字颜色 1 2 3 5 2" xfId="872"/>
    <cellStyle name="60% - 强调文字颜色 1 2 3 6" xfId="873"/>
    <cellStyle name="60% - 强调文字颜色 1 2 3 6 2" xfId="874"/>
    <cellStyle name="60% - 强调文字颜色 1 2 3 7" xfId="875"/>
    <cellStyle name="60% - 强调文字颜色 1 2 4" xfId="876"/>
    <cellStyle name="60% - 强调文字颜色 1 2 4 2" xfId="877"/>
    <cellStyle name="60% - 强调文字颜色 1 2 4 3" xfId="878"/>
    <cellStyle name="60% - 强调文字颜色 1 2 4 4" xfId="879"/>
    <cellStyle name="60% - 强调文字颜色 1 2 5" xfId="880"/>
    <cellStyle name="60% - 强调文字颜色 1 2 5 2" xfId="881"/>
    <cellStyle name="60% - 强调文字颜色 1 2 5 3" xfId="882"/>
    <cellStyle name="60% - 强调文字颜色 1 2 5 4" xfId="883"/>
    <cellStyle name="60% - 强调文字颜色 1 2 6" xfId="884"/>
    <cellStyle name="60% - 强调文字颜色 1 2 6 2" xfId="885"/>
    <cellStyle name="60% - 强调文字颜色 1 2 6 3" xfId="886"/>
    <cellStyle name="60% - 强调文字颜色 1 2 6 4" xfId="887"/>
    <cellStyle name="60% - 强调文字颜色 1 2 7" xfId="888"/>
    <cellStyle name="60% - 强调文字颜色 1 2 7 2" xfId="889"/>
    <cellStyle name="60% - 强调文字颜色 1 2 7 3" xfId="890"/>
    <cellStyle name="60% - 强调文字颜色 1 2 7 4" xfId="891"/>
    <cellStyle name="60% - 强调文字颜色 1 2 8" xfId="892"/>
    <cellStyle name="60% - 强调文字颜色 1 2 8 2" xfId="893"/>
    <cellStyle name="60% - 强调文字颜色 1 2 8 3" xfId="894"/>
    <cellStyle name="60% - 强调文字颜色 1 2 8 4" xfId="895"/>
    <cellStyle name="60% - 强调文字颜色 1 2 9" xfId="896"/>
    <cellStyle name="60% - 强调文字颜色 1 3" xfId="897"/>
    <cellStyle name="60% - 强调文字颜色 1 3 2" xfId="898"/>
    <cellStyle name="60% - 强调文字颜色 1 4" xfId="899"/>
    <cellStyle name="60% - 强调文字颜色 1 4 2" xfId="900"/>
    <cellStyle name="60% - 强调文字颜色 1 5" xfId="901"/>
    <cellStyle name="60% - 强调文字颜色 1 5 2" xfId="902"/>
    <cellStyle name="60% - 强调文字颜色 1 6" xfId="903"/>
    <cellStyle name="60% - 强调文字颜色 1 6 2" xfId="904"/>
    <cellStyle name="60% - 强调文字颜色 1 7" xfId="905"/>
    <cellStyle name="60% - 强调文字颜色 1 7 2" xfId="906"/>
    <cellStyle name="60% - 强调文字颜色 1 8" xfId="907"/>
    <cellStyle name="60% - 强调文字颜色 1 8 2" xfId="908"/>
    <cellStyle name="60% - 强调文字颜色 1 9" xfId="909"/>
    <cellStyle name="60% - 强调文字颜色 1 9 2" xfId="910"/>
    <cellStyle name="60% - 强调文字颜色 2 10" xfId="911"/>
    <cellStyle name="60% - 强调文字颜色 2 10 2" xfId="912"/>
    <cellStyle name="60% - 强调文字颜色 2 11" xfId="913"/>
    <cellStyle name="60% - 强调文字颜色 2 11 2" xfId="914"/>
    <cellStyle name="60% - 强调文字颜色 2 12" xfId="915"/>
    <cellStyle name="60% - 强调文字颜色 2 2" xfId="916"/>
    <cellStyle name="60% - 强调文字颜色 2 2 10" xfId="917"/>
    <cellStyle name="60% - 强调文字颜色 2 2 2" xfId="918"/>
    <cellStyle name="60% - 强调文字颜色 2 2 2 2" xfId="919"/>
    <cellStyle name="60% - 强调文字颜色 2 2 2 2 2" xfId="920"/>
    <cellStyle name="60% - 强调文字颜色 2 2 2 2 3" xfId="921"/>
    <cellStyle name="60% - 强调文字颜色 2 2 2 2 4" xfId="922"/>
    <cellStyle name="60% - 强调文字颜色 2 2 2 3" xfId="923"/>
    <cellStyle name="60% - 强调文字颜色 2 2 2 4" xfId="924"/>
    <cellStyle name="60% - 强调文字颜色 2 2 2 5" xfId="925"/>
    <cellStyle name="60% - 强调文字颜色 2 2 2_样本-每月费用" xfId="926"/>
    <cellStyle name="60% - 强调文字颜色 2 2 3" xfId="927"/>
    <cellStyle name="60% - 强调文字颜色 2 2 3 2" xfId="928"/>
    <cellStyle name="60% - 强调文字颜色 2 2 3 3" xfId="929"/>
    <cellStyle name="60% - 强调文字颜色 2 2 3 4" xfId="930"/>
    <cellStyle name="60% - 强调文字颜色 2 2 4" xfId="931"/>
    <cellStyle name="60% - 强调文字颜色 2 2 4 2" xfId="932"/>
    <cellStyle name="60% - 强调文字颜色 2 2 4 3" xfId="933"/>
    <cellStyle name="60% - 强调文字颜色 2 2 4 4" xfId="934"/>
    <cellStyle name="60% - 强调文字颜色 2 2 5" xfId="935"/>
    <cellStyle name="60% - 强调文字颜色 2 2 5 2" xfId="936"/>
    <cellStyle name="60% - 强调文字颜色 2 2 5 3" xfId="937"/>
    <cellStyle name="60% - 强调文字颜色 2 2 5 4" xfId="938"/>
    <cellStyle name="60% - 强调文字颜色 2 2 6" xfId="939"/>
    <cellStyle name="60% - 强调文字颜色 2 2 6 2" xfId="940"/>
    <cellStyle name="60% - 强调文字颜色 2 2 6 3" xfId="941"/>
    <cellStyle name="60% - 强调文字颜色 2 2 6 4" xfId="942"/>
    <cellStyle name="60% - 强调文字颜色 2 2 7" xfId="943"/>
    <cellStyle name="60% - 强调文字颜色 2 2 7 2" xfId="944"/>
    <cellStyle name="60% - 强调文字颜色 2 2 7 3" xfId="945"/>
    <cellStyle name="60% - 强调文字颜色 2 2 7 4" xfId="946"/>
    <cellStyle name="60% - 强调文字颜色 2 2 8" xfId="947"/>
    <cellStyle name="60% - 强调文字颜色 2 2 8 2" xfId="948"/>
    <cellStyle name="60% - 强调文字颜色 2 2 8 3" xfId="949"/>
    <cellStyle name="60% - 强调文字颜色 2 2 8 4" xfId="950"/>
    <cellStyle name="60% - 强调文字颜色 2 2 9" xfId="951"/>
    <cellStyle name="60% - 强调文字颜色 2 3" xfId="952"/>
    <cellStyle name="60% - 强调文字颜色 2 3 2" xfId="953"/>
    <cellStyle name="60% - 强调文字颜色 2 4" xfId="954"/>
    <cellStyle name="60% - 强调文字颜色 2 4 2" xfId="955"/>
    <cellStyle name="60% - 强调文字颜色 2 5" xfId="956"/>
    <cellStyle name="60% - 强调文字颜色 2 5 2" xfId="957"/>
    <cellStyle name="60% - 强调文字颜色 2 6" xfId="958"/>
    <cellStyle name="60% - 强调文字颜色 2 6 2" xfId="959"/>
    <cellStyle name="60% - 强调文字颜色 2 7" xfId="960"/>
    <cellStyle name="60% - 强调文字颜色 2 7 2" xfId="961"/>
    <cellStyle name="60% - 强调文字颜色 2 8" xfId="962"/>
    <cellStyle name="60% - 强调文字颜色 2 8 2" xfId="963"/>
    <cellStyle name="60% - 强调文字颜色 2 9" xfId="964"/>
    <cellStyle name="60% - 强调文字颜色 2 9 2" xfId="965"/>
    <cellStyle name="60% - 强调文字颜色 3 10" xfId="966"/>
    <cellStyle name="60% - 强调文字颜色 3 10 2" xfId="967"/>
    <cellStyle name="60% - 强调文字颜色 3 11" xfId="968"/>
    <cellStyle name="60% - 强调文字颜色 3 11 2" xfId="969"/>
    <cellStyle name="60% - 强调文字颜色 3 12" xfId="970"/>
    <cellStyle name="60% - 强调文字颜色 3 2" xfId="971"/>
    <cellStyle name="60% - 强调文字颜色 3 2 10" xfId="972"/>
    <cellStyle name="60% - 强调文字颜色 3 2 2" xfId="973"/>
    <cellStyle name="60% - 强调文字颜色 3 2 2 2" xfId="974"/>
    <cellStyle name="60% - 强调文字颜色 3 2 2 2 2" xfId="975"/>
    <cellStyle name="60% - 强调文字颜色 3 2 2 2 3" xfId="976"/>
    <cellStyle name="60% - 强调文字颜色 3 2 2 2 4" xfId="977"/>
    <cellStyle name="60% - 强调文字颜色 3 2 2 3" xfId="978"/>
    <cellStyle name="60% - 强调文字颜色 3 2 2 4" xfId="979"/>
    <cellStyle name="60% - 强调文字颜色 3 2 2 5" xfId="980"/>
    <cellStyle name="60% - 强调文字颜色 3 2 2_样本-每月费用" xfId="981"/>
    <cellStyle name="60% - 强调文字颜色 3 2 3" xfId="982"/>
    <cellStyle name="60% - 强调文字颜色 3 2 3 2" xfId="983"/>
    <cellStyle name="60% - 强调文字颜色 3 2 3 3" xfId="984"/>
    <cellStyle name="60% - 强调文字颜色 3 2 3 4" xfId="985"/>
    <cellStyle name="60% - 强调文字颜色 3 2 4" xfId="986"/>
    <cellStyle name="60% - 强调文字颜色 3 2 4 2" xfId="987"/>
    <cellStyle name="60% - 强调文字颜色 3 2 4 3" xfId="988"/>
    <cellStyle name="60% - 强调文字颜色 3 2 4 4" xfId="989"/>
    <cellStyle name="60% - 强调文字颜色 3 2 5" xfId="990"/>
    <cellStyle name="60% - 强调文字颜色 3 2 5 2" xfId="991"/>
    <cellStyle name="60% - 强调文字颜色 3 2 5 3" xfId="992"/>
    <cellStyle name="60% - 强调文字颜色 3 2 5 4" xfId="993"/>
    <cellStyle name="60% - 强调文字颜色 3 2 6" xfId="994"/>
    <cellStyle name="60% - 强调文字颜色 3 2 6 2" xfId="995"/>
    <cellStyle name="60% - 强调文字颜色 3 2 6 3" xfId="996"/>
    <cellStyle name="60% - 强调文字颜色 3 2 6 4" xfId="997"/>
    <cellStyle name="60% - 强调文字颜色 3 2 7" xfId="998"/>
    <cellStyle name="60% - 强调文字颜色 3 2 7 2" xfId="999"/>
    <cellStyle name="60% - 强调文字颜色 3 2 7 3" xfId="1000"/>
    <cellStyle name="60% - 强调文字颜色 3 2 7 4" xfId="1001"/>
    <cellStyle name="60% - 强调文字颜色 3 2 8" xfId="1002"/>
    <cellStyle name="60% - 强调文字颜色 3 2 8 2" xfId="1003"/>
    <cellStyle name="60% - 强调文字颜色 3 2 8 3" xfId="1004"/>
    <cellStyle name="60% - 强调文字颜色 3 2 8 4" xfId="1005"/>
    <cellStyle name="60% - 强调文字颜色 3 2 9" xfId="1006"/>
    <cellStyle name="60% - 强调文字颜色 3 3" xfId="1007"/>
    <cellStyle name="60% - 强调文字颜色 3 3 2" xfId="1008"/>
    <cellStyle name="60% - 强调文字颜色 3 4" xfId="1009"/>
    <cellStyle name="60% - 强调文字颜色 3 4 2" xfId="1010"/>
    <cellStyle name="60% - 强调文字颜色 3 5" xfId="1011"/>
    <cellStyle name="60% - 强调文字颜色 3 5 2" xfId="1012"/>
    <cellStyle name="60% - 强调文字颜色 3 6" xfId="1013"/>
    <cellStyle name="60% - 强调文字颜色 3 6 2" xfId="1014"/>
    <cellStyle name="60% - 强调文字颜色 3 7" xfId="1015"/>
    <cellStyle name="60% - 强调文字颜色 3 7 2" xfId="1016"/>
    <cellStyle name="60% - 强调文字颜色 3 8" xfId="1017"/>
    <cellStyle name="60% - 强调文字颜色 3 8 2" xfId="1018"/>
    <cellStyle name="60% - 强调文字颜色 3 9" xfId="1019"/>
    <cellStyle name="60% - 强调文字颜色 3 9 2" xfId="1020"/>
    <cellStyle name="60% - 强调文字颜色 4 10" xfId="1021"/>
    <cellStyle name="60% - 强调文字颜色 4 10 2" xfId="1022"/>
    <cellStyle name="60% - 强调文字颜色 4 11" xfId="1023"/>
    <cellStyle name="60% - 强调文字颜色 4 11 2" xfId="1024"/>
    <cellStyle name="60% - 强调文字颜色 4 12" xfId="1025"/>
    <cellStyle name="60% - 强调文字颜色 4 2" xfId="1026"/>
    <cellStyle name="60% - 强调文字颜色 4 2 10" xfId="1027"/>
    <cellStyle name="60% - 强调文字颜色 4 2 2" xfId="1028"/>
    <cellStyle name="60% - 强调文字颜色 4 2 2 2" xfId="1029"/>
    <cellStyle name="60% - 强调文字颜色 4 2 2 2 2" xfId="1030"/>
    <cellStyle name="60% - 强调文字颜色 4 2 2 2 3" xfId="1031"/>
    <cellStyle name="60% - 强调文字颜色 4 2 2 2 4" xfId="1032"/>
    <cellStyle name="60% - 强调文字颜色 4 2 2 3" xfId="1033"/>
    <cellStyle name="60% - 强调文字颜色 4 2 2 4" xfId="1034"/>
    <cellStyle name="60% - 强调文字颜色 4 2 2 5" xfId="1035"/>
    <cellStyle name="60% - 强调文字颜色 4 2 2_样本-每月费用" xfId="1036"/>
    <cellStyle name="60% - 强调文字颜色 4 2 3" xfId="1037"/>
    <cellStyle name="60% - 强调文字颜色 4 2 3 2" xfId="1038"/>
    <cellStyle name="60% - 强调文字颜色 4 2 3 3" xfId="1039"/>
    <cellStyle name="60% - 强调文字颜色 4 2 3 4" xfId="1040"/>
    <cellStyle name="60% - 强调文字颜色 4 2 4" xfId="1041"/>
    <cellStyle name="60% - 强调文字颜色 4 2 4 2" xfId="1042"/>
    <cellStyle name="60% - 强调文字颜色 4 2 4 3" xfId="1043"/>
    <cellStyle name="60% - 强调文字颜色 4 2 4 4" xfId="1044"/>
    <cellStyle name="60% - 强调文字颜色 4 2 5" xfId="1045"/>
    <cellStyle name="60% - 强调文字颜色 4 2 5 2" xfId="1046"/>
    <cellStyle name="60% - 强调文字颜色 4 2 5 3" xfId="1047"/>
    <cellStyle name="60% - 强调文字颜色 4 2 5 4" xfId="1048"/>
    <cellStyle name="60% - 强调文字颜色 4 2 6" xfId="1049"/>
    <cellStyle name="60% - 强调文字颜色 4 2 6 2" xfId="1050"/>
    <cellStyle name="60% - 强调文字颜色 4 2 6 3" xfId="1051"/>
    <cellStyle name="60% - 强调文字颜色 4 2 6 4" xfId="1052"/>
    <cellStyle name="60% - 强调文字颜色 4 2 7" xfId="1053"/>
    <cellStyle name="60% - 强调文字颜色 4 2 7 2" xfId="1054"/>
    <cellStyle name="60% - 强调文字颜色 4 2 7 3" xfId="1055"/>
    <cellStyle name="60% - 强调文字颜色 4 2 7 4" xfId="1056"/>
    <cellStyle name="60% - 强调文字颜色 4 2 8" xfId="1057"/>
    <cellStyle name="60% - 强调文字颜色 4 2 8 2" xfId="1058"/>
    <cellStyle name="60% - 强调文字颜色 4 2 8 3" xfId="1059"/>
    <cellStyle name="60% - 强调文字颜色 4 2 8 4" xfId="1060"/>
    <cellStyle name="60% - 强调文字颜色 4 2 9" xfId="1061"/>
    <cellStyle name="60% - 强调文字颜色 4 3" xfId="1062"/>
    <cellStyle name="60% - 强调文字颜色 4 3 2" xfId="1063"/>
    <cellStyle name="60% - 强调文字颜色 4 4" xfId="1064"/>
    <cellStyle name="60% - 强调文字颜色 4 4 2" xfId="1065"/>
    <cellStyle name="60% - 强调文字颜色 4 5" xfId="1066"/>
    <cellStyle name="60% - 强调文字颜色 4 5 2" xfId="1067"/>
    <cellStyle name="60% - 强调文字颜色 4 6" xfId="1068"/>
    <cellStyle name="60% - 强调文字颜色 4 6 2" xfId="1069"/>
    <cellStyle name="60% - 强调文字颜色 4 7" xfId="1070"/>
    <cellStyle name="60% - 强调文字颜色 4 7 2" xfId="1071"/>
    <cellStyle name="60% - 强调文字颜色 4 8" xfId="1072"/>
    <cellStyle name="60% - 强调文字颜色 4 8 2" xfId="1073"/>
    <cellStyle name="60% - 强调文字颜色 4 9" xfId="1074"/>
    <cellStyle name="60% - 强调文字颜色 4 9 2" xfId="1075"/>
    <cellStyle name="60% - 强调文字颜色 5 10" xfId="1076"/>
    <cellStyle name="60% - 强调文字颜色 5 10 2" xfId="1077"/>
    <cellStyle name="60% - 强调文字颜色 5 11" xfId="1078"/>
    <cellStyle name="60% - 强调文字颜色 5 11 2" xfId="1079"/>
    <cellStyle name="60% - 强调文字颜色 5 12" xfId="1080"/>
    <cellStyle name="60% - 强调文字颜色 5 2" xfId="1081"/>
    <cellStyle name="60% - 强调文字颜色 5 2 10" xfId="1082"/>
    <cellStyle name="60% - 强调文字颜色 5 2 2" xfId="1083"/>
    <cellStyle name="60% - 强调文字颜色 5 2 2 2" xfId="1084"/>
    <cellStyle name="60% - 强调文字颜色 5 2 2 2 2" xfId="1085"/>
    <cellStyle name="60% - 强调文字颜色 5 2 2 2 3" xfId="1086"/>
    <cellStyle name="60% - 强调文字颜色 5 2 2 2 4" xfId="1087"/>
    <cellStyle name="60% - 强调文字颜色 5 2 2 3" xfId="1088"/>
    <cellStyle name="60% - 强调文字颜色 5 2 2 4" xfId="1089"/>
    <cellStyle name="60% - 强调文字颜色 5 2 2 5" xfId="1090"/>
    <cellStyle name="60% - 强调文字颜色 5 2 2_样本-每月费用" xfId="1091"/>
    <cellStyle name="60% - 强调文字颜色 5 2 3" xfId="1092"/>
    <cellStyle name="60% - 强调文字颜色 5 2 3 2" xfId="1093"/>
    <cellStyle name="60% - 强调文字颜色 5 2 3 3" xfId="1094"/>
    <cellStyle name="60% - 强调文字颜色 5 2 3 4" xfId="1095"/>
    <cellStyle name="60% - 强调文字颜色 5 2 4" xfId="1096"/>
    <cellStyle name="60% - 强调文字颜色 5 2 4 2" xfId="1097"/>
    <cellStyle name="60% - 强调文字颜色 5 2 4 3" xfId="1098"/>
    <cellStyle name="60% - 强调文字颜色 5 2 4 4" xfId="1099"/>
    <cellStyle name="60% - 强调文字颜色 5 2 5" xfId="1100"/>
    <cellStyle name="60% - 强调文字颜色 5 2 5 2" xfId="1101"/>
    <cellStyle name="60% - 强调文字颜色 5 2 5 3" xfId="1102"/>
    <cellStyle name="60% - 强调文字颜色 5 2 5 4" xfId="1103"/>
    <cellStyle name="60% - 强调文字颜色 5 2 6" xfId="1104"/>
    <cellStyle name="60% - 强调文字颜色 5 2 6 2" xfId="1105"/>
    <cellStyle name="60% - 强调文字颜色 5 2 6 3" xfId="1106"/>
    <cellStyle name="60% - 强调文字颜色 5 2 6 4" xfId="1107"/>
    <cellStyle name="60% - 强调文字颜色 5 2 7" xfId="1108"/>
    <cellStyle name="60% - 强调文字颜色 5 2 7 2" xfId="1109"/>
    <cellStyle name="60% - 强调文字颜色 5 2 7 3" xfId="1110"/>
    <cellStyle name="60% - 强调文字颜色 5 2 7 4" xfId="1111"/>
    <cellStyle name="60% - 强调文字颜色 5 2 8" xfId="1112"/>
    <cellStyle name="60% - 强调文字颜色 5 2 8 2" xfId="1113"/>
    <cellStyle name="60% - 强调文字颜色 5 2 8 3" xfId="1114"/>
    <cellStyle name="60% - 强调文字颜色 5 2 8 4" xfId="1115"/>
    <cellStyle name="60% - 强调文字颜色 5 2 9" xfId="1116"/>
    <cellStyle name="60% - 强调文字颜色 5 3" xfId="1117"/>
    <cellStyle name="60% - 强调文字颜色 5 3 2" xfId="1118"/>
    <cellStyle name="60% - 强调文字颜色 5 4" xfId="1119"/>
    <cellStyle name="60% - 强调文字颜色 5 4 2" xfId="1120"/>
    <cellStyle name="60% - 强调文字颜色 5 5" xfId="1121"/>
    <cellStyle name="60% - 强调文字颜色 5 5 2" xfId="1122"/>
    <cellStyle name="60% - 强调文字颜色 5 6" xfId="1123"/>
    <cellStyle name="60% - 强调文字颜色 5 6 2" xfId="1124"/>
    <cellStyle name="60% - 强调文字颜色 5 7" xfId="1125"/>
    <cellStyle name="60% - 强调文字颜色 5 7 2" xfId="1126"/>
    <cellStyle name="60% - 强调文字颜色 5 8" xfId="1127"/>
    <cellStyle name="60% - 强调文字颜色 5 8 2" xfId="1128"/>
    <cellStyle name="60% - 强调文字颜色 5 9" xfId="1129"/>
    <cellStyle name="60% - 强调文字颜色 5 9 2" xfId="1130"/>
    <cellStyle name="60% - 强调文字颜色 6 10" xfId="1131"/>
    <cellStyle name="60% - 强调文字颜色 6 10 2" xfId="1132"/>
    <cellStyle name="60% - 强调文字颜色 6 11" xfId="1133"/>
    <cellStyle name="60% - 强调文字颜色 6 11 2" xfId="1134"/>
    <cellStyle name="60% - 强调文字颜色 6 12" xfId="1135"/>
    <cellStyle name="60% - 强调文字颜色 6 2" xfId="1136"/>
    <cellStyle name="60% - 强调文字颜色 6 2 10" xfId="1137"/>
    <cellStyle name="60% - 强调文字颜色 6 2 2" xfId="1138"/>
    <cellStyle name="60% - 强调文字颜色 6 2 2 2" xfId="1139"/>
    <cellStyle name="60% - 强调文字颜色 6 2 2 2 2" xfId="1140"/>
    <cellStyle name="60% - 强调文字颜色 6 2 2 2 3" xfId="1141"/>
    <cellStyle name="60% - 强调文字颜色 6 2 2 2 4" xfId="1142"/>
    <cellStyle name="60% - 强调文字颜色 6 2 2 3" xfId="1143"/>
    <cellStyle name="60% - 强调文字颜色 6 2 2 4" xfId="1144"/>
    <cellStyle name="60% - 强调文字颜色 6 2 2 5" xfId="1145"/>
    <cellStyle name="60% - 强调文字颜色 6 2 2_样本-每月费用" xfId="1146"/>
    <cellStyle name="60% - 强调文字颜色 6 2 3" xfId="1147"/>
    <cellStyle name="60% - 强调文字颜色 6 2 3 2" xfId="1148"/>
    <cellStyle name="60% - 强调文字颜色 6 2 3 3" xfId="1149"/>
    <cellStyle name="60% - 强调文字颜色 6 2 3 4" xfId="1150"/>
    <cellStyle name="60% - 强调文字颜色 6 2 4" xfId="1151"/>
    <cellStyle name="60% - 强调文字颜色 6 2 4 2" xfId="1152"/>
    <cellStyle name="60% - 强调文字颜色 6 2 4 3" xfId="1153"/>
    <cellStyle name="60% - 强调文字颜色 6 2 4 4" xfId="1154"/>
    <cellStyle name="60% - 强调文字颜色 6 2 5" xfId="1155"/>
    <cellStyle name="60% - 强调文字颜色 6 2 5 2" xfId="1156"/>
    <cellStyle name="60% - 强调文字颜色 6 2 5 3" xfId="1157"/>
    <cellStyle name="60% - 强调文字颜色 6 2 5 4" xfId="1158"/>
    <cellStyle name="60% - 强调文字颜色 6 2 6" xfId="1159"/>
    <cellStyle name="60% - 强调文字颜色 6 2 6 2" xfId="1160"/>
    <cellStyle name="60% - 强调文字颜色 6 2 6 3" xfId="1161"/>
    <cellStyle name="60% - 强调文字颜色 6 2 6 4" xfId="1162"/>
    <cellStyle name="60% - 强调文字颜色 6 2 7" xfId="1163"/>
    <cellStyle name="60% - 强调文字颜色 6 2 7 2" xfId="1164"/>
    <cellStyle name="60% - 强调文字颜色 6 2 7 3" xfId="1165"/>
    <cellStyle name="60% - 强调文字颜色 6 2 7 4" xfId="1166"/>
    <cellStyle name="60% - 强调文字颜色 6 2 8" xfId="1167"/>
    <cellStyle name="60% - 强调文字颜色 6 2 8 2" xfId="1168"/>
    <cellStyle name="60% - 强调文字颜色 6 2 8 3" xfId="1169"/>
    <cellStyle name="60% - 强调文字颜色 6 2 8 4" xfId="1170"/>
    <cellStyle name="60% - 强调文字颜色 6 2 9" xfId="1171"/>
    <cellStyle name="60% - 强调文字颜色 6 3" xfId="1172"/>
    <cellStyle name="60% - 强调文字颜色 6 3 2" xfId="1173"/>
    <cellStyle name="60% - 强调文字颜色 6 4" xfId="1174"/>
    <cellStyle name="60% - 强调文字颜色 6 4 2" xfId="1175"/>
    <cellStyle name="60% - 强调文字颜色 6 5" xfId="1176"/>
    <cellStyle name="60% - 强调文字颜色 6 5 2" xfId="1177"/>
    <cellStyle name="60% - 强调文字颜色 6 6" xfId="1178"/>
    <cellStyle name="60% - 强调文字颜色 6 6 2" xfId="1179"/>
    <cellStyle name="60% - 强调文字颜色 6 7" xfId="1180"/>
    <cellStyle name="60% - 强调文字颜色 6 7 2" xfId="1181"/>
    <cellStyle name="60% - 强调文字颜色 6 8" xfId="1182"/>
    <cellStyle name="60% - 强调文字颜色 6 8 2" xfId="1183"/>
    <cellStyle name="60% - 强调文字颜色 6 9" xfId="1184"/>
    <cellStyle name="60% - 强调文字颜色 6 9 2" xfId="1185"/>
    <cellStyle name="60% - 着色 1" xfId="1186"/>
    <cellStyle name="60% - 着色 1 2" xfId="1187"/>
    <cellStyle name="60% - 着色 2" xfId="1188"/>
    <cellStyle name="60% - 着色 3" xfId="1189"/>
    <cellStyle name="60% - 着色 4" xfId="1190"/>
    <cellStyle name="60% - 着色 5" xfId="1191"/>
    <cellStyle name="60% - 着色 6" xfId="1192"/>
    <cellStyle name="6mal" xfId="1193"/>
    <cellStyle name="6mal 2" xfId="1194"/>
    <cellStyle name="Accent1" xfId="1195"/>
    <cellStyle name="Accent2" xfId="1196"/>
    <cellStyle name="Accent3" xfId="1197"/>
    <cellStyle name="Accent4" xfId="1198"/>
    <cellStyle name="Accent5" xfId="1199"/>
    <cellStyle name="Accent6" xfId="1200"/>
    <cellStyle name="ÆÕÍ¨_ÓÊÍøµãÊý" xfId="1201"/>
    <cellStyle name="args.style" xfId="1202"/>
    <cellStyle name="args.style 2" xfId="1203"/>
    <cellStyle name="Bad" xfId="1204"/>
    <cellStyle name="Body" xfId="1205"/>
    <cellStyle name="Body 2" xfId="1206"/>
    <cellStyle name="Calc Currency (0)" xfId="1207"/>
    <cellStyle name="Calc Currency (0) 10" xfId="1208"/>
    <cellStyle name="Calc Currency (0) 11" xfId="1209"/>
    <cellStyle name="Calc Currency (0) 2" xfId="1210"/>
    <cellStyle name="Calc Currency (0) 2 2" xfId="1211"/>
    <cellStyle name="Calc Currency (0) 2 2 2" xfId="1212"/>
    <cellStyle name="Calc Currency (0) 2 2 2 2" xfId="1213"/>
    <cellStyle name="Calc Currency (0) 2 2 3" xfId="1214"/>
    <cellStyle name="Calc Currency (0) 2 2 3 2" xfId="1215"/>
    <cellStyle name="Calc Currency (0) 2 2 4" xfId="1216"/>
    <cellStyle name="Calc Currency (0) 2 2 4 2" xfId="1217"/>
    <cellStyle name="Calc Currency (0) 2 2 5" xfId="1218"/>
    <cellStyle name="Calc Currency (0) 2 2 5 2" xfId="1219"/>
    <cellStyle name="Calc Currency (0) 2 2 6" xfId="1220"/>
    <cellStyle name="Calc Currency (0) 2 2 6 2" xfId="1221"/>
    <cellStyle name="Calc Currency (0) 2 2 7" xfId="1222"/>
    <cellStyle name="Calc Currency (0) 2 3" xfId="1223"/>
    <cellStyle name="Calc Currency (0) 2 3 2" xfId="1224"/>
    <cellStyle name="Calc Currency (0) 2 4" xfId="1225"/>
    <cellStyle name="Calc Currency (0) 2 4 2" xfId="1226"/>
    <cellStyle name="Calc Currency (0) 2 5" xfId="1227"/>
    <cellStyle name="Calc Currency (0) 2 5 2" xfId="1228"/>
    <cellStyle name="Calc Currency (0) 2 6" xfId="1229"/>
    <cellStyle name="Calc Currency (0) 2 6 2" xfId="1230"/>
    <cellStyle name="Calc Currency (0) 2 7" xfId="1231"/>
    <cellStyle name="Calc Currency (0) 2 7 2" xfId="1232"/>
    <cellStyle name="Calc Currency (0) 2 8" xfId="1233"/>
    <cellStyle name="Calc Currency (0) 2 9" xfId="1234"/>
    <cellStyle name="Calc Currency (0) 3" xfId="1235"/>
    <cellStyle name="Calc Currency (0) 3 2" xfId="1236"/>
    <cellStyle name="Calc Currency (0) 3 2 2" xfId="1237"/>
    <cellStyle name="Calc Currency (0) 3 3" xfId="1238"/>
    <cellStyle name="Calc Currency (0) 3 3 2" xfId="1239"/>
    <cellStyle name="Calc Currency (0) 3 4" xfId="1240"/>
    <cellStyle name="Calc Currency (0) 3 4 2" xfId="1241"/>
    <cellStyle name="Calc Currency (0) 3 5" xfId="1242"/>
    <cellStyle name="Calc Currency (0) 3 5 2" xfId="1243"/>
    <cellStyle name="Calc Currency (0) 3 6" xfId="1244"/>
    <cellStyle name="Calc Currency (0) 3 6 2" xfId="1245"/>
    <cellStyle name="Calc Currency (0) 3 7" xfId="1246"/>
    <cellStyle name="Calc Currency (0) 3 8" xfId="1247"/>
    <cellStyle name="Calc Currency (0) 4" xfId="1248"/>
    <cellStyle name="Calc Currency (0) 4 2" xfId="1249"/>
    <cellStyle name="Calc Currency (0) 5" xfId="1250"/>
    <cellStyle name="Calc Currency (0) 5 2" xfId="1251"/>
    <cellStyle name="Calc Currency (0) 6" xfId="1252"/>
    <cellStyle name="Calc Currency (0) 6 2" xfId="1253"/>
    <cellStyle name="Calc Currency (0) 7" xfId="1254"/>
    <cellStyle name="Calc Currency (0) 7 2" xfId="1255"/>
    <cellStyle name="Calc Currency (0) 8" xfId="1256"/>
    <cellStyle name="Calc Currency (0) 8 2" xfId="1257"/>
    <cellStyle name="Calc Currency (0) 9" xfId="1258"/>
    <cellStyle name="Calc Currency (2)" xfId="1259"/>
    <cellStyle name="Calc Percent (0)" xfId="1260"/>
    <cellStyle name="Calc Percent (1)" xfId="1261"/>
    <cellStyle name="Calc Percent (1) 10" xfId="1262"/>
    <cellStyle name="Calc Percent (1) 10 2" xfId="1263"/>
    <cellStyle name="Calc Percent (1) 11" xfId="1264"/>
    <cellStyle name="Calc Percent (1) 11 2" xfId="1265"/>
    <cellStyle name="Calc Percent (1) 12" xfId="1266"/>
    <cellStyle name="Calc Percent (1) 12 2" xfId="1267"/>
    <cellStyle name="Calc Percent (1) 2" xfId="1268"/>
    <cellStyle name="Calc Percent (1) 2 2" xfId="1269"/>
    <cellStyle name="Calc Percent (1) 2 3" xfId="1270"/>
    <cellStyle name="Calc Percent (1) 2 4" xfId="1271"/>
    <cellStyle name="Calc Percent (1) 2 5" xfId="1272"/>
    <cellStyle name="Calc Percent (1) 2 6" xfId="1273"/>
    <cellStyle name="Calc Percent (1) 3" xfId="1274"/>
    <cellStyle name="Calc Percent (1) 4" xfId="1275"/>
    <cellStyle name="Calc Percent (1) 4 10" xfId="1276"/>
    <cellStyle name="Calc Percent (1) 4 11" xfId="1277"/>
    <cellStyle name="Calc Percent (1) 4 2" xfId="1278"/>
    <cellStyle name="Calc Percent (1) 4 2 2" xfId="1279"/>
    <cellStyle name="Calc Percent (1) 4 2 2 2" xfId="1280"/>
    <cellStyle name="Calc Percent (1) 4 2 2 3" xfId="1281"/>
    <cellStyle name="Calc Percent (1) 4 2 3" xfId="1282"/>
    <cellStyle name="Calc Percent (1) 4 2 4" xfId="1283"/>
    <cellStyle name="Calc Percent (1) 4 3" xfId="1284"/>
    <cellStyle name="Calc Percent (1) 4 3 2" xfId="1285"/>
    <cellStyle name="Calc Percent (1) 4 3 3" xfId="1286"/>
    <cellStyle name="Calc Percent (1) 4 4" xfId="1287"/>
    <cellStyle name="Calc Percent (1) 4 4 2" xfId="1288"/>
    <cellStyle name="Calc Percent (1) 4 4 3" xfId="1289"/>
    <cellStyle name="Calc Percent (1) 4 5" xfId="1290"/>
    <cellStyle name="Calc Percent (1) 4 5 2" xfId="1291"/>
    <cellStyle name="Calc Percent (1) 4 5 3" xfId="1292"/>
    <cellStyle name="Calc Percent (1) 4 6" xfId="1293"/>
    <cellStyle name="Calc Percent (1) 4 6 2" xfId="1294"/>
    <cellStyle name="Calc Percent (1) 4 6 3" xfId="1295"/>
    <cellStyle name="Calc Percent (1) 4 7" xfId="1296"/>
    <cellStyle name="Calc Percent (1) 4 7 2" xfId="1297"/>
    <cellStyle name="Calc Percent (1) 4 7 3" xfId="1298"/>
    <cellStyle name="Calc Percent (1) 4 8" xfId="1299"/>
    <cellStyle name="Calc Percent (1) 4 8 2" xfId="1300"/>
    <cellStyle name="Calc Percent (1) 4 8 3" xfId="1301"/>
    <cellStyle name="Calc Percent (1) 4 9" xfId="1302"/>
    <cellStyle name="Calc Percent (1) 5" xfId="1303"/>
    <cellStyle name="Calc Percent (1) 5 10" xfId="1304"/>
    <cellStyle name="Calc Percent (1) 5 11" xfId="1305"/>
    <cellStyle name="Calc Percent (1) 5 2" xfId="1306"/>
    <cellStyle name="Calc Percent (1) 5 2 2" xfId="1307"/>
    <cellStyle name="Calc Percent (1) 5 2 2 2" xfId="1308"/>
    <cellStyle name="Calc Percent (1) 5 2 2 3" xfId="1309"/>
    <cellStyle name="Calc Percent (1) 5 2 3" xfId="1310"/>
    <cellStyle name="Calc Percent (1) 5 2 4" xfId="1311"/>
    <cellStyle name="Calc Percent (1) 5 3" xfId="1312"/>
    <cellStyle name="Calc Percent (1) 5 3 2" xfId="1313"/>
    <cellStyle name="Calc Percent (1) 5 3 3" xfId="1314"/>
    <cellStyle name="Calc Percent (1) 5 4" xfId="1315"/>
    <cellStyle name="Calc Percent (1) 5 4 2" xfId="1316"/>
    <cellStyle name="Calc Percent (1) 5 4 3" xfId="1317"/>
    <cellStyle name="Calc Percent (1) 5 5" xfId="1318"/>
    <cellStyle name="Calc Percent (1) 5 5 2" xfId="1319"/>
    <cellStyle name="Calc Percent (1) 5 5 3" xfId="1320"/>
    <cellStyle name="Calc Percent (1) 5 6" xfId="1321"/>
    <cellStyle name="Calc Percent (1) 5 6 2" xfId="1322"/>
    <cellStyle name="Calc Percent (1) 5 6 3" xfId="1323"/>
    <cellStyle name="Calc Percent (1) 5 7" xfId="1324"/>
    <cellStyle name="Calc Percent (1) 5 7 2" xfId="1325"/>
    <cellStyle name="Calc Percent (1) 5 7 3" xfId="1326"/>
    <cellStyle name="Calc Percent (1) 5 8" xfId="1327"/>
    <cellStyle name="Calc Percent (1) 5 8 2" xfId="1328"/>
    <cellStyle name="Calc Percent (1) 5 8 3" xfId="1329"/>
    <cellStyle name="Calc Percent (1) 5 9" xfId="1330"/>
    <cellStyle name="Calc Percent (1) 6" xfId="1331"/>
    <cellStyle name="Calc Percent (1) 6 10" xfId="1332"/>
    <cellStyle name="Calc Percent (1) 6 11" xfId="1333"/>
    <cellStyle name="Calc Percent (1) 6 2" xfId="1334"/>
    <cellStyle name="Calc Percent (1) 6 2 2" xfId="1335"/>
    <cellStyle name="Calc Percent (1) 6 2 2 2" xfId="1336"/>
    <cellStyle name="Calc Percent (1) 6 2 2 3" xfId="1337"/>
    <cellStyle name="Calc Percent (1) 6 2 3" xfId="1338"/>
    <cellStyle name="Calc Percent (1) 6 2 4" xfId="1339"/>
    <cellStyle name="Calc Percent (1) 6 3" xfId="1340"/>
    <cellStyle name="Calc Percent (1) 6 3 2" xfId="1341"/>
    <cellStyle name="Calc Percent (1) 6 3 3" xfId="1342"/>
    <cellStyle name="Calc Percent (1) 6 4" xfId="1343"/>
    <cellStyle name="Calc Percent (1) 6 4 2" xfId="1344"/>
    <cellStyle name="Calc Percent (1) 6 4 3" xfId="1345"/>
    <cellStyle name="Calc Percent (1) 6 5" xfId="1346"/>
    <cellStyle name="Calc Percent (1) 6 5 2" xfId="1347"/>
    <cellStyle name="Calc Percent (1) 6 5 3" xfId="1348"/>
    <cellStyle name="Calc Percent (1) 6 6" xfId="1349"/>
    <cellStyle name="Calc Percent (1) 6 6 2" xfId="1350"/>
    <cellStyle name="Calc Percent (1) 6 6 3" xfId="1351"/>
    <cellStyle name="Calc Percent (1) 6 7" xfId="1352"/>
    <cellStyle name="Calc Percent (1) 6 7 2" xfId="1353"/>
    <cellStyle name="Calc Percent (1) 6 7 3" xfId="1354"/>
    <cellStyle name="Calc Percent (1) 6 8" xfId="1355"/>
    <cellStyle name="Calc Percent (1) 6 8 2" xfId="1356"/>
    <cellStyle name="Calc Percent (1) 6 8 3" xfId="1357"/>
    <cellStyle name="Calc Percent (1) 6 9" xfId="1358"/>
    <cellStyle name="Calc Percent (1) 7" xfId="1359"/>
    <cellStyle name="Calc Percent (1) 7 2" xfId="1360"/>
    <cellStyle name="Calc Percent (1) 7 3" xfId="1361"/>
    <cellStyle name="Calc Percent (1) 8" xfId="1362"/>
    <cellStyle name="Calc Percent (1) 8 2" xfId="1363"/>
    <cellStyle name="Calc Percent (1) 9" xfId="1364"/>
    <cellStyle name="Calc Percent (1) 9 2" xfId="1365"/>
    <cellStyle name="Calc Percent (2)" xfId="1366"/>
    <cellStyle name="Calc Percent (2) 10" xfId="1367"/>
    <cellStyle name="Calc Percent (2) 10 2" xfId="1368"/>
    <cellStyle name="Calc Percent (2) 11" xfId="1369"/>
    <cellStyle name="Calc Percent (2) 11 2" xfId="1370"/>
    <cellStyle name="Calc Percent (2) 12" xfId="1371"/>
    <cellStyle name="Calc Percent (2) 12 2" xfId="1372"/>
    <cellStyle name="Calc Percent (2) 2" xfId="1373"/>
    <cellStyle name="Calc Percent (2) 2 2" xfId="1374"/>
    <cellStyle name="Calc Percent (2) 2 3" xfId="1375"/>
    <cellStyle name="Calc Percent (2) 2 4" xfId="1376"/>
    <cellStyle name="Calc Percent (2) 2 5" xfId="1377"/>
    <cellStyle name="Calc Percent (2) 2 6" xfId="1378"/>
    <cellStyle name="Calc Percent (2) 3" xfId="1379"/>
    <cellStyle name="Calc Percent (2) 4" xfId="1380"/>
    <cellStyle name="Calc Percent (2) 4 10" xfId="1381"/>
    <cellStyle name="Calc Percent (2) 4 11" xfId="1382"/>
    <cellStyle name="Calc Percent (2) 4 2" xfId="1383"/>
    <cellStyle name="Calc Percent (2) 4 2 2" xfId="1384"/>
    <cellStyle name="Calc Percent (2) 4 2 2 2" xfId="1385"/>
    <cellStyle name="Calc Percent (2) 4 2 2 3" xfId="1386"/>
    <cellStyle name="Calc Percent (2) 4 2 3" xfId="1387"/>
    <cellStyle name="Calc Percent (2) 4 2 4" xfId="1388"/>
    <cellStyle name="Calc Percent (2) 4 3" xfId="1389"/>
    <cellStyle name="Calc Percent (2) 4 3 2" xfId="1390"/>
    <cellStyle name="Calc Percent (2) 4 3 3" xfId="1391"/>
    <cellStyle name="Calc Percent (2) 4 4" xfId="1392"/>
    <cellStyle name="Calc Percent (2) 4 4 2" xfId="1393"/>
    <cellStyle name="Calc Percent (2) 4 4 3" xfId="1394"/>
    <cellStyle name="Calc Percent (2) 4 5" xfId="1395"/>
    <cellStyle name="Calc Percent (2) 4 5 2" xfId="1396"/>
    <cellStyle name="Calc Percent (2) 4 5 3" xfId="1397"/>
    <cellStyle name="Calc Percent (2) 4 6" xfId="1398"/>
    <cellStyle name="Calc Percent (2) 4 6 2" xfId="1399"/>
    <cellStyle name="Calc Percent (2) 4 6 3" xfId="1400"/>
    <cellStyle name="Calc Percent (2) 4 7" xfId="1401"/>
    <cellStyle name="Calc Percent (2) 4 7 2" xfId="1402"/>
    <cellStyle name="Calc Percent (2) 4 7 3" xfId="1403"/>
    <cellStyle name="Calc Percent (2) 4 8" xfId="1404"/>
    <cellStyle name="Calc Percent (2) 4 8 2" xfId="1405"/>
    <cellStyle name="Calc Percent (2) 4 8 3" xfId="1406"/>
    <cellStyle name="Calc Percent (2) 4 9" xfId="1407"/>
    <cellStyle name="Calc Percent (2) 5" xfId="1408"/>
    <cellStyle name="Calc Percent (2) 5 10" xfId="1409"/>
    <cellStyle name="Calc Percent (2) 5 11" xfId="1410"/>
    <cellStyle name="Calc Percent (2) 5 2" xfId="1411"/>
    <cellStyle name="Calc Percent (2) 5 2 2" xfId="1412"/>
    <cellStyle name="Calc Percent (2) 5 2 2 2" xfId="1413"/>
    <cellStyle name="Calc Percent (2) 5 2 2 3" xfId="1414"/>
    <cellStyle name="Calc Percent (2) 5 2 3" xfId="1415"/>
    <cellStyle name="Calc Percent (2) 5 2 4" xfId="1416"/>
    <cellStyle name="Calc Percent (2) 5 3" xfId="1417"/>
    <cellStyle name="Calc Percent (2) 5 3 2" xfId="1418"/>
    <cellStyle name="Calc Percent (2) 5 3 3" xfId="1419"/>
    <cellStyle name="Calc Percent (2) 5 4" xfId="1420"/>
    <cellStyle name="Calc Percent (2) 5 4 2" xfId="1421"/>
    <cellStyle name="Calc Percent (2) 5 4 3" xfId="1422"/>
    <cellStyle name="Calc Percent (2) 5 5" xfId="1423"/>
    <cellStyle name="Calc Percent (2) 5 5 2" xfId="1424"/>
    <cellStyle name="Calc Percent (2) 5 5 3" xfId="1425"/>
    <cellStyle name="Calc Percent (2) 5 6" xfId="1426"/>
    <cellStyle name="Calc Percent (2) 5 6 2" xfId="1427"/>
    <cellStyle name="Calc Percent (2) 5 6 3" xfId="1428"/>
    <cellStyle name="Calc Percent (2) 5 7" xfId="1429"/>
    <cellStyle name="Calc Percent (2) 5 7 2" xfId="1430"/>
    <cellStyle name="Calc Percent (2) 5 7 3" xfId="1431"/>
    <cellStyle name="Calc Percent (2) 5 8" xfId="1432"/>
    <cellStyle name="Calc Percent (2) 5 8 2" xfId="1433"/>
    <cellStyle name="Calc Percent (2) 5 8 3" xfId="1434"/>
    <cellStyle name="Calc Percent (2) 5 9" xfId="1435"/>
    <cellStyle name="Calc Percent (2) 6" xfId="1436"/>
    <cellStyle name="Calc Percent (2) 6 10" xfId="1437"/>
    <cellStyle name="Calc Percent (2) 6 11" xfId="1438"/>
    <cellStyle name="Calc Percent (2) 6 2" xfId="1439"/>
    <cellStyle name="Calc Percent (2) 6 2 2" xfId="1440"/>
    <cellStyle name="Calc Percent (2) 6 2 2 2" xfId="1441"/>
    <cellStyle name="Calc Percent (2) 6 2 2 3" xfId="1442"/>
    <cellStyle name="Calc Percent (2) 6 2 3" xfId="1443"/>
    <cellStyle name="Calc Percent (2) 6 2 4" xfId="1444"/>
    <cellStyle name="Calc Percent (2) 6 3" xfId="1445"/>
    <cellStyle name="Calc Percent (2) 6 3 2" xfId="1446"/>
    <cellStyle name="Calc Percent (2) 6 3 3" xfId="1447"/>
    <cellStyle name="Calc Percent (2) 6 4" xfId="1448"/>
    <cellStyle name="Calc Percent (2) 6 4 2" xfId="1449"/>
    <cellStyle name="Calc Percent (2) 6 4 3" xfId="1450"/>
    <cellStyle name="Calc Percent (2) 6 5" xfId="1451"/>
    <cellStyle name="Calc Percent (2) 6 5 2" xfId="1452"/>
    <cellStyle name="Calc Percent (2) 6 5 3" xfId="1453"/>
    <cellStyle name="Calc Percent (2) 6 6" xfId="1454"/>
    <cellStyle name="Calc Percent (2) 6 6 2" xfId="1455"/>
    <cellStyle name="Calc Percent (2) 6 6 3" xfId="1456"/>
    <cellStyle name="Calc Percent (2) 6 7" xfId="1457"/>
    <cellStyle name="Calc Percent (2) 6 7 2" xfId="1458"/>
    <cellStyle name="Calc Percent (2) 6 7 3" xfId="1459"/>
    <cellStyle name="Calc Percent (2) 6 8" xfId="1460"/>
    <cellStyle name="Calc Percent (2) 6 8 2" xfId="1461"/>
    <cellStyle name="Calc Percent (2) 6 8 3" xfId="1462"/>
    <cellStyle name="Calc Percent (2) 6 9" xfId="1463"/>
    <cellStyle name="Calc Percent (2) 7" xfId="1464"/>
    <cellStyle name="Calc Percent (2) 7 2" xfId="1465"/>
    <cellStyle name="Calc Percent (2) 7 3" xfId="1466"/>
    <cellStyle name="Calc Percent (2) 8" xfId="1467"/>
    <cellStyle name="Calc Percent (2) 8 2" xfId="1468"/>
    <cellStyle name="Calc Percent (2) 9" xfId="1469"/>
    <cellStyle name="Calc Percent (2) 9 2" xfId="1470"/>
    <cellStyle name="Calc Units (0)" xfId="1471"/>
    <cellStyle name="Calc Units (1)" xfId="1472"/>
    <cellStyle name="Calc Units (1) 10" xfId="1473"/>
    <cellStyle name="Calc Units (1) 10 2" xfId="1474"/>
    <cellStyle name="Calc Units (1) 11" xfId="1475"/>
    <cellStyle name="Calc Units (1) 11 2" xfId="1476"/>
    <cellStyle name="Calc Units (1) 12" xfId="1477"/>
    <cellStyle name="Calc Units (1) 12 2" xfId="1478"/>
    <cellStyle name="Calc Units (1) 2" xfId="1479"/>
    <cellStyle name="Calc Units (1) 2 2" xfId="1480"/>
    <cellStyle name="Calc Units (1) 2 3" xfId="1481"/>
    <cellStyle name="Calc Units (1) 2 4" xfId="1482"/>
    <cellStyle name="Calc Units (1) 2 5" xfId="1483"/>
    <cellStyle name="Calc Units (1) 2 6" xfId="1484"/>
    <cellStyle name="Calc Units (1) 3" xfId="1485"/>
    <cellStyle name="Calc Units (1) 4" xfId="1486"/>
    <cellStyle name="Calc Units (1) 4 10" xfId="1487"/>
    <cellStyle name="Calc Units (1) 4 11" xfId="1488"/>
    <cellStyle name="Calc Units (1) 4 2" xfId="1489"/>
    <cellStyle name="Calc Units (1) 4 2 2" xfId="1490"/>
    <cellStyle name="Calc Units (1) 4 2 2 2" xfId="1491"/>
    <cellStyle name="Calc Units (1) 4 2 2 3" xfId="1492"/>
    <cellStyle name="Calc Units (1) 4 2 3" xfId="1493"/>
    <cellStyle name="Calc Units (1) 4 2 4" xfId="1494"/>
    <cellStyle name="Calc Units (1) 4 3" xfId="1495"/>
    <cellStyle name="Calc Units (1) 4 3 2" xfId="1496"/>
    <cellStyle name="Calc Units (1) 4 3 3" xfId="1497"/>
    <cellStyle name="Calc Units (1) 4 4" xfId="1498"/>
    <cellStyle name="Calc Units (1) 4 4 2" xfId="1499"/>
    <cellStyle name="Calc Units (1) 4 4 3" xfId="1500"/>
    <cellStyle name="Calc Units (1) 4 5" xfId="1501"/>
    <cellStyle name="Calc Units (1) 4 5 2" xfId="1502"/>
    <cellStyle name="Calc Units (1) 4 5 3" xfId="1503"/>
    <cellStyle name="Calc Units (1) 4 6" xfId="1504"/>
    <cellStyle name="Calc Units (1) 4 6 2" xfId="1505"/>
    <cellStyle name="Calc Units (1) 4 6 3" xfId="1506"/>
    <cellStyle name="Calc Units (1) 4 7" xfId="1507"/>
    <cellStyle name="Calc Units (1) 4 7 2" xfId="1508"/>
    <cellStyle name="Calc Units (1) 4 7 3" xfId="1509"/>
    <cellStyle name="Calc Units (1) 4 8" xfId="1510"/>
    <cellStyle name="Calc Units (1) 4 8 2" xfId="1511"/>
    <cellStyle name="Calc Units (1) 4 8 3" xfId="1512"/>
    <cellStyle name="Calc Units (1) 4 9" xfId="1513"/>
    <cellStyle name="Calc Units (1) 5" xfId="1514"/>
    <cellStyle name="Calc Units (1) 5 10" xfId="1515"/>
    <cellStyle name="Calc Units (1) 5 11" xfId="1516"/>
    <cellStyle name="Calc Units (1) 5 2" xfId="1517"/>
    <cellStyle name="Calc Units (1) 5 2 2" xfId="1518"/>
    <cellStyle name="Calc Units (1) 5 2 2 2" xfId="1519"/>
    <cellStyle name="Calc Units (1) 5 2 2 3" xfId="1520"/>
    <cellStyle name="Calc Units (1) 5 2 3" xfId="1521"/>
    <cellStyle name="Calc Units (1) 5 2 4" xfId="1522"/>
    <cellStyle name="Calc Units (1) 5 3" xfId="1523"/>
    <cellStyle name="Calc Units (1) 5 3 2" xfId="1524"/>
    <cellStyle name="Calc Units (1) 5 3 3" xfId="1525"/>
    <cellStyle name="Calc Units (1) 5 4" xfId="1526"/>
    <cellStyle name="Calc Units (1) 5 4 2" xfId="1527"/>
    <cellStyle name="Calc Units (1) 5 4 3" xfId="1528"/>
    <cellStyle name="Calc Units (1) 5 5" xfId="1529"/>
    <cellStyle name="Calc Units (1) 5 5 2" xfId="1530"/>
    <cellStyle name="Calc Units (1) 5 5 3" xfId="1531"/>
    <cellStyle name="Calc Units (1) 5 6" xfId="1532"/>
    <cellStyle name="Calc Units (1) 5 6 2" xfId="1533"/>
    <cellStyle name="Calc Units (1) 5 6 3" xfId="1534"/>
    <cellStyle name="Calc Units (1) 5 7" xfId="1535"/>
    <cellStyle name="Calc Units (1) 5 7 2" xfId="1536"/>
    <cellStyle name="Calc Units (1) 5 7 3" xfId="1537"/>
    <cellStyle name="Calc Units (1) 5 8" xfId="1538"/>
    <cellStyle name="Calc Units (1) 5 8 2" xfId="1539"/>
    <cellStyle name="Calc Units (1) 5 8 3" xfId="1540"/>
    <cellStyle name="Calc Units (1) 5 9" xfId="1541"/>
    <cellStyle name="Calc Units (1) 6" xfId="1542"/>
    <cellStyle name="Calc Units (1) 6 10" xfId="1543"/>
    <cellStyle name="Calc Units (1) 6 11" xfId="1544"/>
    <cellStyle name="Calc Units (1) 6 2" xfId="1545"/>
    <cellStyle name="Calc Units (1) 6 2 2" xfId="1546"/>
    <cellStyle name="Calc Units (1) 6 2 2 2" xfId="1547"/>
    <cellStyle name="Calc Units (1) 6 2 2 3" xfId="1548"/>
    <cellStyle name="Calc Units (1) 6 2 3" xfId="1549"/>
    <cellStyle name="Calc Units (1) 6 2 4" xfId="1550"/>
    <cellStyle name="Calc Units (1) 6 3" xfId="1551"/>
    <cellStyle name="Calc Units (1) 6 3 2" xfId="1552"/>
    <cellStyle name="Calc Units (1) 6 3 3" xfId="1553"/>
    <cellStyle name="Calc Units (1) 6 4" xfId="1554"/>
    <cellStyle name="Calc Units (1) 6 4 2" xfId="1555"/>
    <cellStyle name="Calc Units (1) 6 4 3" xfId="1556"/>
    <cellStyle name="Calc Units (1) 6 5" xfId="1557"/>
    <cellStyle name="Calc Units (1) 6 5 2" xfId="1558"/>
    <cellStyle name="Calc Units (1) 6 5 3" xfId="1559"/>
    <cellStyle name="Calc Units (1) 6 6" xfId="1560"/>
    <cellStyle name="Calc Units (1) 6 6 2" xfId="1561"/>
    <cellStyle name="Calc Units (1) 6 6 3" xfId="1562"/>
    <cellStyle name="Calc Units (1) 6 7" xfId="1563"/>
    <cellStyle name="Calc Units (1) 6 7 2" xfId="1564"/>
    <cellStyle name="Calc Units (1) 6 7 3" xfId="1565"/>
    <cellStyle name="Calc Units (1) 6 8" xfId="1566"/>
    <cellStyle name="Calc Units (1) 6 8 2" xfId="1567"/>
    <cellStyle name="Calc Units (1) 6 8 3" xfId="1568"/>
    <cellStyle name="Calc Units (1) 6 9" xfId="1569"/>
    <cellStyle name="Calc Units (1) 7" xfId="1570"/>
    <cellStyle name="Calc Units (1) 7 2" xfId="1571"/>
    <cellStyle name="Calc Units (1) 7 3" xfId="1572"/>
    <cellStyle name="Calc Units (1) 8" xfId="1573"/>
    <cellStyle name="Calc Units (1) 8 2" xfId="1574"/>
    <cellStyle name="Calc Units (1) 9" xfId="1575"/>
    <cellStyle name="Calc Units (1) 9 2" xfId="1576"/>
    <cellStyle name="Calc Units (2)" xfId="1577"/>
    <cellStyle name="Calculation" xfId="1578"/>
    <cellStyle name="category" xfId="1579"/>
    <cellStyle name="category 2" xfId="1580"/>
    <cellStyle name="Change A&amp;ll" xfId="1581"/>
    <cellStyle name="Change A&amp;ll 2" xfId="1582"/>
    <cellStyle name="Change A&amp;ll 3" xfId="1583"/>
    <cellStyle name="Check Cell" xfId="1584"/>
    <cellStyle name="ColLevel_0" xfId="1585"/>
    <cellStyle name="Column_Title" xfId="1586"/>
    <cellStyle name="Comma  - Style1" xfId="1587"/>
    <cellStyle name="Comma  - Style2" xfId="1588"/>
    <cellStyle name="Comma  - Style3" xfId="1589"/>
    <cellStyle name="Comma  - Style4" xfId="1590"/>
    <cellStyle name="Comma  - Style5" xfId="1591"/>
    <cellStyle name="Comma  - Style6" xfId="1592"/>
    <cellStyle name="Comma  - Style7" xfId="1593"/>
    <cellStyle name="Comma  - Style8" xfId="1594"/>
    <cellStyle name="Comma [0]" xfId="1595"/>
    <cellStyle name="Comma [0] 2" xfId="1596"/>
    <cellStyle name="Comma [0] 3" xfId="1597"/>
    <cellStyle name="Comma [00]" xfId="1598"/>
    <cellStyle name="Comma 107" xfId="1599"/>
    <cellStyle name="Comma 107 2" xfId="1600"/>
    <cellStyle name="Comma 110" xfId="1601"/>
    <cellStyle name="Comma 110 2" xfId="1602"/>
    <cellStyle name="Comma 118" xfId="1603"/>
    <cellStyle name="Comma 118 2" xfId="1604"/>
    <cellStyle name="Comma 2" xfId="1605"/>
    <cellStyle name="Comma 2 2" xfId="1606"/>
    <cellStyle name="Comma 2 2 2" xfId="1607"/>
    <cellStyle name="Comma 2 3" xfId="1608"/>
    <cellStyle name="Comma 3" xfId="1609"/>
    <cellStyle name="Comma 4" xfId="1610"/>
    <cellStyle name="Comma 4 2" xfId="1611"/>
    <cellStyle name="Comma 81" xfId="1612"/>
    <cellStyle name="Comma 81 2" xfId="1613"/>
    <cellStyle name="Comma 82" xfId="1614"/>
    <cellStyle name="Comma 82 2" xfId="1615"/>
    <cellStyle name="Comma 83" xfId="1616"/>
    <cellStyle name="Comma 83 2" xfId="1617"/>
    <cellStyle name="Comma 84" xfId="1618"/>
    <cellStyle name="Comma 84 2" xfId="1619"/>
    <cellStyle name="Comma 85" xfId="1620"/>
    <cellStyle name="Comma 85 2" xfId="1621"/>
    <cellStyle name="Comma 86" xfId="1622"/>
    <cellStyle name="Comma 86 2" xfId="1623"/>
    <cellStyle name="Comma 87" xfId="1624"/>
    <cellStyle name="Comma 87 2" xfId="1625"/>
    <cellStyle name="Comma 90" xfId="1626"/>
    <cellStyle name="Comma 90 2" xfId="1627"/>
    <cellStyle name="Comma 91" xfId="1628"/>
    <cellStyle name="Comma 91 2" xfId="1629"/>
    <cellStyle name="Comma_ 结 算2" xfId="1630"/>
    <cellStyle name="Copied" xfId="1631"/>
    <cellStyle name="Copied 2" xfId="1632"/>
    <cellStyle name="Currency [0]" xfId="1633"/>
    <cellStyle name="Currency [0] 2" xfId="1634"/>
    <cellStyle name="Currency [0] 3" xfId="1635"/>
    <cellStyle name="Currency [0] 4" xfId="1636"/>
    <cellStyle name="Currency [0] 5" xfId="1637"/>
    <cellStyle name="Currency [00]" xfId="1638"/>
    <cellStyle name="Currency_ R.O.I. #9" xfId="1639"/>
    <cellStyle name="Currency0" xfId="1640"/>
    <cellStyle name="Currency0 2" xfId="1641"/>
    <cellStyle name="Currency0 3" xfId="1642"/>
    <cellStyle name="custom" xfId="1643"/>
    <cellStyle name="Date" xfId="1644"/>
    <cellStyle name="Date 10" xfId="1645"/>
    <cellStyle name="Date 2" xfId="1646"/>
    <cellStyle name="Date 3" xfId="1647"/>
    <cellStyle name="Date 4" xfId="1648"/>
    <cellStyle name="Date 5" xfId="1649"/>
    <cellStyle name="Date 6" xfId="1650"/>
    <cellStyle name="Date 7" xfId="1651"/>
    <cellStyle name="Date 8" xfId="1652"/>
    <cellStyle name="Date 9" xfId="1653"/>
    <cellStyle name="Date Short" xfId="1654"/>
    <cellStyle name="Date_capinves" xfId="1655"/>
    <cellStyle name="Debit" xfId="1656"/>
    <cellStyle name="DK" xfId="1657"/>
    <cellStyle name="Dollars" xfId="1658"/>
    <cellStyle name="Dollars(0)" xfId="1659"/>
    <cellStyle name="Enter Currency (0)" xfId="1660"/>
    <cellStyle name="Enter Currency (2)" xfId="1661"/>
    <cellStyle name="Enter Units (0)" xfId="1662"/>
    <cellStyle name="Enter Units (1)" xfId="1663"/>
    <cellStyle name="Enter Units (1) 10" xfId="1664"/>
    <cellStyle name="Enter Units (1) 10 2" xfId="1665"/>
    <cellStyle name="Enter Units (1) 11" xfId="1666"/>
    <cellStyle name="Enter Units (1) 11 2" xfId="1667"/>
    <cellStyle name="Enter Units (1) 12" xfId="1668"/>
    <cellStyle name="Enter Units (1) 12 2" xfId="1669"/>
    <cellStyle name="Enter Units (1) 2" xfId="1670"/>
    <cellStyle name="Enter Units (1) 2 2" xfId="1671"/>
    <cellStyle name="Enter Units (1) 2 3" xfId="1672"/>
    <cellStyle name="Enter Units (1) 2 4" xfId="1673"/>
    <cellStyle name="Enter Units (1) 2 5" xfId="1674"/>
    <cellStyle name="Enter Units (1) 2 6" xfId="1675"/>
    <cellStyle name="Enter Units (1) 3" xfId="1676"/>
    <cellStyle name="Enter Units (1) 4" xfId="1677"/>
    <cellStyle name="Enter Units (1) 4 10" xfId="1678"/>
    <cellStyle name="Enter Units (1) 4 11" xfId="1679"/>
    <cellStyle name="Enter Units (1) 4 2" xfId="1680"/>
    <cellStyle name="Enter Units (1) 4 2 2" xfId="1681"/>
    <cellStyle name="Enter Units (1) 4 2 2 2" xfId="1682"/>
    <cellStyle name="Enter Units (1) 4 2 2 3" xfId="1683"/>
    <cellStyle name="Enter Units (1) 4 2 3" xfId="1684"/>
    <cellStyle name="Enter Units (1) 4 2 4" xfId="1685"/>
    <cellStyle name="Enter Units (1) 4 3" xfId="1686"/>
    <cellStyle name="Enter Units (1) 4 3 2" xfId="1687"/>
    <cellStyle name="Enter Units (1) 4 3 3" xfId="1688"/>
    <cellStyle name="Enter Units (1) 4 4" xfId="1689"/>
    <cellStyle name="Enter Units (1) 4 4 2" xfId="1690"/>
    <cellStyle name="Enter Units (1) 4 4 3" xfId="1691"/>
    <cellStyle name="Enter Units (1) 4 5" xfId="1692"/>
    <cellStyle name="Enter Units (1) 4 5 2" xfId="1693"/>
    <cellStyle name="Enter Units (1) 4 5 3" xfId="1694"/>
    <cellStyle name="Enter Units (1) 4 6" xfId="1695"/>
    <cellStyle name="Enter Units (1) 4 6 2" xfId="1696"/>
    <cellStyle name="Enter Units (1) 4 6 3" xfId="1697"/>
    <cellStyle name="Enter Units (1) 4 7" xfId="1698"/>
    <cellStyle name="Enter Units (1) 4 7 2" xfId="1699"/>
    <cellStyle name="Enter Units (1) 4 7 3" xfId="1700"/>
    <cellStyle name="Enter Units (1) 4 8" xfId="1701"/>
    <cellStyle name="Enter Units (1) 4 8 2" xfId="1702"/>
    <cellStyle name="Enter Units (1) 4 8 3" xfId="1703"/>
    <cellStyle name="Enter Units (1) 4 9" xfId="1704"/>
    <cellStyle name="Enter Units (1) 5" xfId="1705"/>
    <cellStyle name="Enter Units (1) 5 10" xfId="1706"/>
    <cellStyle name="Enter Units (1) 5 11" xfId="1707"/>
    <cellStyle name="Enter Units (1) 5 2" xfId="1708"/>
    <cellStyle name="Enter Units (1) 5 2 2" xfId="1709"/>
    <cellStyle name="Enter Units (1) 5 2 2 2" xfId="1710"/>
    <cellStyle name="Enter Units (1) 5 2 2 3" xfId="1711"/>
    <cellStyle name="Enter Units (1) 5 2 3" xfId="1712"/>
    <cellStyle name="Enter Units (1) 5 2 4" xfId="1713"/>
    <cellStyle name="Enter Units (1) 5 3" xfId="1714"/>
    <cellStyle name="Enter Units (1) 5 3 2" xfId="1715"/>
    <cellStyle name="Enter Units (1) 5 3 3" xfId="1716"/>
    <cellStyle name="Enter Units (1) 5 4" xfId="1717"/>
    <cellStyle name="Enter Units (1) 5 4 2" xfId="1718"/>
    <cellStyle name="Enter Units (1) 5 4 3" xfId="1719"/>
    <cellStyle name="Enter Units (1) 5 5" xfId="1720"/>
    <cellStyle name="Enter Units (1) 5 5 2" xfId="1721"/>
    <cellStyle name="Enter Units (1) 5 5 3" xfId="1722"/>
    <cellStyle name="Enter Units (1) 5 6" xfId="1723"/>
    <cellStyle name="Enter Units (1) 5 6 2" xfId="1724"/>
    <cellStyle name="Enter Units (1) 5 6 3" xfId="1725"/>
    <cellStyle name="Enter Units (1) 5 7" xfId="1726"/>
    <cellStyle name="Enter Units (1) 5 7 2" xfId="1727"/>
    <cellStyle name="Enter Units (1) 5 7 3" xfId="1728"/>
    <cellStyle name="Enter Units (1) 5 8" xfId="1729"/>
    <cellStyle name="Enter Units (1) 5 8 2" xfId="1730"/>
    <cellStyle name="Enter Units (1) 5 8 3" xfId="1731"/>
    <cellStyle name="Enter Units (1) 5 9" xfId="1732"/>
    <cellStyle name="Enter Units (1) 6" xfId="1733"/>
    <cellStyle name="Enter Units (1) 6 10" xfId="1734"/>
    <cellStyle name="Enter Units (1) 6 11" xfId="1735"/>
    <cellStyle name="Enter Units (1) 6 2" xfId="1736"/>
    <cellStyle name="Enter Units (1) 6 2 2" xfId="1737"/>
    <cellStyle name="Enter Units (1) 6 2 2 2" xfId="1738"/>
    <cellStyle name="Enter Units (1) 6 2 2 3" xfId="1739"/>
    <cellStyle name="Enter Units (1) 6 2 3" xfId="1740"/>
    <cellStyle name="Enter Units (1) 6 2 4" xfId="1741"/>
    <cellStyle name="Enter Units (1) 6 3" xfId="1742"/>
    <cellStyle name="Enter Units (1) 6 3 2" xfId="1743"/>
    <cellStyle name="Enter Units (1) 6 3 3" xfId="1744"/>
    <cellStyle name="Enter Units (1) 6 4" xfId="1745"/>
    <cellStyle name="Enter Units (1) 6 4 2" xfId="1746"/>
    <cellStyle name="Enter Units (1) 6 4 3" xfId="1747"/>
    <cellStyle name="Enter Units (1) 6 5" xfId="1748"/>
    <cellStyle name="Enter Units (1) 6 5 2" xfId="1749"/>
    <cellStyle name="Enter Units (1) 6 5 3" xfId="1750"/>
    <cellStyle name="Enter Units (1) 6 6" xfId="1751"/>
    <cellStyle name="Enter Units (1) 6 6 2" xfId="1752"/>
    <cellStyle name="Enter Units (1) 6 6 3" xfId="1753"/>
    <cellStyle name="Enter Units (1) 6 7" xfId="1754"/>
    <cellStyle name="Enter Units (1) 6 7 2" xfId="1755"/>
    <cellStyle name="Enter Units (1) 6 7 3" xfId="1756"/>
    <cellStyle name="Enter Units (1) 6 8" xfId="1757"/>
    <cellStyle name="Enter Units (1) 6 8 2" xfId="1758"/>
    <cellStyle name="Enter Units (1) 6 8 3" xfId="1759"/>
    <cellStyle name="Enter Units (1) 6 9" xfId="1760"/>
    <cellStyle name="Enter Units (1) 7" xfId="1761"/>
    <cellStyle name="Enter Units (1) 7 2" xfId="1762"/>
    <cellStyle name="Enter Units (1) 7 3" xfId="1763"/>
    <cellStyle name="Enter Units (1) 8" xfId="1764"/>
    <cellStyle name="Enter Units (1) 8 2" xfId="1765"/>
    <cellStyle name="Enter Units (1) 9" xfId="1766"/>
    <cellStyle name="Enter Units (1) 9 2" xfId="1767"/>
    <cellStyle name="Enter Units (2)" xfId="1768"/>
    <cellStyle name="Entered" xfId="1769"/>
    <cellStyle name="Entered 2" xfId="1770"/>
    <cellStyle name="entry box" xfId="1771"/>
    <cellStyle name="Euro" xfId="1772"/>
    <cellStyle name="Explanatory Text" xfId="1773"/>
    <cellStyle name="F2" xfId="1774"/>
    <cellStyle name="F3" xfId="1775"/>
    <cellStyle name="F4" xfId="1776"/>
    <cellStyle name="F5" xfId="1777"/>
    <cellStyle name="F6" xfId="1778"/>
    <cellStyle name="F7" xfId="1779"/>
    <cellStyle name="F8" xfId="1780"/>
    <cellStyle name="Fixed" xfId="1781"/>
    <cellStyle name="Followed Hyperlink_han intl 2002.10.31" xfId="1782"/>
    <cellStyle name="Good" xfId="1783"/>
    <cellStyle name="Grey" xfId="1784"/>
    <cellStyle name="Grey 2" xfId="1785"/>
    <cellStyle name="HEADER" xfId="1786"/>
    <cellStyle name="HEADER 2" xfId="1787"/>
    <cellStyle name="Header1" xfId="1788"/>
    <cellStyle name="Header1 2" xfId="1789"/>
    <cellStyle name="Header2" xfId="1790"/>
    <cellStyle name="Header2 2" xfId="1791"/>
    <cellStyle name="header3" xfId="1792"/>
    <cellStyle name="Heading 1" xfId="1793"/>
    <cellStyle name="Heading 2" xfId="1794"/>
    <cellStyle name="Heading 3" xfId="1795"/>
    <cellStyle name="Heading 4" xfId="1796"/>
    <cellStyle name="Heading1" xfId="1797"/>
    <cellStyle name="Heading2" xfId="1798"/>
    <cellStyle name="HEADINGS" xfId="1799"/>
    <cellStyle name="HEADINGS 2" xfId="1800"/>
    <cellStyle name="HEADINGSTOP" xfId="1801"/>
    <cellStyle name="HEADINGSTOP 2" xfId="1802"/>
    <cellStyle name="Hyperlink_han intl 2002.10.31" xfId="1803"/>
    <cellStyle name="Input" xfId="1804"/>
    <cellStyle name="Input [yellow]" xfId="1805"/>
    <cellStyle name="Input [yellow] 2" xfId="1806"/>
    <cellStyle name="Input [yellow] 3" xfId="1807"/>
    <cellStyle name="Input 2" xfId="1808"/>
    <cellStyle name="Input Cells" xfId="1809"/>
    <cellStyle name="Input Cells 2" xfId="1810"/>
    <cellStyle name="Input_1020（大市政）西小马市政费用测算091018(1)" xfId="1811"/>
    <cellStyle name="Link Currency (0)" xfId="1812"/>
    <cellStyle name="Link Currency (2)" xfId="1813"/>
    <cellStyle name="Link Units (0)" xfId="1814"/>
    <cellStyle name="Link Units (1)" xfId="1815"/>
    <cellStyle name="Link Units (1) 10" xfId="1816"/>
    <cellStyle name="Link Units (1) 10 2" xfId="1817"/>
    <cellStyle name="Link Units (1) 11" xfId="1818"/>
    <cellStyle name="Link Units (1) 11 2" xfId="1819"/>
    <cellStyle name="Link Units (1) 12" xfId="1820"/>
    <cellStyle name="Link Units (1) 12 2" xfId="1821"/>
    <cellStyle name="Link Units (1) 2" xfId="1822"/>
    <cellStyle name="Link Units (1) 2 2" xfId="1823"/>
    <cellStyle name="Link Units (1) 2 3" xfId="1824"/>
    <cellStyle name="Link Units (1) 2 4" xfId="1825"/>
    <cellStyle name="Link Units (1) 2 5" xfId="1826"/>
    <cellStyle name="Link Units (1) 2 6" xfId="1827"/>
    <cellStyle name="Link Units (1) 3" xfId="1828"/>
    <cellStyle name="Link Units (1) 4" xfId="1829"/>
    <cellStyle name="Link Units (1) 4 10" xfId="1830"/>
    <cellStyle name="Link Units (1) 4 11" xfId="1831"/>
    <cellStyle name="Link Units (1) 4 2" xfId="1832"/>
    <cellStyle name="Link Units (1) 4 2 2" xfId="1833"/>
    <cellStyle name="Link Units (1) 4 2 2 2" xfId="1834"/>
    <cellStyle name="Link Units (1) 4 2 2 3" xfId="1835"/>
    <cellStyle name="Link Units (1) 4 2 3" xfId="1836"/>
    <cellStyle name="Link Units (1) 4 2 4" xfId="1837"/>
    <cellStyle name="Link Units (1) 4 3" xfId="1838"/>
    <cellStyle name="Link Units (1) 4 3 2" xfId="1839"/>
    <cellStyle name="Link Units (1) 4 3 3" xfId="1840"/>
    <cellStyle name="Link Units (1) 4 4" xfId="1841"/>
    <cellStyle name="Link Units (1) 4 4 2" xfId="1842"/>
    <cellStyle name="Link Units (1) 4 4 3" xfId="1843"/>
    <cellStyle name="Link Units (1) 4 5" xfId="1844"/>
    <cellStyle name="Link Units (1) 4 5 2" xfId="1845"/>
    <cellStyle name="Link Units (1) 4 5 3" xfId="1846"/>
    <cellStyle name="Link Units (1) 4 6" xfId="1847"/>
    <cellStyle name="Link Units (1) 4 6 2" xfId="1848"/>
    <cellStyle name="Link Units (1) 4 6 3" xfId="1849"/>
    <cellStyle name="Link Units (1) 4 7" xfId="1850"/>
    <cellStyle name="Link Units (1) 4 7 2" xfId="1851"/>
    <cellStyle name="Link Units (1) 4 7 3" xfId="1852"/>
    <cellStyle name="Link Units (1) 4 8" xfId="1853"/>
    <cellStyle name="Link Units (1) 4 8 2" xfId="1854"/>
    <cellStyle name="Link Units (1) 4 8 3" xfId="1855"/>
    <cellStyle name="Link Units (1) 4 9" xfId="1856"/>
    <cellStyle name="Link Units (1) 5" xfId="1857"/>
    <cellStyle name="Link Units (1) 5 10" xfId="1858"/>
    <cellStyle name="Link Units (1) 5 11" xfId="1859"/>
    <cellStyle name="Link Units (1) 5 2" xfId="1860"/>
    <cellStyle name="Link Units (1) 5 2 2" xfId="1861"/>
    <cellStyle name="Link Units (1) 5 2 2 2" xfId="1862"/>
    <cellStyle name="Link Units (1) 5 2 2 3" xfId="1863"/>
    <cellStyle name="Link Units (1) 5 2 3" xfId="1864"/>
    <cellStyle name="Link Units (1) 5 2 4" xfId="1865"/>
    <cellStyle name="Link Units (1) 5 3" xfId="1866"/>
    <cellStyle name="Link Units (1) 5 3 2" xfId="1867"/>
    <cellStyle name="Link Units (1) 5 3 3" xfId="1868"/>
    <cellStyle name="Link Units (1) 5 4" xfId="1869"/>
    <cellStyle name="Link Units (1) 5 4 2" xfId="1870"/>
    <cellStyle name="Link Units (1) 5 4 3" xfId="1871"/>
    <cellStyle name="Link Units (1) 5 5" xfId="1872"/>
    <cellStyle name="Link Units (1) 5 5 2" xfId="1873"/>
    <cellStyle name="Link Units (1) 5 5 3" xfId="1874"/>
    <cellStyle name="Link Units (1) 5 6" xfId="1875"/>
    <cellStyle name="Link Units (1) 5 6 2" xfId="1876"/>
    <cellStyle name="Link Units (1) 5 6 3" xfId="1877"/>
    <cellStyle name="Link Units (1) 5 7" xfId="1878"/>
    <cellStyle name="Link Units (1) 5 7 2" xfId="1879"/>
    <cellStyle name="Link Units (1) 5 7 3" xfId="1880"/>
    <cellStyle name="Link Units (1) 5 8" xfId="1881"/>
    <cellStyle name="Link Units (1) 5 8 2" xfId="1882"/>
    <cellStyle name="Link Units (1) 5 8 3" xfId="1883"/>
    <cellStyle name="Link Units (1) 5 9" xfId="1884"/>
    <cellStyle name="Link Units (1) 6" xfId="1885"/>
    <cellStyle name="Link Units (1) 6 10" xfId="1886"/>
    <cellStyle name="Link Units (1) 6 11" xfId="1887"/>
    <cellStyle name="Link Units (1) 6 2" xfId="1888"/>
    <cellStyle name="Link Units (1) 6 2 2" xfId="1889"/>
    <cellStyle name="Link Units (1) 6 2 2 2" xfId="1890"/>
    <cellStyle name="Link Units (1) 6 2 2 3" xfId="1891"/>
    <cellStyle name="Link Units (1) 6 2 3" xfId="1892"/>
    <cellStyle name="Link Units (1) 6 2 4" xfId="1893"/>
    <cellStyle name="Link Units (1) 6 3" xfId="1894"/>
    <cellStyle name="Link Units (1) 6 3 2" xfId="1895"/>
    <cellStyle name="Link Units (1) 6 3 3" xfId="1896"/>
    <cellStyle name="Link Units (1) 6 4" xfId="1897"/>
    <cellStyle name="Link Units (1) 6 4 2" xfId="1898"/>
    <cellStyle name="Link Units (1) 6 4 3" xfId="1899"/>
    <cellStyle name="Link Units (1) 6 5" xfId="1900"/>
    <cellStyle name="Link Units (1) 6 5 2" xfId="1901"/>
    <cellStyle name="Link Units (1) 6 5 3" xfId="1902"/>
    <cellStyle name="Link Units (1) 6 6" xfId="1903"/>
    <cellStyle name="Link Units (1) 6 6 2" xfId="1904"/>
    <cellStyle name="Link Units (1) 6 6 3" xfId="1905"/>
    <cellStyle name="Link Units (1) 6 7" xfId="1906"/>
    <cellStyle name="Link Units (1) 6 7 2" xfId="1907"/>
    <cellStyle name="Link Units (1) 6 7 3" xfId="1908"/>
    <cellStyle name="Link Units (1) 6 8" xfId="1909"/>
    <cellStyle name="Link Units (1) 6 8 2" xfId="1910"/>
    <cellStyle name="Link Units (1) 6 8 3" xfId="1911"/>
    <cellStyle name="Link Units (1) 6 9" xfId="1912"/>
    <cellStyle name="Link Units (1) 7" xfId="1913"/>
    <cellStyle name="Link Units (1) 7 2" xfId="1914"/>
    <cellStyle name="Link Units (1) 7 3" xfId="1915"/>
    <cellStyle name="Link Units (1) 8" xfId="1916"/>
    <cellStyle name="Link Units (1) 8 2" xfId="1917"/>
    <cellStyle name="Link Units (1) 9" xfId="1918"/>
    <cellStyle name="Link Units (1) 9 2" xfId="1919"/>
    <cellStyle name="Link Units (2)" xfId="1920"/>
    <cellStyle name="Linked Cell" xfId="1921"/>
    <cellStyle name="Linked Cells" xfId="1922"/>
    <cellStyle name="Linked Cells 2" xfId="1923"/>
    <cellStyle name="lixq" xfId="1924"/>
    <cellStyle name="lixq 10" xfId="1925"/>
    <cellStyle name="lixq 2" xfId="1926"/>
    <cellStyle name="lixq 2 2" xfId="1927"/>
    <cellStyle name="lixq 2 2 2" xfId="1928"/>
    <cellStyle name="lixq 2 2 2 2" xfId="1929"/>
    <cellStyle name="lixq 2 2 3" xfId="1930"/>
    <cellStyle name="lixq 2 2 3 2" xfId="1931"/>
    <cellStyle name="lixq 2 2 4" xfId="1932"/>
    <cellStyle name="lixq 2 2 4 2" xfId="1933"/>
    <cellStyle name="lixq 2 2 5" xfId="1934"/>
    <cellStyle name="lixq 2 2 5 2" xfId="1935"/>
    <cellStyle name="lixq 2 2 6" xfId="1936"/>
    <cellStyle name="lixq 2 2 6 2" xfId="1937"/>
    <cellStyle name="lixq 2 2 7" xfId="1938"/>
    <cellStyle name="lixq 2 3" xfId="1939"/>
    <cellStyle name="lixq 2 3 2" xfId="1940"/>
    <cellStyle name="lixq 2 4" xfId="1941"/>
    <cellStyle name="lixq 2 4 2" xfId="1942"/>
    <cellStyle name="lixq 2 5" xfId="1943"/>
    <cellStyle name="lixq 2 5 2" xfId="1944"/>
    <cellStyle name="lixq 2 6" xfId="1945"/>
    <cellStyle name="lixq 2 6 2" xfId="1946"/>
    <cellStyle name="lixq 2 7" xfId="1947"/>
    <cellStyle name="lixq 2 7 2" xfId="1948"/>
    <cellStyle name="lixq 2 8" xfId="1949"/>
    <cellStyle name="lixq 2 9" xfId="1950"/>
    <cellStyle name="lixq 3" xfId="1951"/>
    <cellStyle name="lixq 3 2" xfId="1952"/>
    <cellStyle name="lixq 3 2 2" xfId="1953"/>
    <cellStyle name="lixq 3 3" xfId="1954"/>
    <cellStyle name="lixq 3 3 2" xfId="1955"/>
    <cellStyle name="lixq 3 4" xfId="1956"/>
    <cellStyle name="lixq 3 4 2" xfId="1957"/>
    <cellStyle name="lixq 3 5" xfId="1958"/>
    <cellStyle name="lixq 3 5 2" xfId="1959"/>
    <cellStyle name="lixq 3 6" xfId="1960"/>
    <cellStyle name="lixq 3 6 2" xfId="1961"/>
    <cellStyle name="lixq 3 7" xfId="1962"/>
    <cellStyle name="lixq 3 8" xfId="1963"/>
    <cellStyle name="lixq 4" xfId="1964"/>
    <cellStyle name="lixq 4 2" xfId="1965"/>
    <cellStyle name="lixq 5" xfId="1966"/>
    <cellStyle name="lixq 5 2" xfId="1967"/>
    <cellStyle name="lixq 6" xfId="1968"/>
    <cellStyle name="lixq 6 2" xfId="1969"/>
    <cellStyle name="lixq 7" xfId="1970"/>
    <cellStyle name="lixq 7 2" xfId="1971"/>
    <cellStyle name="lixq 8" xfId="1972"/>
    <cellStyle name="lixq 8 2" xfId="1973"/>
    <cellStyle name="lixq 9" xfId="1974"/>
    <cellStyle name="Millares [0]_96 Risk" xfId="1975"/>
    <cellStyle name="Millares_96 Risk" xfId="1976"/>
    <cellStyle name="Milliers [0]_!!!GO" xfId="1977"/>
    <cellStyle name="Milliers_!!!GO" xfId="1978"/>
    <cellStyle name="Model" xfId="1979"/>
    <cellStyle name="Model 2" xfId="1980"/>
    <cellStyle name="Moneda [0]_96 Risk" xfId="1981"/>
    <cellStyle name="Moneda_96 Risk" xfId="1982"/>
    <cellStyle name="Monétaire [0]_PERSONAL" xfId="1983"/>
    <cellStyle name="Monétaire_PERSONAL" xfId="1984"/>
    <cellStyle name="Mon閠aire [0]_!!!GO" xfId="1985"/>
    <cellStyle name="Mon閠aire_!!!GO" xfId="1986"/>
    <cellStyle name="Neutral" xfId="1987"/>
    <cellStyle name="New Times Roman" xfId="1988"/>
    <cellStyle name="New Times Roman 2" xfId="1989"/>
    <cellStyle name="no dec" xfId="1990"/>
    <cellStyle name="no dec 2" xfId="1991"/>
    <cellStyle name="Normal - Style1" xfId="1992"/>
    <cellStyle name="Normal - Style1 2" xfId="1993"/>
    <cellStyle name="Normal 148" xfId="1994"/>
    <cellStyle name="Normal 150" xfId="1995"/>
    <cellStyle name="Normal 151" xfId="1996"/>
    <cellStyle name="Normal 153" xfId="1997"/>
    <cellStyle name="Normal 155" xfId="1998"/>
    <cellStyle name="Normal 156" xfId="1999"/>
    <cellStyle name="Normal 16" xfId="2000"/>
    <cellStyle name="Normal 2" xfId="2001"/>
    <cellStyle name="Normal 2 2" xfId="2002"/>
    <cellStyle name="Normal 2 2 2" xfId="2003"/>
    <cellStyle name="Normal 2 2 2 2 52" xfId="2004"/>
    <cellStyle name="Normal 2 2 3" xfId="2005"/>
    <cellStyle name="Normal 2 2_ADJ" xfId="2006"/>
    <cellStyle name="Normal 2 3" xfId="2007"/>
    <cellStyle name="Normal 2 3 2" xfId="2008"/>
    <cellStyle name="Normal 2 3 3" xfId="2009"/>
    <cellStyle name="Normal 29" xfId="2010"/>
    <cellStyle name="Normal 3" xfId="2011"/>
    <cellStyle name="Normal 3 14" xfId="2012"/>
    <cellStyle name="Normal 3 2" xfId="2013"/>
    <cellStyle name="Normal 4" xfId="2014"/>
    <cellStyle name="Normal 7" xfId="2015"/>
    <cellStyle name="Normal 7 2" xfId="2016"/>
    <cellStyle name="Normal_ R.O.I. #9" xfId="2017"/>
    <cellStyle name="Normalny_Arkusz1" xfId="2018"/>
    <cellStyle name="Note" xfId="2019"/>
    <cellStyle name="Output" xfId="2020"/>
    <cellStyle name="Output Amounts" xfId="2021"/>
    <cellStyle name="Output Column Headings" xfId="2022"/>
    <cellStyle name="Output Line Items" xfId="2023"/>
    <cellStyle name="Output Report Heading" xfId="2024"/>
    <cellStyle name="Output Report Title" xfId="2025"/>
    <cellStyle name="Output_1020（大市政）西小马市政费用测算091018(1)" xfId="2026"/>
    <cellStyle name="per.style" xfId="2027"/>
    <cellStyle name="per.style 2" xfId="2028"/>
    <cellStyle name="Percent [0]" xfId="2029"/>
    <cellStyle name="Percent [0] 10" xfId="2030"/>
    <cellStyle name="Percent [0] 10 2" xfId="2031"/>
    <cellStyle name="Percent [0] 2" xfId="2032"/>
    <cellStyle name="Percent [0] 2 10" xfId="2033"/>
    <cellStyle name="Percent [0] 2 11" xfId="2034"/>
    <cellStyle name="Percent [0] 2 2" xfId="2035"/>
    <cellStyle name="Percent [0] 2 2 2" xfId="2036"/>
    <cellStyle name="Percent [0] 2 2 2 2" xfId="2037"/>
    <cellStyle name="Percent [0] 2 2 2 3" xfId="2038"/>
    <cellStyle name="Percent [0] 2 2 3" xfId="2039"/>
    <cellStyle name="Percent [0] 2 2 4" xfId="2040"/>
    <cellStyle name="Percent [0] 2 3" xfId="2041"/>
    <cellStyle name="Percent [0] 2 3 2" xfId="2042"/>
    <cellStyle name="Percent [0] 2 3 3" xfId="2043"/>
    <cellStyle name="Percent [0] 2 4" xfId="2044"/>
    <cellStyle name="Percent [0] 2 4 2" xfId="2045"/>
    <cellStyle name="Percent [0] 2 4 3" xfId="2046"/>
    <cellStyle name="Percent [0] 2 5" xfId="2047"/>
    <cellStyle name="Percent [0] 2 5 2" xfId="2048"/>
    <cellStyle name="Percent [0] 2 5 3" xfId="2049"/>
    <cellStyle name="Percent [0] 2 6" xfId="2050"/>
    <cellStyle name="Percent [0] 2 6 2" xfId="2051"/>
    <cellStyle name="Percent [0] 2 6 3" xfId="2052"/>
    <cellStyle name="Percent [0] 2 7" xfId="2053"/>
    <cellStyle name="Percent [0] 2 7 2" xfId="2054"/>
    <cellStyle name="Percent [0] 2 7 3" xfId="2055"/>
    <cellStyle name="Percent [0] 2 8" xfId="2056"/>
    <cellStyle name="Percent [0] 2 8 2" xfId="2057"/>
    <cellStyle name="Percent [0] 2 8 3" xfId="2058"/>
    <cellStyle name="Percent [0] 2 9" xfId="2059"/>
    <cellStyle name="Percent [0] 3" xfId="2060"/>
    <cellStyle name="Percent [0] 3 10" xfId="2061"/>
    <cellStyle name="Percent [0] 3 11" xfId="2062"/>
    <cellStyle name="Percent [0] 3 2" xfId="2063"/>
    <cellStyle name="Percent [0] 3 2 2" xfId="2064"/>
    <cellStyle name="Percent [0] 3 2 2 2" xfId="2065"/>
    <cellStyle name="Percent [0] 3 2 2 3" xfId="2066"/>
    <cellStyle name="Percent [0] 3 2 3" xfId="2067"/>
    <cellStyle name="Percent [0] 3 2 4" xfId="2068"/>
    <cellStyle name="Percent [0] 3 3" xfId="2069"/>
    <cellStyle name="Percent [0] 3 3 2" xfId="2070"/>
    <cellStyle name="Percent [0] 3 3 3" xfId="2071"/>
    <cellStyle name="Percent [0] 3 4" xfId="2072"/>
    <cellStyle name="Percent [0] 3 4 2" xfId="2073"/>
    <cellStyle name="Percent [0] 3 4 3" xfId="2074"/>
    <cellStyle name="Percent [0] 3 5" xfId="2075"/>
    <cellStyle name="Percent [0] 3 5 2" xfId="2076"/>
    <cellStyle name="Percent [0] 3 5 3" xfId="2077"/>
    <cellStyle name="Percent [0] 3 6" xfId="2078"/>
    <cellStyle name="Percent [0] 3 6 2" xfId="2079"/>
    <cellStyle name="Percent [0] 3 6 3" xfId="2080"/>
    <cellStyle name="Percent [0] 3 7" xfId="2081"/>
    <cellStyle name="Percent [0] 3 7 2" xfId="2082"/>
    <cellStyle name="Percent [0] 3 7 3" xfId="2083"/>
    <cellStyle name="Percent [0] 3 8" xfId="2084"/>
    <cellStyle name="Percent [0] 3 8 2" xfId="2085"/>
    <cellStyle name="Percent [0] 3 8 3" xfId="2086"/>
    <cellStyle name="Percent [0] 3 9" xfId="2087"/>
    <cellStyle name="Percent [0] 4" xfId="2088"/>
    <cellStyle name="Percent [0] 4 10" xfId="2089"/>
    <cellStyle name="Percent [0] 4 11" xfId="2090"/>
    <cellStyle name="Percent [0] 4 2" xfId="2091"/>
    <cellStyle name="Percent [0] 4 2 2" xfId="2092"/>
    <cellStyle name="Percent [0] 4 2 2 2" xfId="2093"/>
    <cellStyle name="Percent [0] 4 2 2 3" xfId="2094"/>
    <cellStyle name="Percent [0] 4 2 3" xfId="2095"/>
    <cellStyle name="Percent [0] 4 2 4" xfId="2096"/>
    <cellStyle name="Percent [0] 4 3" xfId="2097"/>
    <cellStyle name="Percent [0] 4 3 2" xfId="2098"/>
    <cellStyle name="Percent [0] 4 3 3" xfId="2099"/>
    <cellStyle name="Percent [0] 4 4" xfId="2100"/>
    <cellStyle name="Percent [0] 4 4 2" xfId="2101"/>
    <cellStyle name="Percent [0] 4 4 3" xfId="2102"/>
    <cellStyle name="Percent [0] 4 5" xfId="2103"/>
    <cellStyle name="Percent [0] 4 5 2" xfId="2104"/>
    <cellStyle name="Percent [0] 4 5 3" xfId="2105"/>
    <cellStyle name="Percent [0] 4 6" xfId="2106"/>
    <cellStyle name="Percent [0] 4 6 2" xfId="2107"/>
    <cellStyle name="Percent [0] 4 6 3" xfId="2108"/>
    <cellStyle name="Percent [0] 4 7" xfId="2109"/>
    <cellStyle name="Percent [0] 4 7 2" xfId="2110"/>
    <cellStyle name="Percent [0] 4 7 3" xfId="2111"/>
    <cellStyle name="Percent [0] 4 8" xfId="2112"/>
    <cellStyle name="Percent [0] 4 8 2" xfId="2113"/>
    <cellStyle name="Percent [0] 4 8 3" xfId="2114"/>
    <cellStyle name="Percent [0] 4 9" xfId="2115"/>
    <cellStyle name="Percent [0] 5" xfId="2116"/>
    <cellStyle name="Percent [0] 5 2" xfId="2117"/>
    <cellStyle name="Percent [0] 5 3" xfId="2118"/>
    <cellStyle name="Percent [0] 6" xfId="2119"/>
    <cellStyle name="Percent [0] 6 2" xfId="2120"/>
    <cellStyle name="Percent [0] 7" xfId="2121"/>
    <cellStyle name="Percent [0] 7 2" xfId="2122"/>
    <cellStyle name="Percent [0] 8" xfId="2123"/>
    <cellStyle name="Percent [0] 8 2" xfId="2124"/>
    <cellStyle name="Percent [0] 9" xfId="2125"/>
    <cellStyle name="Percent [0] 9 2" xfId="2126"/>
    <cellStyle name="Percent [00]" xfId="2127"/>
    <cellStyle name="Percent [00] 10" xfId="2128"/>
    <cellStyle name="Percent [00] 10 2" xfId="2129"/>
    <cellStyle name="Percent [00] 2" xfId="2130"/>
    <cellStyle name="Percent [00] 2 10" xfId="2131"/>
    <cellStyle name="Percent [00] 2 11" xfId="2132"/>
    <cellStyle name="Percent [00] 2 2" xfId="2133"/>
    <cellStyle name="Percent [00] 2 2 2" xfId="2134"/>
    <cellStyle name="Percent [00] 2 2 2 2" xfId="2135"/>
    <cellStyle name="Percent [00] 2 2 2 3" xfId="2136"/>
    <cellStyle name="Percent [00] 2 2 3" xfId="2137"/>
    <cellStyle name="Percent [00] 2 2 4" xfId="2138"/>
    <cellStyle name="Percent [00] 2 3" xfId="2139"/>
    <cellStyle name="Percent [00] 2 3 2" xfId="2140"/>
    <cellStyle name="Percent [00] 2 3 3" xfId="2141"/>
    <cellStyle name="Percent [00] 2 4" xfId="2142"/>
    <cellStyle name="Percent [00] 2 4 2" xfId="2143"/>
    <cellStyle name="Percent [00] 2 4 3" xfId="2144"/>
    <cellStyle name="Percent [00] 2 5" xfId="2145"/>
    <cellStyle name="Percent [00] 2 5 2" xfId="2146"/>
    <cellStyle name="Percent [00] 2 5 3" xfId="2147"/>
    <cellStyle name="Percent [00] 2 6" xfId="2148"/>
    <cellStyle name="Percent [00] 2 6 2" xfId="2149"/>
    <cellStyle name="Percent [00] 2 6 3" xfId="2150"/>
    <cellStyle name="Percent [00] 2 7" xfId="2151"/>
    <cellStyle name="Percent [00] 2 7 2" xfId="2152"/>
    <cellStyle name="Percent [00] 2 7 3" xfId="2153"/>
    <cellStyle name="Percent [00] 2 8" xfId="2154"/>
    <cellStyle name="Percent [00] 2 8 2" xfId="2155"/>
    <cellStyle name="Percent [00] 2 8 3" xfId="2156"/>
    <cellStyle name="Percent [00] 2 9" xfId="2157"/>
    <cellStyle name="Percent [00] 3" xfId="2158"/>
    <cellStyle name="Percent [00] 3 10" xfId="2159"/>
    <cellStyle name="Percent [00] 3 11" xfId="2160"/>
    <cellStyle name="Percent [00] 3 2" xfId="2161"/>
    <cellStyle name="Percent [00] 3 2 2" xfId="2162"/>
    <cellStyle name="Percent [00] 3 2 2 2" xfId="2163"/>
    <cellStyle name="Percent [00] 3 2 2 3" xfId="2164"/>
    <cellStyle name="Percent [00] 3 2 3" xfId="2165"/>
    <cellStyle name="Percent [00] 3 2 4" xfId="2166"/>
    <cellStyle name="Percent [00] 3 3" xfId="2167"/>
    <cellStyle name="Percent [00] 3 3 2" xfId="2168"/>
    <cellStyle name="Percent [00] 3 3 3" xfId="2169"/>
    <cellStyle name="Percent [00] 3 4" xfId="2170"/>
    <cellStyle name="Percent [00] 3 4 2" xfId="2171"/>
    <cellStyle name="Percent [00] 3 4 3" xfId="2172"/>
    <cellStyle name="Percent [00] 3 5" xfId="2173"/>
    <cellStyle name="Percent [00] 3 5 2" xfId="2174"/>
    <cellStyle name="Percent [00] 3 5 3" xfId="2175"/>
    <cellStyle name="Percent [00] 3 6" xfId="2176"/>
    <cellStyle name="Percent [00] 3 6 2" xfId="2177"/>
    <cellStyle name="Percent [00] 3 6 3" xfId="2178"/>
    <cellStyle name="Percent [00] 3 7" xfId="2179"/>
    <cellStyle name="Percent [00] 3 7 2" xfId="2180"/>
    <cellStyle name="Percent [00] 3 7 3" xfId="2181"/>
    <cellStyle name="Percent [00] 3 8" xfId="2182"/>
    <cellStyle name="Percent [00] 3 8 2" xfId="2183"/>
    <cellStyle name="Percent [00] 3 8 3" xfId="2184"/>
    <cellStyle name="Percent [00] 3 9" xfId="2185"/>
    <cellStyle name="Percent [00] 4" xfId="2186"/>
    <cellStyle name="Percent [00] 4 10" xfId="2187"/>
    <cellStyle name="Percent [00] 4 11" xfId="2188"/>
    <cellStyle name="Percent [00] 4 2" xfId="2189"/>
    <cellStyle name="Percent [00] 4 2 2" xfId="2190"/>
    <cellStyle name="Percent [00] 4 2 2 2" xfId="2191"/>
    <cellStyle name="Percent [00] 4 2 2 3" xfId="2192"/>
    <cellStyle name="Percent [00] 4 2 3" xfId="2193"/>
    <cellStyle name="Percent [00] 4 2 4" xfId="2194"/>
    <cellStyle name="Percent [00] 4 3" xfId="2195"/>
    <cellStyle name="Percent [00] 4 3 2" xfId="2196"/>
    <cellStyle name="Percent [00] 4 3 3" xfId="2197"/>
    <cellStyle name="Percent [00] 4 4" xfId="2198"/>
    <cellStyle name="Percent [00] 4 4 2" xfId="2199"/>
    <cellStyle name="Percent [00] 4 4 3" xfId="2200"/>
    <cellStyle name="Percent [00] 4 5" xfId="2201"/>
    <cellStyle name="Percent [00] 4 5 2" xfId="2202"/>
    <cellStyle name="Percent [00] 4 5 3" xfId="2203"/>
    <cellStyle name="Percent [00] 4 6" xfId="2204"/>
    <cellStyle name="Percent [00] 4 6 2" xfId="2205"/>
    <cellStyle name="Percent [00] 4 6 3" xfId="2206"/>
    <cellStyle name="Percent [00] 4 7" xfId="2207"/>
    <cellStyle name="Percent [00] 4 7 2" xfId="2208"/>
    <cellStyle name="Percent [00] 4 7 3" xfId="2209"/>
    <cellStyle name="Percent [00] 4 8" xfId="2210"/>
    <cellStyle name="Percent [00] 4 8 2" xfId="2211"/>
    <cellStyle name="Percent [00] 4 8 3" xfId="2212"/>
    <cellStyle name="Percent [00] 4 9" xfId="2213"/>
    <cellStyle name="Percent [00] 5" xfId="2214"/>
    <cellStyle name="Percent [00] 5 2" xfId="2215"/>
    <cellStyle name="Percent [00] 5 3" xfId="2216"/>
    <cellStyle name="Percent [00] 6" xfId="2217"/>
    <cellStyle name="Percent [00] 6 2" xfId="2218"/>
    <cellStyle name="Percent [00] 7" xfId="2219"/>
    <cellStyle name="Percent [00] 7 2" xfId="2220"/>
    <cellStyle name="Percent [00] 8" xfId="2221"/>
    <cellStyle name="Percent [00] 8 2" xfId="2222"/>
    <cellStyle name="Percent [00] 9" xfId="2223"/>
    <cellStyle name="Percent [00] 9 2" xfId="2224"/>
    <cellStyle name="Percent [2]" xfId="2225"/>
    <cellStyle name="Percent [2] 2" xfId="2226"/>
    <cellStyle name="Percent [2] 3" xfId="2227"/>
    <cellStyle name="Percent 2" xfId="2228"/>
    <cellStyle name="Percent 3" xfId="2229"/>
    <cellStyle name="Percent 3 2 2" xfId="2230"/>
    <cellStyle name="Percent_!!!GO" xfId="2231"/>
    <cellStyle name="Pourcentage_pldt" xfId="2232"/>
    <cellStyle name="Prefilled" xfId="2233"/>
    <cellStyle name="PrePop Currency (0)" xfId="2234"/>
    <cellStyle name="PrePop Currency (2)" xfId="2235"/>
    <cellStyle name="PrePop Units (0)" xfId="2236"/>
    <cellStyle name="PrePop Units (1)" xfId="2237"/>
    <cellStyle name="PrePop Units (1) 10" xfId="2238"/>
    <cellStyle name="PrePop Units (1) 10 2" xfId="2239"/>
    <cellStyle name="PrePop Units (1) 2" xfId="2240"/>
    <cellStyle name="PrePop Units (1) 2 10" xfId="2241"/>
    <cellStyle name="PrePop Units (1) 2 11" xfId="2242"/>
    <cellStyle name="PrePop Units (1) 2 2" xfId="2243"/>
    <cellStyle name="PrePop Units (1) 2 2 2" xfId="2244"/>
    <cellStyle name="PrePop Units (1) 2 2 2 2" xfId="2245"/>
    <cellStyle name="PrePop Units (1) 2 2 2 3" xfId="2246"/>
    <cellStyle name="PrePop Units (1) 2 2 3" xfId="2247"/>
    <cellStyle name="PrePop Units (1) 2 2 4" xfId="2248"/>
    <cellStyle name="PrePop Units (1) 2 3" xfId="2249"/>
    <cellStyle name="PrePop Units (1) 2 3 2" xfId="2250"/>
    <cellStyle name="PrePop Units (1) 2 3 3" xfId="2251"/>
    <cellStyle name="PrePop Units (1) 2 4" xfId="2252"/>
    <cellStyle name="PrePop Units (1) 2 4 2" xfId="2253"/>
    <cellStyle name="PrePop Units (1) 2 4 3" xfId="2254"/>
    <cellStyle name="PrePop Units (1) 2 5" xfId="2255"/>
    <cellStyle name="PrePop Units (1) 2 5 2" xfId="2256"/>
    <cellStyle name="PrePop Units (1) 2 5 3" xfId="2257"/>
    <cellStyle name="PrePop Units (1) 2 6" xfId="2258"/>
    <cellStyle name="PrePop Units (1) 2 6 2" xfId="2259"/>
    <cellStyle name="PrePop Units (1) 2 6 3" xfId="2260"/>
    <cellStyle name="PrePop Units (1) 2 7" xfId="2261"/>
    <cellStyle name="PrePop Units (1) 2 7 2" xfId="2262"/>
    <cellStyle name="PrePop Units (1) 2 7 3" xfId="2263"/>
    <cellStyle name="PrePop Units (1) 2 8" xfId="2264"/>
    <cellStyle name="PrePop Units (1) 2 8 2" xfId="2265"/>
    <cellStyle name="PrePop Units (1) 2 8 3" xfId="2266"/>
    <cellStyle name="PrePop Units (1) 2 9" xfId="2267"/>
    <cellStyle name="PrePop Units (1) 3" xfId="2268"/>
    <cellStyle name="PrePop Units (1) 3 10" xfId="2269"/>
    <cellStyle name="PrePop Units (1) 3 11" xfId="2270"/>
    <cellStyle name="PrePop Units (1) 3 2" xfId="2271"/>
    <cellStyle name="PrePop Units (1) 3 2 2" xfId="2272"/>
    <cellStyle name="PrePop Units (1) 3 2 2 2" xfId="2273"/>
    <cellStyle name="PrePop Units (1) 3 2 2 3" xfId="2274"/>
    <cellStyle name="PrePop Units (1) 3 2 3" xfId="2275"/>
    <cellStyle name="PrePop Units (1) 3 2 4" xfId="2276"/>
    <cellStyle name="PrePop Units (1) 3 3" xfId="2277"/>
    <cellStyle name="PrePop Units (1) 3 3 2" xfId="2278"/>
    <cellStyle name="PrePop Units (1) 3 3 3" xfId="2279"/>
    <cellStyle name="PrePop Units (1) 3 4" xfId="2280"/>
    <cellStyle name="PrePop Units (1) 3 4 2" xfId="2281"/>
    <cellStyle name="PrePop Units (1) 3 4 3" xfId="2282"/>
    <cellStyle name="PrePop Units (1) 3 5" xfId="2283"/>
    <cellStyle name="PrePop Units (1) 3 5 2" xfId="2284"/>
    <cellStyle name="PrePop Units (1) 3 5 3" xfId="2285"/>
    <cellStyle name="PrePop Units (1) 3 6" xfId="2286"/>
    <cellStyle name="PrePop Units (1) 3 6 2" xfId="2287"/>
    <cellStyle name="PrePop Units (1) 3 6 3" xfId="2288"/>
    <cellStyle name="PrePop Units (1) 3 7" xfId="2289"/>
    <cellStyle name="PrePop Units (1) 3 7 2" xfId="2290"/>
    <cellStyle name="PrePop Units (1) 3 7 3" xfId="2291"/>
    <cellStyle name="PrePop Units (1) 3 8" xfId="2292"/>
    <cellStyle name="PrePop Units (1) 3 8 2" xfId="2293"/>
    <cellStyle name="PrePop Units (1) 3 8 3" xfId="2294"/>
    <cellStyle name="PrePop Units (1) 3 9" xfId="2295"/>
    <cellStyle name="PrePop Units (1) 4" xfId="2296"/>
    <cellStyle name="PrePop Units (1) 4 10" xfId="2297"/>
    <cellStyle name="PrePop Units (1) 4 11" xfId="2298"/>
    <cellStyle name="PrePop Units (1) 4 2" xfId="2299"/>
    <cellStyle name="PrePop Units (1) 4 2 2" xfId="2300"/>
    <cellStyle name="PrePop Units (1) 4 2 2 2" xfId="2301"/>
    <cellStyle name="PrePop Units (1) 4 2 2 3" xfId="2302"/>
    <cellStyle name="PrePop Units (1) 4 2 3" xfId="2303"/>
    <cellStyle name="PrePop Units (1) 4 2 4" xfId="2304"/>
    <cellStyle name="PrePop Units (1) 4 3" xfId="2305"/>
    <cellStyle name="PrePop Units (1) 4 3 2" xfId="2306"/>
    <cellStyle name="PrePop Units (1) 4 3 3" xfId="2307"/>
    <cellStyle name="PrePop Units (1) 4 4" xfId="2308"/>
    <cellStyle name="PrePop Units (1) 4 4 2" xfId="2309"/>
    <cellStyle name="PrePop Units (1) 4 4 3" xfId="2310"/>
    <cellStyle name="PrePop Units (1) 4 5" xfId="2311"/>
    <cellStyle name="PrePop Units (1) 4 5 2" xfId="2312"/>
    <cellStyle name="PrePop Units (1) 4 5 3" xfId="2313"/>
    <cellStyle name="PrePop Units (1) 4 6" xfId="2314"/>
    <cellStyle name="PrePop Units (1) 4 6 2" xfId="2315"/>
    <cellStyle name="PrePop Units (1) 4 6 3" xfId="2316"/>
    <cellStyle name="PrePop Units (1) 4 7" xfId="2317"/>
    <cellStyle name="PrePop Units (1) 4 7 2" xfId="2318"/>
    <cellStyle name="PrePop Units (1) 4 7 3" xfId="2319"/>
    <cellStyle name="PrePop Units (1) 4 8" xfId="2320"/>
    <cellStyle name="PrePop Units (1) 4 8 2" xfId="2321"/>
    <cellStyle name="PrePop Units (1) 4 8 3" xfId="2322"/>
    <cellStyle name="PrePop Units (1) 4 9" xfId="2323"/>
    <cellStyle name="PrePop Units (1) 5" xfId="2324"/>
    <cellStyle name="PrePop Units (1) 5 2" xfId="2325"/>
    <cellStyle name="PrePop Units (1) 5 3" xfId="2326"/>
    <cellStyle name="PrePop Units (1) 6" xfId="2327"/>
    <cellStyle name="PrePop Units (1) 6 2" xfId="2328"/>
    <cellStyle name="PrePop Units (1) 7" xfId="2329"/>
    <cellStyle name="PrePop Units (1) 7 2" xfId="2330"/>
    <cellStyle name="PrePop Units (1) 8" xfId="2331"/>
    <cellStyle name="PrePop Units (1) 8 2" xfId="2332"/>
    <cellStyle name="PrePop Units (1) 9" xfId="2333"/>
    <cellStyle name="PrePop Units (1) 9 2" xfId="2334"/>
    <cellStyle name="PrePop Units (2)" xfId="2335"/>
    <cellStyle name="print-area" xfId="2336"/>
    <cellStyle name="PSChar" xfId="2337"/>
    <cellStyle name="PSChar 2" xfId="2338"/>
    <cellStyle name="PSChar 3" xfId="2339"/>
    <cellStyle name="PSDate" xfId="2340"/>
    <cellStyle name="PSDate 2" xfId="2341"/>
    <cellStyle name="PSDate 3" xfId="2342"/>
    <cellStyle name="PSDec" xfId="2343"/>
    <cellStyle name="PSDec 2" xfId="2344"/>
    <cellStyle name="PSDec 3" xfId="2345"/>
    <cellStyle name="PSHeading" xfId="2346"/>
    <cellStyle name="PSHeading 2" xfId="2347"/>
    <cellStyle name="PSInt" xfId="2348"/>
    <cellStyle name="PSInt 2" xfId="2349"/>
    <cellStyle name="PSInt 3" xfId="2350"/>
    <cellStyle name="PSSpacer" xfId="2351"/>
    <cellStyle name="PSSpacer 2" xfId="2352"/>
    <cellStyle name="PSSpacer 3" xfId="2353"/>
    <cellStyle name="regstoresfromspecstores" xfId="2354"/>
    <cellStyle name="regstoresfromspecstores 2" xfId="2355"/>
    <cellStyle name="regstoresfromspecstores 3" xfId="2356"/>
    <cellStyle name="RevList" xfId="2357"/>
    <cellStyle name="RevList 10" xfId="2358"/>
    <cellStyle name="RevList 2" xfId="2359"/>
    <cellStyle name="RevList 2 2" xfId="2360"/>
    <cellStyle name="RevList 2 2 2" xfId="2361"/>
    <cellStyle name="RevList 2 2 2 2" xfId="2362"/>
    <cellStyle name="RevList 2 2 3" xfId="2363"/>
    <cellStyle name="RevList 2 2 3 2" xfId="2364"/>
    <cellStyle name="RevList 2 2 4" xfId="2365"/>
    <cellStyle name="RevList 2 2 4 2" xfId="2366"/>
    <cellStyle name="RevList 2 2 5" xfId="2367"/>
    <cellStyle name="RevList 2 2 5 2" xfId="2368"/>
    <cellStyle name="RevList 2 2 6" xfId="2369"/>
    <cellStyle name="RevList 2 2 6 2" xfId="2370"/>
    <cellStyle name="RevList 2 2 7" xfId="2371"/>
    <cellStyle name="RevList 2 3" xfId="2372"/>
    <cellStyle name="RevList 2 3 2" xfId="2373"/>
    <cellStyle name="RevList 2 4" xfId="2374"/>
    <cellStyle name="RevList 2 4 2" xfId="2375"/>
    <cellStyle name="RevList 2 5" xfId="2376"/>
    <cellStyle name="RevList 2 5 2" xfId="2377"/>
    <cellStyle name="RevList 2 6" xfId="2378"/>
    <cellStyle name="RevList 2 6 2" xfId="2379"/>
    <cellStyle name="RevList 2 7" xfId="2380"/>
    <cellStyle name="RevList 2 7 2" xfId="2381"/>
    <cellStyle name="RevList 2 8" xfId="2382"/>
    <cellStyle name="RevList 2 9" xfId="2383"/>
    <cellStyle name="RevList 3" xfId="2384"/>
    <cellStyle name="RevList 3 2" xfId="2385"/>
    <cellStyle name="RevList 3 2 2" xfId="2386"/>
    <cellStyle name="RevList 3 3" xfId="2387"/>
    <cellStyle name="RevList 3 3 2" xfId="2388"/>
    <cellStyle name="RevList 3 4" xfId="2389"/>
    <cellStyle name="RevList 3 4 2" xfId="2390"/>
    <cellStyle name="RevList 3 5" xfId="2391"/>
    <cellStyle name="RevList 3 5 2" xfId="2392"/>
    <cellStyle name="RevList 3 6" xfId="2393"/>
    <cellStyle name="RevList 3 6 2" xfId="2394"/>
    <cellStyle name="RevList 3 7" xfId="2395"/>
    <cellStyle name="RevList 3 8" xfId="2396"/>
    <cellStyle name="RevList 4" xfId="2397"/>
    <cellStyle name="RevList 4 2" xfId="2398"/>
    <cellStyle name="RevList 5" xfId="2399"/>
    <cellStyle name="RevList 5 2" xfId="2400"/>
    <cellStyle name="RevList 6" xfId="2401"/>
    <cellStyle name="RevList 6 2" xfId="2402"/>
    <cellStyle name="RevList 7" xfId="2403"/>
    <cellStyle name="RevList 7 2" xfId="2404"/>
    <cellStyle name="RevList 8" xfId="2405"/>
    <cellStyle name="RevList 8 2" xfId="2406"/>
    <cellStyle name="RevList 9" xfId="2407"/>
    <cellStyle name="RowLevel_0" xfId="2408"/>
    <cellStyle name="s]_x000d__x000a_spooler=yes_x000d__x000a_load=mbtn.exe_x000d__x000a_run=_x000d__x000a_Beep=yes_x000d__x000a_NullPort=None_x000d__x000a_BorderWidth=1_x000d__x000a_CursorBlinkRate=522_x000d__x000a_DoubleClickSpeed=740" xfId="2409"/>
    <cellStyle name="S2" xfId="2410"/>
    <cellStyle name="S2 2" xfId="2411"/>
    <cellStyle name="S2 2 2" xfId="2412"/>
    <cellStyle name="S2 2 2 2" xfId="2413"/>
    <cellStyle name="S2 2 2 2 2" xfId="2414"/>
    <cellStyle name="S2 2 2 3" xfId="2415"/>
    <cellStyle name="S2 2 2 3 2" xfId="2416"/>
    <cellStyle name="S2 2 2 4" xfId="2417"/>
    <cellStyle name="S2 2 2 4 2" xfId="2418"/>
    <cellStyle name="S2 2 2 5" xfId="2419"/>
    <cellStyle name="S2 2 2 5 2" xfId="2420"/>
    <cellStyle name="S2 2 2 6" xfId="2421"/>
    <cellStyle name="S2 2 2 6 2" xfId="2422"/>
    <cellStyle name="S2 2 2 7" xfId="2423"/>
    <cellStyle name="S2 2 3" xfId="2424"/>
    <cellStyle name="S2 2 3 2" xfId="2425"/>
    <cellStyle name="S2 2 4" xfId="2426"/>
    <cellStyle name="S2 2 4 2" xfId="2427"/>
    <cellStyle name="S2 2 5" xfId="2428"/>
    <cellStyle name="S2 2 5 2" xfId="2429"/>
    <cellStyle name="S2 2 6" xfId="2430"/>
    <cellStyle name="S2 2 6 2" xfId="2431"/>
    <cellStyle name="S2 2 7" xfId="2432"/>
    <cellStyle name="S2 2 7 2" xfId="2433"/>
    <cellStyle name="S2 2 8" xfId="2434"/>
    <cellStyle name="S2 3" xfId="2435"/>
    <cellStyle name="S2 3 2" xfId="2436"/>
    <cellStyle name="S2 3 2 2" xfId="2437"/>
    <cellStyle name="S2 3 3" xfId="2438"/>
    <cellStyle name="S2 3 3 2" xfId="2439"/>
    <cellStyle name="S2 3 4" xfId="2440"/>
    <cellStyle name="S2 3 4 2" xfId="2441"/>
    <cellStyle name="S2 3 5" xfId="2442"/>
    <cellStyle name="S2 3 5 2" xfId="2443"/>
    <cellStyle name="S2 3 6" xfId="2444"/>
    <cellStyle name="S2 3 6 2" xfId="2445"/>
    <cellStyle name="S2 3 7" xfId="2446"/>
    <cellStyle name="S2 4" xfId="2447"/>
    <cellStyle name="S2 4 2" xfId="2448"/>
    <cellStyle name="S2 5" xfId="2449"/>
    <cellStyle name="S2 5 2" xfId="2450"/>
    <cellStyle name="S2 6" xfId="2451"/>
    <cellStyle name="S2 6 2" xfId="2452"/>
    <cellStyle name="S2 7" xfId="2453"/>
    <cellStyle name="S2 7 2" xfId="2454"/>
    <cellStyle name="S2 8" xfId="2455"/>
    <cellStyle name="S2 8 2" xfId="2456"/>
    <cellStyle name="S2 9" xfId="2457"/>
    <cellStyle name="S4" xfId="2458"/>
    <cellStyle name="S4 2" xfId="2459"/>
    <cellStyle name="S4 2 2" xfId="2460"/>
    <cellStyle name="S4 2 2 2" xfId="2461"/>
    <cellStyle name="S4 2 2 2 2" xfId="2462"/>
    <cellStyle name="S4 2 2 3" xfId="2463"/>
    <cellStyle name="S4 2 2 3 2" xfId="2464"/>
    <cellStyle name="S4 2 2 4" xfId="2465"/>
    <cellStyle name="S4 2 2 4 2" xfId="2466"/>
    <cellStyle name="S4 2 2 5" xfId="2467"/>
    <cellStyle name="S4 2 2 5 2" xfId="2468"/>
    <cellStyle name="S4 2 2 6" xfId="2469"/>
    <cellStyle name="S4 2 2 6 2" xfId="2470"/>
    <cellStyle name="S4 2 2 7" xfId="2471"/>
    <cellStyle name="S4 2 3" xfId="2472"/>
    <cellStyle name="S4 2 3 2" xfId="2473"/>
    <cellStyle name="S4 2 4" xfId="2474"/>
    <cellStyle name="S4 2 4 2" xfId="2475"/>
    <cellStyle name="S4 2 5" xfId="2476"/>
    <cellStyle name="S4 2 5 2" xfId="2477"/>
    <cellStyle name="S4 2 6" xfId="2478"/>
    <cellStyle name="S4 2 6 2" xfId="2479"/>
    <cellStyle name="S4 2 7" xfId="2480"/>
    <cellStyle name="S4 2 7 2" xfId="2481"/>
    <cellStyle name="S4 2 8" xfId="2482"/>
    <cellStyle name="S4 3" xfId="2483"/>
    <cellStyle name="S4 3 2" xfId="2484"/>
    <cellStyle name="S4 3 2 2" xfId="2485"/>
    <cellStyle name="S4 3 3" xfId="2486"/>
    <cellStyle name="S4 3 3 2" xfId="2487"/>
    <cellStyle name="S4 3 4" xfId="2488"/>
    <cellStyle name="S4 3 4 2" xfId="2489"/>
    <cellStyle name="S4 3 5" xfId="2490"/>
    <cellStyle name="S4 3 5 2" xfId="2491"/>
    <cellStyle name="S4 3 6" xfId="2492"/>
    <cellStyle name="S4 3 6 2" xfId="2493"/>
    <cellStyle name="S4 3 7" xfId="2494"/>
    <cellStyle name="S4 4" xfId="2495"/>
    <cellStyle name="S4 4 2" xfId="2496"/>
    <cellStyle name="S4 5" xfId="2497"/>
    <cellStyle name="S4 5 2" xfId="2498"/>
    <cellStyle name="S4 6" xfId="2499"/>
    <cellStyle name="S4 6 2" xfId="2500"/>
    <cellStyle name="S4 7" xfId="2501"/>
    <cellStyle name="S4 7 2" xfId="2502"/>
    <cellStyle name="S4 8" xfId="2503"/>
    <cellStyle name="S4 8 2" xfId="2504"/>
    <cellStyle name="S4 9" xfId="2505"/>
    <cellStyle name="SAPBEXaggData" xfId="2506"/>
    <cellStyle name="SAPBEXaggDataEmph" xfId="2507"/>
    <cellStyle name="SAPBEXaggItem" xfId="2508"/>
    <cellStyle name="SAPBEXaggItemX" xfId="2509"/>
    <cellStyle name="SAPBEXchaText" xfId="2510"/>
    <cellStyle name="SAPBEXe¥cCritical5" xfId="2511"/>
    <cellStyle name="SAPBEXexcBad7" xfId="2512"/>
    <cellStyle name="SAPBEXexcBad8" xfId="2513"/>
    <cellStyle name="SAPBEXexcBad9" xfId="2514"/>
    <cellStyle name="SAPBEXexcCritical4" xfId="2515"/>
    <cellStyle name="SAPBEXexcCritical5" xfId="2516"/>
    <cellStyle name="SAPBEXexcCritical6" xfId="2517"/>
    <cellStyle name="SAPBEXexcGood1" xfId="2518"/>
    <cellStyle name="SAPBEXexcGood2" xfId="2519"/>
    <cellStyle name="SAPBEXexcGood3" xfId="2520"/>
    <cellStyle name="SAPBEXfilterDrill" xfId="2521"/>
    <cellStyle name="SAPBEXfilterItem" xfId="2522"/>
    <cellStyle name="SAPBEXfilterText" xfId="2523"/>
    <cellStyle name="SAPBEXformats" xfId="2524"/>
    <cellStyle name="SAPBEXheaderItem" xfId="2525"/>
    <cellStyle name="SAPBEXheaderText" xfId="2526"/>
    <cellStyle name="SAPBEXHLevel0" xfId="2527"/>
    <cellStyle name="SAPBEXHLevel0X" xfId="2528"/>
    <cellStyle name="SAPBEXHLevel1" xfId="2529"/>
    <cellStyle name="SAPBEXHLevel1X" xfId="2530"/>
    <cellStyle name="SAPBEXHLevel2" xfId="2531"/>
    <cellStyle name="SAPBEXHLevel2X" xfId="2532"/>
    <cellStyle name="SAPBEXHLevel3" xfId="2533"/>
    <cellStyle name="SAPBEXHLevel3X" xfId="2534"/>
    <cellStyle name="SAPBEXresData" xfId="2535"/>
    <cellStyle name="SAPBEXresDataEmph" xfId="2536"/>
    <cellStyle name="SAPBEXresItem" xfId="2537"/>
    <cellStyle name="SAPBEXresItemX" xfId="2538"/>
    <cellStyle name="SAPBEXstdData" xfId="2539"/>
    <cellStyle name="SAPBEXstdDataEmph" xfId="2540"/>
    <cellStyle name="SAPBEXstdItem" xfId="2541"/>
    <cellStyle name="SAPBEXstdItemX" xfId="2542"/>
    <cellStyle name="SAPBEXtitle" xfId="2543"/>
    <cellStyle name="SAPBEXundefined" xfId="2544"/>
    <cellStyle name="SAPOutput" xfId="2545"/>
    <cellStyle name="SHADEDSTORES" xfId="2546"/>
    <cellStyle name="SHADEDSTORES 2" xfId="2547"/>
    <cellStyle name="SHADEDSTORES 3" xfId="2548"/>
    <cellStyle name="specstores" xfId="2549"/>
    <cellStyle name="specstores 2" xfId="2550"/>
    <cellStyle name="sstot" xfId="2551"/>
    <cellStyle name="sstot 2" xfId="2552"/>
    <cellStyle name="Standard" xfId="2553"/>
    <cellStyle name="Style 1" xfId="2554"/>
    <cellStyle name="subhead" xfId="2555"/>
    <cellStyle name="subhead 2" xfId="2556"/>
    <cellStyle name="Subtotal" xfId="2557"/>
    <cellStyle name="Subtotal 2" xfId="2558"/>
    <cellStyle name="t" xfId="2559"/>
    <cellStyle name="t 2" xfId="2560"/>
    <cellStyle name="t_HVAC Equipment (3)" xfId="2561"/>
    <cellStyle name="t_HVAC Equipment (3) 2" xfId="2562"/>
    <cellStyle name="Text Indent A" xfId="2563"/>
    <cellStyle name="Text Indent B" xfId="2564"/>
    <cellStyle name="Text Indent B 10" xfId="2565"/>
    <cellStyle name="Text Indent B 10 2" xfId="2566"/>
    <cellStyle name="Text Indent B 2" xfId="2567"/>
    <cellStyle name="Text Indent B 2 10" xfId="2568"/>
    <cellStyle name="Text Indent B 2 11" xfId="2569"/>
    <cellStyle name="Text Indent B 2 2" xfId="2570"/>
    <cellStyle name="Text Indent B 2 2 2" xfId="2571"/>
    <cellStyle name="Text Indent B 2 2 2 2" xfId="2572"/>
    <cellStyle name="Text Indent B 2 2 2 3" xfId="2573"/>
    <cellStyle name="Text Indent B 2 2 3" xfId="2574"/>
    <cellStyle name="Text Indent B 2 2 4" xfId="2575"/>
    <cellStyle name="Text Indent B 2 3" xfId="2576"/>
    <cellStyle name="Text Indent B 2 3 2" xfId="2577"/>
    <cellStyle name="Text Indent B 2 3 3" xfId="2578"/>
    <cellStyle name="Text Indent B 2 4" xfId="2579"/>
    <cellStyle name="Text Indent B 2 4 2" xfId="2580"/>
    <cellStyle name="Text Indent B 2 4 3" xfId="2581"/>
    <cellStyle name="Text Indent B 2 5" xfId="2582"/>
    <cellStyle name="Text Indent B 2 5 2" xfId="2583"/>
    <cellStyle name="Text Indent B 2 5 3" xfId="2584"/>
    <cellStyle name="Text Indent B 2 6" xfId="2585"/>
    <cellStyle name="Text Indent B 2 6 2" xfId="2586"/>
    <cellStyle name="Text Indent B 2 6 3" xfId="2587"/>
    <cellStyle name="Text Indent B 2 7" xfId="2588"/>
    <cellStyle name="Text Indent B 2 7 2" xfId="2589"/>
    <cellStyle name="Text Indent B 2 7 3" xfId="2590"/>
    <cellStyle name="Text Indent B 2 8" xfId="2591"/>
    <cellStyle name="Text Indent B 2 8 2" xfId="2592"/>
    <cellStyle name="Text Indent B 2 8 3" xfId="2593"/>
    <cellStyle name="Text Indent B 2 9" xfId="2594"/>
    <cellStyle name="Text Indent B 3" xfId="2595"/>
    <cellStyle name="Text Indent B 3 10" xfId="2596"/>
    <cellStyle name="Text Indent B 3 11" xfId="2597"/>
    <cellStyle name="Text Indent B 3 2" xfId="2598"/>
    <cellStyle name="Text Indent B 3 2 2" xfId="2599"/>
    <cellStyle name="Text Indent B 3 2 2 2" xfId="2600"/>
    <cellStyle name="Text Indent B 3 2 2 3" xfId="2601"/>
    <cellStyle name="Text Indent B 3 2 3" xfId="2602"/>
    <cellStyle name="Text Indent B 3 2 4" xfId="2603"/>
    <cellStyle name="Text Indent B 3 3" xfId="2604"/>
    <cellStyle name="Text Indent B 3 3 2" xfId="2605"/>
    <cellStyle name="Text Indent B 3 3 3" xfId="2606"/>
    <cellStyle name="Text Indent B 3 4" xfId="2607"/>
    <cellStyle name="Text Indent B 3 4 2" xfId="2608"/>
    <cellStyle name="Text Indent B 3 4 3" xfId="2609"/>
    <cellStyle name="Text Indent B 3 5" xfId="2610"/>
    <cellStyle name="Text Indent B 3 5 2" xfId="2611"/>
    <cellStyle name="Text Indent B 3 5 3" xfId="2612"/>
    <cellStyle name="Text Indent B 3 6" xfId="2613"/>
    <cellStyle name="Text Indent B 3 6 2" xfId="2614"/>
    <cellStyle name="Text Indent B 3 6 3" xfId="2615"/>
    <cellStyle name="Text Indent B 3 7" xfId="2616"/>
    <cellStyle name="Text Indent B 3 7 2" xfId="2617"/>
    <cellStyle name="Text Indent B 3 7 3" xfId="2618"/>
    <cellStyle name="Text Indent B 3 8" xfId="2619"/>
    <cellStyle name="Text Indent B 3 8 2" xfId="2620"/>
    <cellStyle name="Text Indent B 3 8 3" xfId="2621"/>
    <cellStyle name="Text Indent B 3 9" xfId="2622"/>
    <cellStyle name="Text Indent B 4" xfId="2623"/>
    <cellStyle name="Text Indent B 4 10" xfId="2624"/>
    <cellStyle name="Text Indent B 4 11" xfId="2625"/>
    <cellStyle name="Text Indent B 4 2" xfId="2626"/>
    <cellStyle name="Text Indent B 4 2 2" xfId="2627"/>
    <cellStyle name="Text Indent B 4 2 2 2" xfId="2628"/>
    <cellStyle name="Text Indent B 4 2 2 3" xfId="2629"/>
    <cellStyle name="Text Indent B 4 2 3" xfId="2630"/>
    <cellStyle name="Text Indent B 4 2 4" xfId="2631"/>
    <cellStyle name="Text Indent B 4 3" xfId="2632"/>
    <cellStyle name="Text Indent B 4 3 2" xfId="2633"/>
    <cellStyle name="Text Indent B 4 3 3" xfId="2634"/>
    <cellStyle name="Text Indent B 4 4" xfId="2635"/>
    <cellStyle name="Text Indent B 4 4 2" xfId="2636"/>
    <cellStyle name="Text Indent B 4 4 3" xfId="2637"/>
    <cellStyle name="Text Indent B 4 5" xfId="2638"/>
    <cellStyle name="Text Indent B 4 5 2" xfId="2639"/>
    <cellStyle name="Text Indent B 4 5 3" xfId="2640"/>
    <cellStyle name="Text Indent B 4 6" xfId="2641"/>
    <cellStyle name="Text Indent B 4 6 2" xfId="2642"/>
    <cellStyle name="Text Indent B 4 6 3" xfId="2643"/>
    <cellStyle name="Text Indent B 4 7" xfId="2644"/>
    <cellStyle name="Text Indent B 4 7 2" xfId="2645"/>
    <cellStyle name="Text Indent B 4 7 3" xfId="2646"/>
    <cellStyle name="Text Indent B 4 8" xfId="2647"/>
    <cellStyle name="Text Indent B 4 8 2" xfId="2648"/>
    <cellStyle name="Text Indent B 4 8 3" xfId="2649"/>
    <cellStyle name="Text Indent B 4 9" xfId="2650"/>
    <cellStyle name="Text Indent B 5" xfId="2651"/>
    <cellStyle name="Text Indent B 5 2" xfId="2652"/>
    <cellStyle name="Text Indent B 5 3" xfId="2653"/>
    <cellStyle name="Text Indent B 6" xfId="2654"/>
    <cellStyle name="Text Indent B 6 2" xfId="2655"/>
    <cellStyle name="Text Indent B 7" xfId="2656"/>
    <cellStyle name="Text Indent B 7 2" xfId="2657"/>
    <cellStyle name="Text Indent B 8" xfId="2658"/>
    <cellStyle name="Text Indent B 8 2" xfId="2659"/>
    <cellStyle name="Text Indent B 9" xfId="2660"/>
    <cellStyle name="Text Indent B 9 2" xfId="2661"/>
    <cellStyle name="Text Indent C" xfId="2662"/>
    <cellStyle name="Text Indent C 10" xfId="2663"/>
    <cellStyle name="Text Indent C 10 2" xfId="2664"/>
    <cellStyle name="Text Indent C 11" xfId="2665"/>
    <cellStyle name="Text Indent C 2" xfId="2666"/>
    <cellStyle name="Text Indent C 2 10" xfId="2667"/>
    <cellStyle name="Text Indent C 2 11" xfId="2668"/>
    <cellStyle name="Text Indent C 2 12" xfId="2669"/>
    <cellStyle name="Text Indent C 2 2" xfId="2670"/>
    <cellStyle name="Text Indent C 2 2 2" xfId="2671"/>
    <cellStyle name="Text Indent C 2 2 2 2" xfId="2672"/>
    <cellStyle name="Text Indent C 2 2 2 3" xfId="2673"/>
    <cellStyle name="Text Indent C 2 2 3" xfId="2674"/>
    <cellStyle name="Text Indent C 2 2 4" xfId="2675"/>
    <cellStyle name="Text Indent C 2 2_样本-每月费用" xfId="2676"/>
    <cellStyle name="Text Indent C 2 3" xfId="2677"/>
    <cellStyle name="Text Indent C 2 3 2" xfId="2678"/>
    <cellStyle name="Text Indent C 2 3 3" xfId="2679"/>
    <cellStyle name="Text Indent C 2 4" xfId="2680"/>
    <cellStyle name="Text Indent C 2 4 2" xfId="2681"/>
    <cellStyle name="Text Indent C 2 4 3" xfId="2682"/>
    <cellStyle name="Text Indent C 2 5" xfId="2683"/>
    <cellStyle name="Text Indent C 2 5 2" xfId="2684"/>
    <cellStyle name="Text Indent C 2 5 3" xfId="2685"/>
    <cellStyle name="Text Indent C 2 6" xfId="2686"/>
    <cellStyle name="Text Indent C 2 6 2" xfId="2687"/>
    <cellStyle name="Text Indent C 2 6 3" xfId="2688"/>
    <cellStyle name="Text Indent C 2 7" xfId="2689"/>
    <cellStyle name="Text Indent C 2 7 2" xfId="2690"/>
    <cellStyle name="Text Indent C 2 7 3" xfId="2691"/>
    <cellStyle name="Text Indent C 2 8" xfId="2692"/>
    <cellStyle name="Text Indent C 2 8 2" xfId="2693"/>
    <cellStyle name="Text Indent C 2 8 3" xfId="2694"/>
    <cellStyle name="Text Indent C 2 9" xfId="2695"/>
    <cellStyle name="Text Indent C 2_样本-每月费用" xfId="2696"/>
    <cellStyle name="Text Indent C 3" xfId="2697"/>
    <cellStyle name="Text Indent C 3 10" xfId="2698"/>
    <cellStyle name="Text Indent C 3 11" xfId="2699"/>
    <cellStyle name="Text Indent C 3 12" xfId="2700"/>
    <cellStyle name="Text Indent C 3 2" xfId="2701"/>
    <cellStyle name="Text Indent C 3 2 2" xfId="2702"/>
    <cellStyle name="Text Indent C 3 2 2 2" xfId="2703"/>
    <cellStyle name="Text Indent C 3 2 2 3" xfId="2704"/>
    <cellStyle name="Text Indent C 3 2 3" xfId="2705"/>
    <cellStyle name="Text Indent C 3 2 4" xfId="2706"/>
    <cellStyle name="Text Indent C 3 2_样本-每月费用" xfId="2707"/>
    <cellStyle name="Text Indent C 3 3" xfId="2708"/>
    <cellStyle name="Text Indent C 3 3 2" xfId="2709"/>
    <cellStyle name="Text Indent C 3 3 3" xfId="2710"/>
    <cellStyle name="Text Indent C 3 4" xfId="2711"/>
    <cellStyle name="Text Indent C 3 4 2" xfId="2712"/>
    <cellStyle name="Text Indent C 3 4 3" xfId="2713"/>
    <cellStyle name="Text Indent C 3 5" xfId="2714"/>
    <cellStyle name="Text Indent C 3 5 2" xfId="2715"/>
    <cellStyle name="Text Indent C 3 5 3" xfId="2716"/>
    <cellStyle name="Text Indent C 3 6" xfId="2717"/>
    <cellStyle name="Text Indent C 3 6 2" xfId="2718"/>
    <cellStyle name="Text Indent C 3 6 3" xfId="2719"/>
    <cellStyle name="Text Indent C 3 7" xfId="2720"/>
    <cellStyle name="Text Indent C 3 7 2" xfId="2721"/>
    <cellStyle name="Text Indent C 3 7 3" xfId="2722"/>
    <cellStyle name="Text Indent C 3 8" xfId="2723"/>
    <cellStyle name="Text Indent C 3 8 2" xfId="2724"/>
    <cellStyle name="Text Indent C 3 8 3" xfId="2725"/>
    <cellStyle name="Text Indent C 3 9" xfId="2726"/>
    <cellStyle name="Text Indent C 3_样本-每月费用" xfId="2727"/>
    <cellStyle name="Text Indent C 4" xfId="2728"/>
    <cellStyle name="Text Indent C 4 10" xfId="2729"/>
    <cellStyle name="Text Indent C 4 11" xfId="2730"/>
    <cellStyle name="Text Indent C 4 12" xfId="2731"/>
    <cellStyle name="Text Indent C 4 2" xfId="2732"/>
    <cellStyle name="Text Indent C 4 2 2" xfId="2733"/>
    <cellStyle name="Text Indent C 4 2 2 2" xfId="2734"/>
    <cellStyle name="Text Indent C 4 2 2 3" xfId="2735"/>
    <cellStyle name="Text Indent C 4 2 3" xfId="2736"/>
    <cellStyle name="Text Indent C 4 2 4" xfId="2737"/>
    <cellStyle name="Text Indent C 4 2_样本-每月费用" xfId="2738"/>
    <cellStyle name="Text Indent C 4 3" xfId="2739"/>
    <cellStyle name="Text Indent C 4 3 2" xfId="2740"/>
    <cellStyle name="Text Indent C 4 3 3" xfId="2741"/>
    <cellStyle name="Text Indent C 4 4" xfId="2742"/>
    <cellStyle name="Text Indent C 4 4 2" xfId="2743"/>
    <cellStyle name="Text Indent C 4 4 3" xfId="2744"/>
    <cellStyle name="Text Indent C 4 5" xfId="2745"/>
    <cellStyle name="Text Indent C 4 5 2" xfId="2746"/>
    <cellStyle name="Text Indent C 4 5 3" xfId="2747"/>
    <cellStyle name="Text Indent C 4 6" xfId="2748"/>
    <cellStyle name="Text Indent C 4 6 2" xfId="2749"/>
    <cellStyle name="Text Indent C 4 6 3" xfId="2750"/>
    <cellStyle name="Text Indent C 4 7" xfId="2751"/>
    <cellStyle name="Text Indent C 4 7 2" xfId="2752"/>
    <cellStyle name="Text Indent C 4 7 3" xfId="2753"/>
    <cellStyle name="Text Indent C 4 8" xfId="2754"/>
    <cellStyle name="Text Indent C 4 8 2" xfId="2755"/>
    <cellStyle name="Text Indent C 4 8 3" xfId="2756"/>
    <cellStyle name="Text Indent C 4 9" xfId="2757"/>
    <cellStyle name="Text Indent C 4_样本-每月费用" xfId="2758"/>
    <cellStyle name="Text Indent C 5" xfId="2759"/>
    <cellStyle name="Text Indent C 5 2" xfId="2760"/>
    <cellStyle name="Text Indent C 5 3" xfId="2761"/>
    <cellStyle name="Text Indent C 6" xfId="2762"/>
    <cellStyle name="Text Indent C 6 2" xfId="2763"/>
    <cellStyle name="Text Indent C 7" xfId="2764"/>
    <cellStyle name="Text Indent C 7 2" xfId="2765"/>
    <cellStyle name="Text Indent C 8" xfId="2766"/>
    <cellStyle name="Text Indent C 8 2" xfId="2767"/>
    <cellStyle name="Text Indent C 9" xfId="2768"/>
    <cellStyle name="Text Indent C 9 2" xfId="2769"/>
    <cellStyle name="Text Indent C_样本-每月费用" xfId="2770"/>
    <cellStyle name="Title" xfId="2771"/>
    <cellStyle name="Total" xfId="2772"/>
    <cellStyle name="Warning Text" xfId="2773"/>
    <cellStyle name="百分比" xfId="14" builtinId="5"/>
    <cellStyle name="百分比 10" xfId="2774"/>
    <cellStyle name="百分比 11" xfId="2775"/>
    <cellStyle name="百分比 12" xfId="2776"/>
    <cellStyle name="百分比 13" xfId="2777"/>
    <cellStyle name="百分比 13 2" xfId="2778"/>
    <cellStyle name="百分比 14" xfId="2779"/>
    <cellStyle name="百分比 15" xfId="2780"/>
    <cellStyle name="百分比 2" xfId="2781"/>
    <cellStyle name="百分比 2 2" xfId="2782"/>
    <cellStyle name="百分比 2 2 10" xfId="2783"/>
    <cellStyle name="百分比 2 2 11" xfId="2784"/>
    <cellStyle name="百分比 2 2 2" xfId="2785"/>
    <cellStyle name="百分比 2 2 2 2" xfId="2786"/>
    <cellStyle name="百分比 2 2 2 2 2" xfId="2787"/>
    <cellStyle name="百分比 2 2 2 2 2 2" xfId="2788"/>
    <cellStyle name="百分比 2 2 2 2 3" xfId="2789"/>
    <cellStyle name="百分比 2 2 2 2 3 2" xfId="2790"/>
    <cellStyle name="百分比 2 2 2 2 4" xfId="2791"/>
    <cellStyle name="百分比 2 2 2 2 4 2" xfId="2792"/>
    <cellStyle name="百分比 2 2 2 2 5" xfId="2793"/>
    <cellStyle name="百分比 2 2 2 2 5 2" xfId="2794"/>
    <cellStyle name="百分比 2 2 2 2 6" xfId="2795"/>
    <cellStyle name="百分比 2 2 2 2 6 2" xfId="2796"/>
    <cellStyle name="百分比 2 2 2 2 7" xfId="2797"/>
    <cellStyle name="百分比 2 2 2 3" xfId="2798"/>
    <cellStyle name="百分比 2 2 2 3 2" xfId="2799"/>
    <cellStyle name="百分比 2 2 2 4" xfId="2800"/>
    <cellStyle name="百分比 2 2 2 4 2" xfId="2801"/>
    <cellStyle name="百分比 2 2 2 5" xfId="2802"/>
    <cellStyle name="百分比 2 2 2 5 2" xfId="2803"/>
    <cellStyle name="百分比 2 2 2 6" xfId="2804"/>
    <cellStyle name="百分比 2 2 2 6 2" xfId="2805"/>
    <cellStyle name="百分比 2 2 2 7" xfId="2806"/>
    <cellStyle name="百分比 2 2 2 7 2" xfId="2807"/>
    <cellStyle name="百分比 2 2 2 8" xfId="2808"/>
    <cellStyle name="百分比 2 2 3" xfId="2809"/>
    <cellStyle name="百分比 2 2 3 2" xfId="2810"/>
    <cellStyle name="百分比 2 2 3 2 2" xfId="2811"/>
    <cellStyle name="百分比 2 2 3 3" xfId="2812"/>
    <cellStyle name="百分比 2 2 3 3 2" xfId="2813"/>
    <cellStyle name="百分比 2 2 3 4" xfId="2814"/>
    <cellStyle name="百分比 2 2 3 4 2" xfId="2815"/>
    <cellStyle name="百分比 2 2 3 5" xfId="2816"/>
    <cellStyle name="百分比 2 2 3 5 2" xfId="2817"/>
    <cellStyle name="百分比 2 2 3 6" xfId="2818"/>
    <cellStyle name="百分比 2 2 3 6 2" xfId="2819"/>
    <cellStyle name="百分比 2 2 3 7" xfId="2820"/>
    <cellStyle name="百分比 2 2 4" xfId="2821"/>
    <cellStyle name="百分比 2 2 4 2" xfId="2822"/>
    <cellStyle name="百分比 2 2 5" xfId="2823"/>
    <cellStyle name="百分比 2 2 5 2" xfId="2824"/>
    <cellStyle name="百分比 2 2 6" xfId="2825"/>
    <cellStyle name="百分比 2 2 6 2" xfId="2826"/>
    <cellStyle name="百分比 2 2 7" xfId="2827"/>
    <cellStyle name="百分比 2 2 7 2" xfId="2828"/>
    <cellStyle name="百分比 2 2 8" xfId="2829"/>
    <cellStyle name="百分比 2 2 8 2" xfId="2830"/>
    <cellStyle name="百分比 2 2 9" xfId="2831"/>
    <cellStyle name="百分比 2 2 9 2" xfId="2832"/>
    <cellStyle name="百分比 2 3" xfId="2833"/>
    <cellStyle name="百分比 2 3 2" xfId="2834"/>
    <cellStyle name="百分比 2 3 3" xfId="2835"/>
    <cellStyle name="百分比 2 3_销售计划" xfId="2836"/>
    <cellStyle name="百分比 2 4" xfId="2837"/>
    <cellStyle name="百分比 2 4 2" xfId="2838"/>
    <cellStyle name="百分比 2 5" xfId="2839"/>
    <cellStyle name="百分比 2 5 2" xfId="2840"/>
    <cellStyle name="百分比 2 6" xfId="2841"/>
    <cellStyle name="百分比 2 7" xfId="2842"/>
    <cellStyle name="百分比 3" xfId="2843"/>
    <cellStyle name="百分比 3 2" xfId="2844"/>
    <cellStyle name="百分比 3 2 2" xfId="2845"/>
    <cellStyle name="百分比 4" xfId="2846"/>
    <cellStyle name="百分比 4 2" xfId="2847"/>
    <cellStyle name="百分比 4 2 2" xfId="2848"/>
    <cellStyle name="百分比 4 2 2 2" xfId="2849"/>
    <cellStyle name="百分比 4 2 2 2 2" xfId="2850"/>
    <cellStyle name="百分比 4 2 2 3" xfId="2851"/>
    <cellStyle name="百分比 4 2 2 3 2" xfId="2852"/>
    <cellStyle name="百分比 4 2 2 4" xfId="2853"/>
    <cellStyle name="百分比 4 2 2 4 2" xfId="2854"/>
    <cellStyle name="百分比 4 2 2 5" xfId="2855"/>
    <cellStyle name="百分比 4 2 2 5 2" xfId="2856"/>
    <cellStyle name="百分比 4 2 2 6" xfId="2857"/>
    <cellStyle name="百分比 4 2 2 6 2" xfId="2858"/>
    <cellStyle name="百分比 4 2 2 7" xfId="2859"/>
    <cellStyle name="百分比 4 2 3" xfId="2860"/>
    <cellStyle name="百分比 4 2 3 2" xfId="2861"/>
    <cellStyle name="百分比 4 2 4" xfId="2862"/>
    <cellStyle name="百分比 4 2 4 2" xfId="2863"/>
    <cellStyle name="百分比 4 2 5" xfId="2864"/>
    <cellStyle name="百分比 4 2 5 2" xfId="2865"/>
    <cellStyle name="百分比 4 2 6" xfId="2866"/>
    <cellStyle name="百分比 4 2 6 2" xfId="2867"/>
    <cellStyle name="百分比 4 2 7" xfId="2868"/>
    <cellStyle name="百分比 4 2 7 2" xfId="2869"/>
    <cellStyle name="百分比 4 2 8" xfId="2870"/>
    <cellStyle name="百分比 4 3" xfId="2871"/>
    <cellStyle name="百分比 4 3 2" xfId="2872"/>
    <cellStyle name="百分比 4 3 2 2" xfId="2873"/>
    <cellStyle name="百分比 4 3 3" xfId="2874"/>
    <cellStyle name="百分比 4 3 3 2" xfId="2875"/>
    <cellStyle name="百分比 4 3 4" xfId="2876"/>
    <cellStyle name="百分比 4 3 4 2" xfId="2877"/>
    <cellStyle name="百分比 4 3 5" xfId="2878"/>
    <cellStyle name="百分比 4 3 5 2" xfId="2879"/>
    <cellStyle name="百分比 4 3 6" xfId="2880"/>
    <cellStyle name="百分比 4 3 6 2" xfId="2881"/>
    <cellStyle name="百分比 4 3 7" xfId="2882"/>
    <cellStyle name="百分比 4 4" xfId="2883"/>
    <cellStyle name="百分比 4 4 2" xfId="2884"/>
    <cellStyle name="百分比 4 5" xfId="2885"/>
    <cellStyle name="百分比 4 5 2" xfId="2886"/>
    <cellStyle name="百分比 4 6" xfId="2887"/>
    <cellStyle name="百分比 4 6 2" xfId="2888"/>
    <cellStyle name="百分比 4 7" xfId="2889"/>
    <cellStyle name="百分比 4 7 2" xfId="2890"/>
    <cellStyle name="百分比 4 8" xfId="2891"/>
    <cellStyle name="百分比 4 8 2" xfId="2892"/>
    <cellStyle name="百分比 4 9" xfId="2893"/>
    <cellStyle name="百分比 5" xfId="2894"/>
    <cellStyle name="百分比 5 2" xfId="2895"/>
    <cellStyle name="百分比 5 2 2" xfId="2896"/>
    <cellStyle name="百分比 5 2 2 2" xfId="2897"/>
    <cellStyle name="百分比 5 2 3" xfId="2898"/>
    <cellStyle name="百分比 5 2 3 2" xfId="2899"/>
    <cellStyle name="百分比 5 2 4" xfId="2900"/>
    <cellStyle name="百分比 5 2 4 2" xfId="2901"/>
    <cellStyle name="百分比 5 2 5" xfId="2902"/>
    <cellStyle name="百分比 5 2 5 2" xfId="2903"/>
    <cellStyle name="百分比 5 2 6" xfId="2904"/>
    <cellStyle name="百分比 5 2 6 2" xfId="2905"/>
    <cellStyle name="百分比 5 2 7" xfId="2906"/>
    <cellStyle name="百分比 5 3" xfId="2907"/>
    <cellStyle name="百分比 5 3 2" xfId="2908"/>
    <cellStyle name="百分比 5 4" xfId="2909"/>
    <cellStyle name="百分比 5 4 2" xfId="2910"/>
    <cellStyle name="百分比 5 5" xfId="2911"/>
    <cellStyle name="百分比 5 5 2" xfId="2912"/>
    <cellStyle name="百分比 5 6" xfId="2913"/>
    <cellStyle name="百分比 5 6 2" xfId="2914"/>
    <cellStyle name="百分比 5 7" xfId="2915"/>
    <cellStyle name="百分比 5 7 2" xfId="2916"/>
    <cellStyle name="百分比 5 8" xfId="2917"/>
    <cellStyle name="百分比 6" xfId="2918"/>
    <cellStyle name="百分比 6 2" xfId="2919"/>
    <cellStyle name="百分比 6 2 2" xfId="2920"/>
    <cellStyle name="百分比 6 2 2 2" xfId="2921"/>
    <cellStyle name="百分比 6 2 2 2 2" xfId="2922"/>
    <cellStyle name="百分比 6 2 2 3" xfId="2923"/>
    <cellStyle name="百分比 6 2 2 3 2" xfId="2924"/>
    <cellStyle name="百分比 6 2 2 4" xfId="2925"/>
    <cellStyle name="百分比 6 2 2 4 2" xfId="2926"/>
    <cellStyle name="百分比 6 2 2 5" xfId="2927"/>
    <cellStyle name="百分比 6 2 2 5 2" xfId="2928"/>
    <cellStyle name="百分比 6 2 2 6" xfId="2929"/>
    <cellStyle name="百分比 6 2 2 6 2" xfId="2930"/>
    <cellStyle name="百分比 6 2 2 7" xfId="2931"/>
    <cellStyle name="百分比 6 2 3" xfId="2932"/>
    <cellStyle name="百分比 6 3" xfId="2933"/>
    <cellStyle name="百分比 6 3 2" xfId="2934"/>
    <cellStyle name="百分比 6 4" xfId="2935"/>
    <cellStyle name="百分比 6 4 2" xfId="2936"/>
    <cellStyle name="百分比 6 5" xfId="2937"/>
    <cellStyle name="百分比 6 5 2" xfId="2938"/>
    <cellStyle name="百分比 6 6" xfId="2939"/>
    <cellStyle name="百分比 6 6 2" xfId="2940"/>
    <cellStyle name="百分比 6 7" xfId="2941"/>
    <cellStyle name="百分比 6 7 2" xfId="2942"/>
    <cellStyle name="百分比 6 8" xfId="2943"/>
    <cellStyle name="百分比 7" xfId="2944"/>
    <cellStyle name="百分比 7 2" xfId="2945"/>
    <cellStyle name="百分比 7 2 2" xfId="2946"/>
    <cellStyle name="百分比 7 3" xfId="2947"/>
    <cellStyle name="百分比 7 3 2" xfId="2948"/>
    <cellStyle name="百分比 7 4" xfId="2949"/>
    <cellStyle name="百分比 7 4 2" xfId="2950"/>
    <cellStyle name="百分比 7 5" xfId="2951"/>
    <cellStyle name="百分比 7 5 2" xfId="2952"/>
    <cellStyle name="百分比 7 6" xfId="2953"/>
    <cellStyle name="百分比 7 6 2" xfId="2954"/>
    <cellStyle name="百分比 7 7" xfId="2955"/>
    <cellStyle name="百分比 8" xfId="2956"/>
    <cellStyle name="百分比 9" xfId="2957"/>
    <cellStyle name="捠壿 [0.00]_Region Orders (2)" xfId="2958"/>
    <cellStyle name="捠壿_Region Orders (2)" xfId="2959"/>
    <cellStyle name="标题 1 10" xfId="2960"/>
    <cellStyle name="标题 1 10 2" xfId="2961"/>
    <cellStyle name="标题 1 11" xfId="2962"/>
    <cellStyle name="标题 1 11 2" xfId="2963"/>
    <cellStyle name="标题 1 12" xfId="2964"/>
    <cellStyle name="标题 1 2" xfId="2965"/>
    <cellStyle name="标题 1 2 10" xfId="2966"/>
    <cellStyle name="标题 1 2 2" xfId="2967"/>
    <cellStyle name="标题 1 2 2 2" xfId="2968"/>
    <cellStyle name="标题 1 2 2 2 2" xfId="2969"/>
    <cellStyle name="标题 1 2 2 2 3" xfId="2970"/>
    <cellStyle name="标题 1 2 2 2 4" xfId="2971"/>
    <cellStyle name="标题 1 2 2 3" xfId="2972"/>
    <cellStyle name="标题 1 2 2 4" xfId="2973"/>
    <cellStyle name="标题 1 2 2 5" xfId="2974"/>
    <cellStyle name="标题 1 2 3" xfId="2975"/>
    <cellStyle name="标题 1 2 3 2" xfId="2976"/>
    <cellStyle name="标题 1 2 3 3" xfId="2977"/>
    <cellStyle name="标题 1 2 3 4" xfId="2978"/>
    <cellStyle name="标题 1 2 4" xfId="2979"/>
    <cellStyle name="标题 1 2 4 2" xfId="2980"/>
    <cellStyle name="标题 1 2 4 3" xfId="2981"/>
    <cellStyle name="标题 1 2 4 4" xfId="2982"/>
    <cellStyle name="标题 1 2 5" xfId="2983"/>
    <cellStyle name="标题 1 2 5 2" xfId="2984"/>
    <cellStyle name="标题 1 2 5 3" xfId="2985"/>
    <cellStyle name="标题 1 2 5 4" xfId="2986"/>
    <cellStyle name="标题 1 2 6" xfId="2987"/>
    <cellStyle name="标题 1 2 6 2" xfId="2988"/>
    <cellStyle name="标题 1 2 6 3" xfId="2989"/>
    <cellStyle name="标题 1 2 6 4" xfId="2990"/>
    <cellStyle name="标题 1 2 7" xfId="2991"/>
    <cellStyle name="标题 1 2 7 2" xfId="2992"/>
    <cellStyle name="标题 1 2 7 3" xfId="2993"/>
    <cellStyle name="标题 1 2 7 4" xfId="2994"/>
    <cellStyle name="标题 1 2 8" xfId="2995"/>
    <cellStyle name="标题 1 2 8 2" xfId="2996"/>
    <cellStyle name="标题 1 2 8 3" xfId="2997"/>
    <cellStyle name="标题 1 2 8 4" xfId="2998"/>
    <cellStyle name="标题 1 2 9" xfId="2999"/>
    <cellStyle name="标题 1 3" xfId="3000"/>
    <cellStyle name="标题 1 3 2" xfId="3001"/>
    <cellStyle name="标题 1 4" xfId="3002"/>
    <cellStyle name="标题 1 4 2" xfId="3003"/>
    <cellStyle name="标题 1 5" xfId="3004"/>
    <cellStyle name="标题 1 5 2" xfId="3005"/>
    <cellStyle name="标题 1 6" xfId="3006"/>
    <cellStyle name="标题 1 6 2" xfId="3007"/>
    <cellStyle name="标题 1 7" xfId="3008"/>
    <cellStyle name="标题 1 7 2" xfId="3009"/>
    <cellStyle name="标题 1 8" xfId="3010"/>
    <cellStyle name="标题 1 8 2" xfId="3011"/>
    <cellStyle name="标题 1 9" xfId="3012"/>
    <cellStyle name="标题 1 9 2" xfId="3013"/>
    <cellStyle name="标题 10" xfId="3014"/>
    <cellStyle name="标题 10 2" xfId="3015"/>
    <cellStyle name="标题 11" xfId="3016"/>
    <cellStyle name="标题 11 2" xfId="3017"/>
    <cellStyle name="标题 12" xfId="3018"/>
    <cellStyle name="标题 12 2" xfId="3019"/>
    <cellStyle name="标题 13" xfId="3020"/>
    <cellStyle name="标题 13 2" xfId="3021"/>
    <cellStyle name="标题 14" xfId="3022"/>
    <cellStyle name="标题 14 2" xfId="3023"/>
    <cellStyle name="标题 15" xfId="3024"/>
    <cellStyle name="标题 2 10" xfId="3025"/>
    <cellStyle name="标题 2 10 2" xfId="3026"/>
    <cellStyle name="标题 2 11" xfId="3027"/>
    <cellStyle name="标题 2 11 2" xfId="3028"/>
    <cellStyle name="标题 2 12" xfId="3029"/>
    <cellStyle name="标题 2 2" xfId="3030"/>
    <cellStyle name="标题 2 2 10" xfId="3031"/>
    <cellStyle name="标题 2 2 2" xfId="3032"/>
    <cellStyle name="标题 2 2 2 2" xfId="3033"/>
    <cellStyle name="标题 2 2 2 2 2" xfId="3034"/>
    <cellStyle name="标题 2 2 2 2 3" xfId="3035"/>
    <cellStyle name="标题 2 2 2 2 4" xfId="3036"/>
    <cellStyle name="标题 2 2 2 3" xfId="3037"/>
    <cellStyle name="标题 2 2 2 4" xfId="3038"/>
    <cellStyle name="标题 2 2 2 5" xfId="3039"/>
    <cellStyle name="标题 2 2 3" xfId="3040"/>
    <cellStyle name="标题 2 2 3 2" xfId="3041"/>
    <cellStyle name="标题 2 2 3 3" xfId="3042"/>
    <cellStyle name="标题 2 2 3 4" xfId="3043"/>
    <cellStyle name="标题 2 2 4" xfId="3044"/>
    <cellStyle name="标题 2 2 4 2" xfId="3045"/>
    <cellStyle name="标题 2 2 4 3" xfId="3046"/>
    <cellStyle name="标题 2 2 4 4" xfId="3047"/>
    <cellStyle name="标题 2 2 5" xfId="3048"/>
    <cellStyle name="标题 2 2 5 2" xfId="3049"/>
    <cellStyle name="标题 2 2 5 3" xfId="3050"/>
    <cellStyle name="标题 2 2 5 4" xfId="3051"/>
    <cellStyle name="标题 2 2 6" xfId="3052"/>
    <cellStyle name="标题 2 2 6 2" xfId="3053"/>
    <cellStyle name="标题 2 2 6 3" xfId="3054"/>
    <cellStyle name="标题 2 2 6 4" xfId="3055"/>
    <cellStyle name="标题 2 2 7" xfId="3056"/>
    <cellStyle name="标题 2 2 7 2" xfId="3057"/>
    <cellStyle name="标题 2 2 7 3" xfId="3058"/>
    <cellStyle name="标题 2 2 7 4" xfId="3059"/>
    <cellStyle name="标题 2 2 8" xfId="3060"/>
    <cellStyle name="标题 2 2 8 2" xfId="3061"/>
    <cellStyle name="标题 2 2 8 3" xfId="3062"/>
    <cellStyle name="标题 2 2 8 4" xfId="3063"/>
    <cellStyle name="标题 2 2 9" xfId="3064"/>
    <cellStyle name="标题 2 3" xfId="3065"/>
    <cellStyle name="标题 2 3 2" xfId="3066"/>
    <cellStyle name="标题 2 4" xfId="3067"/>
    <cellStyle name="标题 2 4 2" xfId="3068"/>
    <cellStyle name="标题 2 5" xfId="3069"/>
    <cellStyle name="标题 2 5 2" xfId="3070"/>
    <cellStyle name="标题 2 6" xfId="3071"/>
    <cellStyle name="标题 2 6 2" xfId="3072"/>
    <cellStyle name="标题 2 7" xfId="3073"/>
    <cellStyle name="标题 2 7 2" xfId="3074"/>
    <cellStyle name="标题 2 8" xfId="3075"/>
    <cellStyle name="标题 2 8 2" xfId="3076"/>
    <cellStyle name="标题 2 9" xfId="3077"/>
    <cellStyle name="标题 2 9 2" xfId="3078"/>
    <cellStyle name="标题 3 10" xfId="3079"/>
    <cellStyle name="标题 3 10 2" xfId="3080"/>
    <cellStyle name="标题 3 11" xfId="3081"/>
    <cellStyle name="标题 3 11 2" xfId="3082"/>
    <cellStyle name="标题 3 12" xfId="3083"/>
    <cellStyle name="标题 3 2" xfId="3084"/>
    <cellStyle name="标题 3 2 10" xfId="3085"/>
    <cellStyle name="标题 3 2 2" xfId="3086"/>
    <cellStyle name="标题 3 2 2 2" xfId="3087"/>
    <cellStyle name="标题 3 2 2 2 2" xfId="3088"/>
    <cellStyle name="标题 3 2 2 2 3" xfId="3089"/>
    <cellStyle name="标题 3 2 2 2 4" xfId="3090"/>
    <cellStyle name="标题 3 2 2 3" xfId="3091"/>
    <cellStyle name="标题 3 2 2 4" xfId="3092"/>
    <cellStyle name="标题 3 2 2 5" xfId="3093"/>
    <cellStyle name="标题 3 2 3" xfId="3094"/>
    <cellStyle name="标题 3 2 3 2" xfId="3095"/>
    <cellStyle name="标题 3 2 3 3" xfId="3096"/>
    <cellStyle name="标题 3 2 3 4" xfId="3097"/>
    <cellStyle name="标题 3 2 4" xfId="3098"/>
    <cellStyle name="标题 3 2 4 2" xfId="3099"/>
    <cellStyle name="标题 3 2 4 3" xfId="3100"/>
    <cellStyle name="标题 3 2 4 4" xfId="3101"/>
    <cellStyle name="标题 3 2 5" xfId="3102"/>
    <cellStyle name="标题 3 2 5 2" xfId="3103"/>
    <cellStyle name="标题 3 2 5 3" xfId="3104"/>
    <cellStyle name="标题 3 2 5 4" xfId="3105"/>
    <cellStyle name="标题 3 2 6" xfId="3106"/>
    <cellStyle name="标题 3 2 6 2" xfId="3107"/>
    <cellStyle name="标题 3 2 6 3" xfId="3108"/>
    <cellStyle name="标题 3 2 6 4" xfId="3109"/>
    <cellStyle name="标题 3 2 7" xfId="3110"/>
    <cellStyle name="标题 3 2 7 2" xfId="3111"/>
    <cellStyle name="标题 3 2 7 3" xfId="3112"/>
    <cellStyle name="标题 3 2 7 4" xfId="3113"/>
    <cellStyle name="标题 3 2 8" xfId="3114"/>
    <cellStyle name="标题 3 2 8 2" xfId="3115"/>
    <cellStyle name="标题 3 2 8 3" xfId="3116"/>
    <cellStyle name="标题 3 2 8 4" xfId="3117"/>
    <cellStyle name="标题 3 2 9" xfId="3118"/>
    <cellStyle name="标题 3 3" xfId="3119"/>
    <cellStyle name="标题 3 3 2" xfId="3120"/>
    <cellStyle name="标题 3 4" xfId="3121"/>
    <cellStyle name="标题 3 4 2" xfId="3122"/>
    <cellStyle name="标题 3 5" xfId="3123"/>
    <cellStyle name="标题 3 5 2" xfId="3124"/>
    <cellStyle name="标题 3 6" xfId="3125"/>
    <cellStyle name="标题 3 6 2" xfId="3126"/>
    <cellStyle name="标题 3 7" xfId="3127"/>
    <cellStyle name="标题 3 7 2" xfId="3128"/>
    <cellStyle name="标题 3 8" xfId="3129"/>
    <cellStyle name="标题 3 8 2" xfId="3130"/>
    <cellStyle name="标题 3 9" xfId="3131"/>
    <cellStyle name="标题 3 9 2" xfId="3132"/>
    <cellStyle name="标题 4 10" xfId="3133"/>
    <cellStyle name="标题 4 10 2" xfId="3134"/>
    <cellStyle name="标题 4 11" xfId="3135"/>
    <cellStyle name="标题 4 11 2" xfId="3136"/>
    <cellStyle name="标题 4 12" xfId="3137"/>
    <cellStyle name="标题 4 2" xfId="3138"/>
    <cellStyle name="标题 4 2 10" xfId="3139"/>
    <cellStyle name="标题 4 2 2" xfId="3140"/>
    <cellStyle name="标题 4 2 2 2" xfId="3141"/>
    <cellStyle name="标题 4 2 2 2 2" xfId="3142"/>
    <cellStyle name="标题 4 2 2 2 3" xfId="3143"/>
    <cellStyle name="标题 4 2 2 2 4" xfId="3144"/>
    <cellStyle name="标题 4 2 2 3" xfId="3145"/>
    <cellStyle name="标题 4 2 2 4" xfId="3146"/>
    <cellStyle name="标题 4 2 2 5" xfId="3147"/>
    <cellStyle name="标题 4 2 3" xfId="3148"/>
    <cellStyle name="标题 4 2 3 2" xfId="3149"/>
    <cellStyle name="标题 4 2 3 3" xfId="3150"/>
    <cellStyle name="标题 4 2 3 4" xfId="3151"/>
    <cellStyle name="标题 4 2 4" xfId="3152"/>
    <cellStyle name="标题 4 2 4 2" xfId="3153"/>
    <cellStyle name="标题 4 2 4 3" xfId="3154"/>
    <cellStyle name="标题 4 2 4 4" xfId="3155"/>
    <cellStyle name="标题 4 2 5" xfId="3156"/>
    <cellStyle name="标题 4 2 5 2" xfId="3157"/>
    <cellStyle name="标题 4 2 5 3" xfId="3158"/>
    <cellStyle name="标题 4 2 5 4" xfId="3159"/>
    <cellStyle name="标题 4 2 6" xfId="3160"/>
    <cellStyle name="标题 4 2 6 2" xfId="3161"/>
    <cellStyle name="标题 4 2 6 3" xfId="3162"/>
    <cellStyle name="标题 4 2 6 4" xfId="3163"/>
    <cellStyle name="标题 4 2 7" xfId="3164"/>
    <cellStyle name="标题 4 2 7 2" xfId="3165"/>
    <cellStyle name="标题 4 2 7 3" xfId="3166"/>
    <cellStyle name="标题 4 2 7 4" xfId="3167"/>
    <cellStyle name="标题 4 2 8" xfId="3168"/>
    <cellStyle name="标题 4 2 8 2" xfId="3169"/>
    <cellStyle name="标题 4 2 8 3" xfId="3170"/>
    <cellStyle name="标题 4 2 8 4" xfId="3171"/>
    <cellStyle name="标题 4 2 9" xfId="3172"/>
    <cellStyle name="标题 4 3" xfId="3173"/>
    <cellStyle name="标题 4 3 2" xfId="3174"/>
    <cellStyle name="标题 4 4" xfId="3175"/>
    <cellStyle name="标题 4 4 2" xfId="3176"/>
    <cellStyle name="标题 4 5" xfId="3177"/>
    <cellStyle name="标题 4 5 2" xfId="3178"/>
    <cellStyle name="标题 4 6" xfId="3179"/>
    <cellStyle name="标题 4 6 2" xfId="3180"/>
    <cellStyle name="标题 4 7" xfId="3181"/>
    <cellStyle name="标题 4 7 2" xfId="3182"/>
    <cellStyle name="标题 4 8" xfId="3183"/>
    <cellStyle name="标题 4 8 2" xfId="3184"/>
    <cellStyle name="标题 4 9" xfId="3185"/>
    <cellStyle name="标题 4 9 2" xfId="3186"/>
    <cellStyle name="标题 5" xfId="3187"/>
    <cellStyle name="标题 5 10" xfId="3188"/>
    <cellStyle name="标题 5 2" xfId="3189"/>
    <cellStyle name="标题 5 2 2" xfId="3190"/>
    <cellStyle name="标题 5 2 2 2" xfId="3191"/>
    <cellStyle name="标题 5 2 2 3" xfId="3192"/>
    <cellStyle name="标题 5 2 2 4" xfId="3193"/>
    <cellStyle name="标题 5 2 3" xfId="3194"/>
    <cellStyle name="标题 5 2 4" xfId="3195"/>
    <cellStyle name="标题 5 2 5" xfId="3196"/>
    <cellStyle name="标题 5 3" xfId="3197"/>
    <cellStyle name="标题 5 3 2" xfId="3198"/>
    <cellStyle name="标题 5 3 3" xfId="3199"/>
    <cellStyle name="标题 5 3 4" xfId="3200"/>
    <cellStyle name="标题 5 4" xfId="3201"/>
    <cellStyle name="标题 5 4 2" xfId="3202"/>
    <cellStyle name="标题 5 4 3" xfId="3203"/>
    <cellStyle name="标题 5 4 4" xfId="3204"/>
    <cellStyle name="标题 5 5" xfId="3205"/>
    <cellStyle name="标题 5 5 2" xfId="3206"/>
    <cellStyle name="标题 5 5 3" xfId="3207"/>
    <cellStyle name="标题 5 5 4" xfId="3208"/>
    <cellStyle name="标题 5 6" xfId="3209"/>
    <cellStyle name="标题 5 6 2" xfId="3210"/>
    <cellStyle name="标题 5 6 3" xfId="3211"/>
    <cellStyle name="标题 5 6 4" xfId="3212"/>
    <cellStyle name="标题 5 7" xfId="3213"/>
    <cellStyle name="标题 5 7 2" xfId="3214"/>
    <cellStyle name="标题 5 7 3" xfId="3215"/>
    <cellStyle name="标题 5 7 4" xfId="3216"/>
    <cellStyle name="标题 5 8" xfId="3217"/>
    <cellStyle name="标题 5 8 2" xfId="3218"/>
    <cellStyle name="标题 5 8 3" xfId="3219"/>
    <cellStyle name="标题 5 8 4" xfId="3220"/>
    <cellStyle name="标题 5 9" xfId="3221"/>
    <cellStyle name="标题 6" xfId="3222"/>
    <cellStyle name="标题 6 2" xfId="3223"/>
    <cellStyle name="标题 7" xfId="3224"/>
    <cellStyle name="标题 7 2" xfId="3225"/>
    <cellStyle name="标题 8" xfId="3226"/>
    <cellStyle name="标题 8 2" xfId="3227"/>
    <cellStyle name="标题 9" xfId="3228"/>
    <cellStyle name="标题 9 2" xfId="3229"/>
    <cellStyle name="標準_TTAMC固定資産リスト" xfId="3230"/>
    <cellStyle name="差 10" xfId="3231"/>
    <cellStyle name="差 10 2" xfId="3232"/>
    <cellStyle name="差 11" xfId="3233"/>
    <cellStyle name="差 11 2" xfId="3234"/>
    <cellStyle name="差 12" xfId="3235"/>
    <cellStyle name="差 2" xfId="3236"/>
    <cellStyle name="差 2 10" xfId="3237"/>
    <cellStyle name="差 2 2" xfId="3238"/>
    <cellStyle name="差 2 2 2" xfId="3239"/>
    <cellStyle name="差 2 2 2 2" xfId="3240"/>
    <cellStyle name="差 2 2 2 3" xfId="3241"/>
    <cellStyle name="差 2 2 2 4" xfId="3242"/>
    <cellStyle name="差 2 2 3" xfId="3243"/>
    <cellStyle name="差 2 2 4" xfId="3244"/>
    <cellStyle name="差 2 2 5" xfId="3245"/>
    <cellStyle name="差 2 2_样本-每月费用" xfId="3246"/>
    <cellStyle name="差 2 3" xfId="3247"/>
    <cellStyle name="差 2 3 2" xfId="3248"/>
    <cellStyle name="差 2 3 3" xfId="3249"/>
    <cellStyle name="差 2 3 4" xfId="3250"/>
    <cellStyle name="差 2 4" xfId="3251"/>
    <cellStyle name="差 2 4 2" xfId="3252"/>
    <cellStyle name="差 2 4 3" xfId="3253"/>
    <cellStyle name="差 2 4 4" xfId="3254"/>
    <cellStyle name="差 2 5" xfId="3255"/>
    <cellStyle name="差 2 5 2" xfId="3256"/>
    <cellStyle name="差 2 5 3" xfId="3257"/>
    <cellStyle name="差 2 5 4" xfId="3258"/>
    <cellStyle name="差 2 6" xfId="3259"/>
    <cellStyle name="差 2 6 2" xfId="3260"/>
    <cellStyle name="差 2 6 3" xfId="3261"/>
    <cellStyle name="差 2 6 4" xfId="3262"/>
    <cellStyle name="差 2 7" xfId="3263"/>
    <cellStyle name="差 2 7 2" xfId="3264"/>
    <cellStyle name="差 2 7 3" xfId="3265"/>
    <cellStyle name="差 2 7 4" xfId="3266"/>
    <cellStyle name="差 2 8" xfId="3267"/>
    <cellStyle name="差 2 8 2" xfId="3268"/>
    <cellStyle name="差 2 8 3" xfId="3269"/>
    <cellStyle name="差 2 8 4" xfId="3270"/>
    <cellStyle name="差 2 9" xfId="3271"/>
    <cellStyle name="差 3" xfId="3272"/>
    <cellStyle name="差 3 2" xfId="3273"/>
    <cellStyle name="差 4" xfId="3274"/>
    <cellStyle name="差 4 2" xfId="3275"/>
    <cellStyle name="差 5" xfId="3276"/>
    <cellStyle name="差 5 2" xfId="3277"/>
    <cellStyle name="差 6" xfId="3278"/>
    <cellStyle name="差 6 2" xfId="3279"/>
    <cellStyle name="差 7" xfId="3280"/>
    <cellStyle name="差 7 2" xfId="3281"/>
    <cellStyle name="差 8" xfId="3282"/>
    <cellStyle name="差 8 2" xfId="3283"/>
    <cellStyle name="差 9" xfId="3284"/>
    <cellStyle name="差 9 2" xfId="3285"/>
    <cellStyle name="差_■项目成本测算表" xfId="3286"/>
    <cellStyle name="差_ADJ" xfId="3287"/>
    <cellStyle name="差_B&amp;P" xfId="3288"/>
    <cellStyle name="差_奥园050607" xfId="3289"/>
    <cellStyle name="差_奥园050607 2" xfId="3290"/>
    <cellStyle name="差_城花新园A块（标一、二、三、四段）10年1月动态成本" xfId="3291"/>
    <cellStyle name="差_递延税款比较-奥园" xfId="3292"/>
    <cellStyle name="差_递延税款比较-奥园 2" xfId="3293"/>
    <cellStyle name="差_第一、二部分-月报综述及经营指标完成情况（财务3月报）4.7" xfId="3294"/>
    <cellStyle name="差_第一、二部分-月报综述及经营指标完成情况（财务3月报）4.7 2" xfId="3295"/>
    <cellStyle name="差_第一、二部分-月报综述及经营指标完成情况（财务3月报）4.7 2 2" xfId="3296"/>
    <cellStyle name="差_第一、二部分-月报综述及经营指标完成情况（财务3月报）4.7 2 2 2" xfId="3297"/>
    <cellStyle name="差_第一、二部分-月报综述及经营指标完成情况（财务3月报）4.7 2 2 2 2" xfId="3298"/>
    <cellStyle name="差_第一、二部分-月报综述及经营指标完成情况（财务3月报）4.7 2 2 3" xfId="3299"/>
    <cellStyle name="差_第一、二部分-月报综述及经营指标完成情况（财务3月报）4.7 2 2 3 2" xfId="3300"/>
    <cellStyle name="差_第一、二部分-月报综述及经营指标完成情况（财务3月报）4.7 2 2 4" xfId="3301"/>
    <cellStyle name="差_第一、二部分-月报综述及经营指标完成情况（财务3月报）4.7 2 2 4 2" xfId="3302"/>
    <cellStyle name="差_第一、二部分-月报综述及经营指标完成情况（财务3月报）4.7 2 2 5" xfId="3303"/>
    <cellStyle name="差_第一、二部分-月报综述及经营指标完成情况（财务3月报）4.7 2 2 5 2" xfId="3304"/>
    <cellStyle name="差_第一、二部分-月报综述及经营指标完成情况（财务3月报）4.7 2 2 6" xfId="3305"/>
    <cellStyle name="差_第一、二部分-月报综述及经营指标完成情况（财务3月报）4.7 2 2 6 2" xfId="3306"/>
    <cellStyle name="差_第一、二部分-月报综述及经营指标完成情况（财务3月报）4.7 2 2 7" xfId="3307"/>
    <cellStyle name="差_第一、二部分-月报综述及经营指标完成情况（财务3月报）4.7 2 3" xfId="3308"/>
    <cellStyle name="差_第一、二部分-月报综述及经营指标完成情况（财务3月报）4.7 2 3 2" xfId="3309"/>
    <cellStyle name="差_第一、二部分-月报综述及经营指标完成情况（财务3月报）4.7 2 4" xfId="3310"/>
    <cellStyle name="差_第一、二部分-月报综述及经营指标完成情况（财务3月报）4.7 2 4 2" xfId="3311"/>
    <cellStyle name="差_第一、二部分-月报综述及经营指标完成情况（财务3月报）4.7 2 5" xfId="3312"/>
    <cellStyle name="差_第一、二部分-月报综述及经营指标完成情况（财务3月报）4.7 2 5 2" xfId="3313"/>
    <cellStyle name="差_第一、二部分-月报综述及经营指标完成情况（财务3月报）4.7 2 6" xfId="3314"/>
    <cellStyle name="差_第一、二部分-月报综述及经营指标完成情况（财务3月报）4.7 2 6 2" xfId="3315"/>
    <cellStyle name="差_第一、二部分-月报综述及经营指标完成情况（财务3月报）4.7 2 7" xfId="3316"/>
    <cellStyle name="差_第一、二部分-月报综述及经营指标完成情况（财务3月报）4.7 2 7 2" xfId="3317"/>
    <cellStyle name="差_第一、二部分-月报综述及经营指标完成情况（财务3月报）4.7 2 8" xfId="3318"/>
    <cellStyle name="差_第一、二部分-月报综述及经营指标完成情况（财务3月报）4.7 3" xfId="3319"/>
    <cellStyle name="差_第一、二部分-月报综述及经营指标完成情况（财务3月报）4.7 3 2" xfId="3320"/>
    <cellStyle name="差_第一、二部分-月报综述及经营指标完成情况（财务3月报）4.7 3 2 2" xfId="3321"/>
    <cellStyle name="差_第一、二部分-月报综述及经营指标完成情况（财务3月报）4.7 3 3" xfId="3322"/>
    <cellStyle name="差_第一、二部分-月报综述及经营指标完成情况（财务3月报）4.7 3 3 2" xfId="3323"/>
    <cellStyle name="差_第一、二部分-月报综述及经营指标完成情况（财务3月报）4.7 3 4" xfId="3324"/>
    <cellStyle name="差_第一、二部分-月报综述及经营指标完成情况（财务3月报）4.7 3 4 2" xfId="3325"/>
    <cellStyle name="差_第一、二部分-月报综述及经营指标完成情况（财务3月报）4.7 3 5" xfId="3326"/>
    <cellStyle name="差_第一、二部分-月报综述及经营指标完成情况（财务3月报）4.7 3 5 2" xfId="3327"/>
    <cellStyle name="差_第一、二部分-月报综述及经营指标完成情况（财务3月报）4.7 3 6" xfId="3328"/>
    <cellStyle name="差_第一、二部分-月报综述及经营指标完成情况（财务3月报）4.7 3 6 2" xfId="3329"/>
    <cellStyle name="差_第一、二部分-月报综述及经营指标完成情况（财务3月报）4.7 3 7" xfId="3330"/>
    <cellStyle name="差_第一、二部分-月报综述及经营指标完成情况（财务3月报）4.7 4" xfId="3331"/>
    <cellStyle name="差_第一、二部分-月报综述及经营指标完成情况（财务3月报）4.7 4 2" xfId="3332"/>
    <cellStyle name="差_第一、二部分-月报综述及经营指标完成情况（财务3月报）4.7 5" xfId="3333"/>
    <cellStyle name="差_第一、二部分-月报综述及经营指标完成情况（财务3月报）4.7 5 2" xfId="3334"/>
    <cellStyle name="差_第一、二部分-月报综述及经营指标完成情况（财务3月报）4.7 6" xfId="3335"/>
    <cellStyle name="差_第一、二部分-月报综述及经营指标完成情况（财务3月报）4.7 6 2" xfId="3336"/>
    <cellStyle name="差_第一、二部分-月报综述及经营指标完成情况（财务3月报）4.7 7" xfId="3337"/>
    <cellStyle name="差_第一、二部分-月报综述及经营指标完成情况（财务3月报）4.7 7 2" xfId="3338"/>
    <cellStyle name="差_第一、二部分-月报综述及经营指标完成情况（财务3月报）4.7 8" xfId="3339"/>
    <cellStyle name="差_第一、二部分-月报综述及经营指标完成情况（财务3月报）4.7 8 2" xfId="3340"/>
    <cellStyle name="差_第一、二部分-月报综述及经营指标完成情况（财务3月报）4.7 9" xfId="3341"/>
    <cellStyle name="差_第一、二部分-月报综述及经营指标完成情况（财务5月报）6.2" xfId="3342"/>
    <cellStyle name="差_第一、二部分-月报综述及经营指标完成情况（财务5月报）6.2 2" xfId="3343"/>
    <cellStyle name="差_第一、二部分-月报综述及经营指标完成情况（财务5月报）6.2 2 2" xfId="3344"/>
    <cellStyle name="差_第一、二部分-月报综述及经营指标完成情况（财务5月报）6.2 2 2 2" xfId="3345"/>
    <cellStyle name="差_第一、二部分-月报综述及经营指标完成情况（财务5月报）6.2 2 2 2 2" xfId="3346"/>
    <cellStyle name="差_第一、二部分-月报综述及经营指标完成情况（财务5月报）6.2 2 2 3" xfId="3347"/>
    <cellStyle name="差_第一、二部分-月报综述及经营指标完成情况（财务5月报）6.2 2 2 3 2" xfId="3348"/>
    <cellStyle name="差_第一、二部分-月报综述及经营指标完成情况（财务5月报）6.2 2 2 4" xfId="3349"/>
    <cellStyle name="差_第一、二部分-月报综述及经营指标完成情况（财务5月报）6.2 2 2 4 2" xfId="3350"/>
    <cellStyle name="差_第一、二部分-月报综述及经营指标完成情况（财务5月报）6.2 2 2 5" xfId="3351"/>
    <cellStyle name="差_第一、二部分-月报综述及经营指标完成情况（财务5月报）6.2 2 2 5 2" xfId="3352"/>
    <cellStyle name="差_第一、二部分-月报综述及经营指标完成情况（财务5月报）6.2 2 2 6" xfId="3353"/>
    <cellStyle name="差_第一、二部分-月报综述及经营指标完成情况（财务5月报）6.2 2 2 6 2" xfId="3354"/>
    <cellStyle name="差_第一、二部分-月报综述及经营指标完成情况（财务5月报）6.2 2 2 7" xfId="3355"/>
    <cellStyle name="差_第一、二部分-月报综述及经营指标完成情况（财务5月报）6.2 2 3" xfId="3356"/>
    <cellStyle name="差_第一、二部分-月报综述及经营指标完成情况（财务5月报）6.2 2 3 2" xfId="3357"/>
    <cellStyle name="差_第一、二部分-月报综述及经营指标完成情况（财务5月报）6.2 2 4" xfId="3358"/>
    <cellStyle name="差_第一、二部分-月报综述及经营指标完成情况（财务5月报）6.2 2 4 2" xfId="3359"/>
    <cellStyle name="差_第一、二部分-月报综述及经营指标完成情况（财务5月报）6.2 2 5" xfId="3360"/>
    <cellStyle name="差_第一、二部分-月报综述及经营指标完成情况（财务5月报）6.2 2 5 2" xfId="3361"/>
    <cellStyle name="差_第一、二部分-月报综述及经营指标完成情况（财务5月报）6.2 2 6" xfId="3362"/>
    <cellStyle name="差_第一、二部分-月报综述及经营指标完成情况（财务5月报）6.2 2 6 2" xfId="3363"/>
    <cellStyle name="差_第一、二部分-月报综述及经营指标完成情况（财务5月报）6.2 2 7" xfId="3364"/>
    <cellStyle name="差_第一、二部分-月报综述及经营指标完成情况（财务5月报）6.2 2 7 2" xfId="3365"/>
    <cellStyle name="差_第一、二部分-月报综述及经营指标完成情况（财务5月报）6.2 2 8" xfId="3366"/>
    <cellStyle name="差_第一、二部分-月报综述及经营指标完成情况（财务5月报）6.2 3" xfId="3367"/>
    <cellStyle name="差_第一、二部分-月报综述及经营指标完成情况（财务5月报）6.2 3 2" xfId="3368"/>
    <cellStyle name="差_第一、二部分-月报综述及经营指标完成情况（财务5月报）6.2 3 2 2" xfId="3369"/>
    <cellStyle name="差_第一、二部分-月报综述及经营指标完成情况（财务5月报）6.2 3 3" xfId="3370"/>
    <cellStyle name="差_第一、二部分-月报综述及经营指标完成情况（财务5月报）6.2 3 3 2" xfId="3371"/>
    <cellStyle name="差_第一、二部分-月报综述及经营指标完成情况（财务5月报）6.2 3 4" xfId="3372"/>
    <cellStyle name="差_第一、二部分-月报综述及经营指标完成情况（财务5月报）6.2 3 4 2" xfId="3373"/>
    <cellStyle name="差_第一、二部分-月报综述及经营指标完成情况（财务5月报）6.2 3 5" xfId="3374"/>
    <cellStyle name="差_第一、二部分-月报综述及经营指标完成情况（财务5月报）6.2 3 5 2" xfId="3375"/>
    <cellStyle name="差_第一、二部分-月报综述及经营指标完成情况（财务5月报）6.2 3 6" xfId="3376"/>
    <cellStyle name="差_第一、二部分-月报综述及经营指标完成情况（财务5月报）6.2 3 6 2" xfId="3377"/>
    <cellStyle name="差_第一、二部分-月报综述及经营指标完成情况（财务5月报）6.2 3 7" xfId="3378"/>
    <cellStyle name="差_第一、二部分-月报综述及经营指标完成情况（财务5月报）6.2 4" xfId="3379"/>
    <cellStyle name="差_第一、二部分-月报综述及经营指标完成情况（财务5月报）6.2 4 2" xfId="3380"/>
    <cellStyle name="差_第一、二部分-月报综述及经营指标完成情况（财务5月报）6.2 5" xfId="3381"/>
    <cellStyle name="差_第一、二部分-月报综述及经营指标完成情况（财务5月报）6.2 5 2" xfId="3382"/>
    <cellStyle name="差_第一、二部分-月报综述及经营指标完成情况（财务5月报）6.2 6" xfId="3383"/>
    <cellStyle name="差_第一、二部分-月报综述及经营指标完成情况（财务5月报）6.2 6 2" xfId="3384"/>
    <cellStyle name="差_第一、二部分-月报综述及经营指标完成情况（财务5月报）6.2 7" xfId="3385"/>
    <cellStyle name="差_第一、二部分-月报综述及经营指标完成情况（财务5月报）6.2 7 2" xfId="3386"/>
    <cellStyle name="差_第一、二部分-月报综述及经营指标完成情况（财务5月报）6.2 8" xfId="3387"/>
    <cellStyle name="差_第一、二部分-月报综述及经营指标完成情况（财务5月报）6.2 8 2" xfId="3388"/>
    <cellStyle name="差_第一、二部分-月报综述及经营指标完成情况（财务5月报）6.2 9" xfId="3389"/>
    <cellStyle name="差_汇报测算201007 (2)" xfId="3390"/>
    <cellStyle name="差_晶元南块目标成本测算-规划方案批复20090514-含财务-报批稿" xfId="3391"/>
    <cellStyle name="差_开工前土地摊销-总" xfId="3392"/>
    <cellStyle name="差_开工前土地摊销-总 2" xfId="3393"/>
    <cellStyle name="差_理想城市成本数据0707（财务部）" xfId="3394"/>
    <cellStyle name="差_理想城市成本数据0707（财务部） 2" xfId="3395"/>
    <cellStyle name="差_理想城市成本数据0707（财务部） 2 2" xfId="3396"/>
    <cellStyle name="差_理想城市成本数据0707（财务部） 2 2 2" xfId="3397"/>
    <cellStyle name="差_理想城市成本数据0707（财务部） 2 2 2 2" xfId="3398"/>
    <cellStyle name="差_理想城市成本数据0707（财务部） 2 2 3" xfId="3399"/>
    <cellStyle name="差_理想城市成本数据0707（财务部） 2 2 3 2" xfId="3400"/>
    <cellStyle name="差_理想城市成本数据0707（财务部） 2 2 4" xfId="3401"/>
    <cellStyle name="差_理想城市成本数据0707（财务部） 2 2 4 2" xfId="3402"/>
    <cellStyle name="差_理想城市成本数据0707（财务部） 2 2 5" xfId="3403"/>
    <cellStyle name="差_理想城市成本数据0707（财务部） 2 2 5 2" xfId="3404"/>
    <cellStyle name="差_理想城市成本数据0707（财务部） 2 2 6" xfId="3405"/>
    <cellStyle name="差_理想城市成本数据0707（财务部） 2 2 6 2" xfId="3406"/>
    <cellStyle name="差_理想城市成本数据0707（财务部） 2 2 7" xfId="3407"/>
    <cellStyle name="差_理想城市成本数据0707（财务部） 2 3" xfId="3408"/>
    <cellStyle name="差_理想城市成本数据0707（财务部） 2 3 2" xfId="3409"/>
    <cellStyle name="差_理想城市成本数据0707（财务部） 2 4" xfId="3410"/>
    <cellStyle name="差_理想城市成本数据0707（财务部） 2 4 2" xfId="3411"/>
    <cellStyle name="差_理想城市成本数据0707（财务部） 2 5" xfId="3412"/>
    <cellStyle name="差_理想城市成本数据0707（财务部） 2 5 2" xfId="3413"/>
    <cellStyle name="差_理想城市成本数据0707（财务部） 2 6" xfId="3414"/>
    <cellStyle name="差_理想城市成本数据0707（财务部） 2 6 2" xfId="3415"/>
    <cellStyle name="差_理想城市成本数据0707（财务部） 2 7" xfId="3416"/>
    <cellStyle name="差_理想城市成本数据0707（财务部） 2 7 2" xfId="3417"/>
    <cellStyle name="差_理想城市成本数据0707（财务部） 2 8" xfId="3418"/>
    <cellStyle name="差_理想城市成本数据0707（财务部） 3" xfId="3419"/>
    <cellStyle name="差_理想城市成本数据0707（财务部） 3 2" xfId="3420"/>
    <cellStyle name="差_理想城市成本数据0707（财务部） 3 2 2" xfId="3421"/>
    <cellStyle name="差_理想城市成本数据0707（财务部） 3 3" xfId="3422"/>
    <cellStyle name="差_理想城市成本数据0707（财务部） 3 3 2" xfId="3423"/>
    <cellStyle name="差_理想城市成本数据0707（财务部） 3 4" xfId="3424"/>
    <cellStyle name="差_理想城市成本数据0707（财务部） 3 4 2" xfId="3425"/>
    <cellStyle name="差_理想城市成本数据0707（财务部） 3 5" xfId="3426"/>
    <cellStyle name="差_理想城市成本数据0707（财务部） 3 5 2" xfId="3427"/>
    <cellStyle name="差_理想城市成本数据0707（财务部） 3 6" xfId="3428"/>
    <cellStyle name="差_理想城市成本数据0707（财务部） 3 6 2" xfId="3429"/>
    <cellStyle name="差_理想城市成本数据0707（财务部） 3 7" xfId="3430"/>
    <cellStyle name="差_理想城市成本数据0707（财务部） 4" xfId="3431"/>
    <cellStyle name="差_理想城市成本数据0707（财务部） 4 2" xfId="3432"/>
    <cellStyle name="差_理想城市成本数据0707（财务部） 5" xfId="3433"/>
    <cellStyle name="差_理想城市成本数据0707（财务部） 5 2" xfId="3434"/>
    <cellStyle name="差_理想城市成本数据0707（财务部） 6" xfId="3435"/>
    <cellStyle name="差_理想城市成本数据0707（财务部） 6 2" xfId="3436"/>
    <cellStyle name="差_理想城市成本数据0707（财务部） 7" xfId="3437"/>
    <cellStyle name="差_理想城市成本数据0707（财务部） 7 2" xfId="3438"/>
    <cellStyle name="差_理想城市成本数据0707（财务部） 8" xfId="3439"/>
    <cellStyle name="差_理想城市成本数据0707（财务部） 8 2" xfId="3440"/>
    <cellStyle name="差_理想城市成本数据0707（财务部） 9" xfId="3441"/>
    <cellStyle name="差_理想城市项目B2地块第五期G3,G4#楼" xfId="3442"/>
    <cellStyle name="差_理想城市项目B2地块第五期G3,G4#楼 2" xfId="3443"/>
    <cellStyle name="差_理想城市项目B2地块第五期G3,G4#楼 2 2" xfId="3444"/>
    <cellStyle name="差_理想城市项目B2地块第五期G3,G4#楼 2 2 2" xfId="3445"/>
    <cellStyle name="差_理想城市项目B2地块第五期G3,G4#楼 2 2 2 2" xfId="3446"/>
    <cellStyle name="差_理想城市项目B2地块第五期G3,G4#楼 2 2 3" xfId="3447"/>
    <cellStyle name="差_理想城市项目B2地块第五期G3,G4#楼 2 2 3 2" xfId="3448"/>
    <cellStyle name="差_理想城市项目B2地块第五期G3,G4#楼 2 2 4" xfId="3449"/>
    <cellStyle name="差_理想城市项目B2地块第五期G3,G4#楼 2 2 4 2" xfId="3450"/>
    <cellStyle name="差_理想城市项目B2地块第五期G3,G4#楼 2 2 5" xfId="3451"/>
    <cellStyle name="差_理想城市项目B2地块第五期G3,G4#楼 2 2 5 2" xfId="3452"/>
    <cellStyle name="差_理想城市项目B2地块第五期G3,G4#楼 2 2 6" xfId="3453"/>
    <cellStyle name="差_理想城市项目B2地块第五期G3,G4#楼 2 2 6 2" xfId="3454"/>
    <cellStyle name="差_理想城市项目B2地块第五期G3,G4#楼 2 2 7" xfId="3455"/>
    <cellStyle name="差_理想城市项目B2地块第五期G3,G4#楼 2 3" xfId="3456"/>
    <cellStyle name="差_理想城市项目B2地块第五期G3,G4#楼 2 3 2" xfId="3457"/>
    <cellStyle name="差_理想城市项目B2地块第五期G3,G4#楼 2 4" xfId="3458"/>
    <cellStyle name="差_理想城市项目B2地块第五期G3,G4#楼 2 4 2" xfId="3459"/>
    <cellStyle name="差_理想城市项目B2地块第五期G3,G4#楼 2 5" xfId="3460"/>
    <cellStyle name="差_理想城市项目B2地块第五期G3,G4#楼 2 5 2" xfId="3461"/>
    <cellStyle name="差_理想城市项目B2地块第五期G3,G4#楼 2 6" xfId="3462"/>
    <cellStyle name="差_理想城市项目B2地块第五期G3,G4#楼 2 6 2" xfId="3463"/>
    <cellStyle name="差_理想城市项目B2地块第五期G3,G4#楼 2 7" xfId="3464"/>
    <cellStyle name="差_理想城市项目B2地块第五期G3,G4#楼 2 7 2" xfId="3465"/>
    <cellStyle name="差_理想城市项目B2地块第五期G3,G4#楼 2 8" xfId="3466"/>
    <cellStyle name="差_理想城市项目B2地块第五期G3,G4#楼 3" xfId="3467"/>
    <cellStyle name="差_理想城市项目B2地块第五期G3,G4#楼 3 2" xfId="3468"/>
    <cellStyle name="差_理想城市项目B2地块第五期G3,G4#楼 3 2 2" xfId="3469"/>
    <cellStyle name="差_理想城市项目B2地块第五期G3,G4#楼 3 3" xfId="3470"/>
    <cellStyle name="差_理想城市项目B2地块第五期G3,G4#楼 3 3 2" xfId="3471"/>
    <cellStyle name="差_理想城市项目B2地块第五期G3,G4#楼 3 4" xfId="3472"/>
    <cellStyle name="差_理想城市项目B2地块第五期G3,G4#楼 3 4 2" xfId="3473"/>
    <cellStyle name="差_理想城市项目B2地块第五期G3,G4#楼 3 5" xfId="3474"/>
    <cellStyle name="差_理想城市项目B2地块第五期G3,G4#楼 3 5 2" xfId="3475"/>
    <cellStyle name="差_理想城市项目B2地块第五期G3,G4#楼 3 6" xfId="3476"/>
    <cellStyle name="差_理想城市项目B2地块第五期G3,G4#楼 3 6 2" xfId="3477"/>
    <cellStyle name="差_理想城市项目B2地块第五期G3,G4#楼 3 7" xfId="3478"/>
    <cellStyle name="差_理想城市项目B2地块第五期G3,G4#楼 4" xfId="3479"/>
    <cellStyle name="差_理想城市项目B2地块第五期G3,G4#楼 4 2" xfId="3480"/>
    <cellStyle name="差_理想城市项目B2地块第五期G3,G4#楼 5" xfId="3481"/>
    <cellStyle name="差_理想城市项目B2地块第五期G3,G4#楼 5 2" xfId="3482"/>
    <cellStyle name="差_理想城市项目B2地块第五期G3,G4#楼 6" xfId="3483"/>
    <cellStyle name="差_理想城市项目B2地块第五期G3,G4#楼 6 2" xfId="3484"/>
    <cellStyle name="差_理想城市项目B2地块第五期G3,G4#楼 7" xfId="3485"/>
    <cellStyle name="差_理想城市项目B2地块第五期G3,G4#楼 7 2" xfId="3486"/>
    <cellStyle name="差_理想城市项目B2地块第五期G3,G4#楼 8" xfId="3487"/>
    <cellStyle name="差_理想城市项目B2地块第五期G3,G4#楼 8 2" xfId="3488"/>
    <cellStyle name="差_理想城市项目B2地块第五期G3,G4#楼 9" xfId="3489"/>
    <cellStyle name="差_理想城市项目B2地块第五期G5#楼" xfId="3490"/>
    <cellStyle name="差_理想城市项目B2地块第五期G5#楼 2" xfId="3491"/>
    <cellStyle name="差_理想城市项目B2地块第五期G5#楼 2 2" xfId="3492"/>
    <cellStyle name="差_理想城市项目B2地块第五期G5#楼 2 2 2" xfId="3493"/>
    <cellStyle name="差_理想城市项目B2地块第五期G5#楼 2 2 2 2" xfId="3494"/>
    <cellStyle name="差_理想城市项目B2地块第五期G5#楼 2 2 3" xfId="3495"/>
    <cellStyle name="差_理想城市项目B2地块第五期G5#楼 2 2 3 2" xfId="3496"/>
    <cellStyle name="差_理想城市项目B2地块第五期G5#楼 2 2 4" xfId="3497"/>
    <cellStyle name="差_理想城市项目B2地块第五期G5#楼 2 2 4 2" xfId="3498"/>
    <cellStyle name="差_理想城市项目B2地块第五期G5#楼 2 2 5" xfId="3499"/>
    <cellStyle name="差_理想城市项目B2地块第五期G5#楼 2 2 5 2" xfId="3500"/>
    <cellStyle name="差_理想城市项目B2地块第五期G5#楼 2 2 6" xfId="3501"/>
    <cellStyle name="差_理想城市项目B2地块第五期G5#楼 2 2 6 2" xfId="3502"/>
    <cellStyle name="差_理想城市项目B2地块第五期G5#楼 2 2 7" xfId="3503"/>
    <cellStyle name="差_理想城市项目B2地块第五期G5#楼 2 3" xfId="3504"/>
    <cellStyle name="差_理想城市项目B2地块第五期G5#楼 2 3 2" xfId="3505"/>
    <cellStyle name="差_理想城市项目B2地块第五期G5#楼 2 4" xfId="3506"/>
    <cellStyle name="差_理想城市项目B2地块第五期G5#楼 2 4 2" xfId="3507"/>
    <cellStyle name="差_理想城市项目B2地块第五期G5#楼 2 5" xfId="3508"/>
    <cellStyle name="差_理想城市项目B2地块第五期G5#楼 2 5 2" xfId="3509"/>
    <cellStyle name="差_理想城市项目B2地块第五期G5#楼 2 6" xfId="3510"/>
    <cellStyle name="差_理想城市项目B2地块第五期G5#楼 2 6 2" xfId="3511"/>
    <cellStyle name="差_理想城市项目B2地块第五期G5#楼 2 7" xfId="3512"/>
    <cellStyle name="差_理想城市项目B2地块第五期G5#楼 2 7 2" xfId="3513"/>
    <cellStyle name="差_理想城市项目B2地块第五期G5#楼 2 8" xfId="3514"/>
    <cellStyle name="差_理想城市项目B2地块第五期G5#楼 3" xfId="3515"/>
    <cellStyle name="差_理想城市项目B2地块第五期G5#楼 3 2" xfId="3516"/>
    <cellStyle name="差_理想城市项目B2地块第五期G5#楼 3 2 2" xfId="3517"/>
    <cellStyle name="差_理想城市项目B2地块第五期G5#楼 3 3" xfId="3518"/>
    <cellStyle name="差_理想城市项目B2地块第五期G5#楼 3 3 2" xfId="3519"/>
    <cellStyle name="差_理想城市项目B2地块第五期G5#楼 3 4" xfId="3520"/>
    <cellStyle name="差_理想城市项目B2地块第五期G5#楼 3 4 2" xfId="3521"/>
    <cellStyle name="差_理想城市项目B2地块第五期G5#楼 3 5" xfId="3522"/>
    <cellStyle name="差_理想城市项目B2地块第五期G5#楼 3 5 2" xfId="3523"/>
    <cellStyle name="差_理想城市项目B2地块第五期G5#楼 3 6" xfId="3524"/>
    <cellStyle name="差_理想城市项目B2地块第五期G5#楼 3 6 2" xfId="3525"/>
    <cellStyle name="差_理想城市项目B2地块第五期G5#楼 3 7" xfId="3526"/>
    <cellStyle name="差_理想城市项目B2地块第五期G5#楼 4" xfId="3527"/>
    <cellStyle name="差_理想城市项目B2地块第五期G5#楼 4 2" xfId="3528"/>
    <cellStyle name="差_理想城市项目B2地块第五期G5#楼 5" xfId="3529"/>
    <cellStyle name="差_理想城市项目B2地块第五期G5#楼 5 2" xfId="3530"/>
    <cellStyle name="差_理想城市项目B2地块第五期G5#楼 6" xfId="3531"/>
    <cellStyle name="差_理想城市项目B2地块第五期G5#楼 6 2" xfId="3532"/>
    <cellStyle name="差_理想城市项目B2地块第五期G5#楼 7" xfId="3533"/>
    <cellStyle name="差_理想城市项目B2地块第五期G5#楼 7 2" xfId="3534"/>
    <cellStyle name="差_理想城市项目B2地块第五期G5#楼 8" xfId="3535"/>
    <cellStyle name="差_理想城市项目B2地块第五期G5#楼 8 2" xfId="3536"/>
    <cellStyle name="差_理想城市项目B2地块第五期G5#楼 9" xfId="3537"/>
    <cellStyle name="差_利息资本化" xfId="3538"/>
    <cellStyle name="差_浦江商业1号地块目标成本20110227(02月动态）" xfId="3539"/>
    <cellStyle name="差_旗忠指标-2012.03.30" xfId="3540"/>
    <cellStyle name="差_前期费用汇总" xfId="3541"/>
    <cellStyle name="差_人防地下车库" xfId="3542"/>
    <cellStyle name="差_上海黄浦湾经营计划20121029" xfId="3543"/>
    <cellStyle name="差_上海黄浦湾经营计划20121029 2" xfId="3544"/>
    <cellStyle name="差_上海唐镇-第一稿" xfId="3545"/>
    <cellStyle name="差_苏州桃花源-0116经营计划" xfId="3546"/>
    <cellStyle name="差_新桥地块规划指标销售计划" xfId="3547"/>
    <cellStyle name="差_新桥地块规划指标——销售计划" xfId="3548"/>
    <cellStyle name="差_徐虹北路地块规划指标" xfId="3549"/>
    <cellStyle name="差_徐虹北路地块规划指标0521" xfId="3550"/>
    <cellStyle name="差_样本-每月费用" xfId="3551"/>
    <cellStyle name="差_样本-每月费用 2" xfId="3552"/>
    <cellStyle name="差_样本-每月费用 3" xfId="3553"/>
    <cellStyle name="差_样本-每月费用 4" xfId="3554"/>
    <cellStyle name="差_一线公司运营计划分析表-模板-修正(北区)" xfId="3555"/>
    <cellStyle name="差_重固测算表11年3月15日（东块）终稿成本" xfId="3556"/>
    <cellStyle name="差_资本承担（新）" xfId="3557"/>
    <cellStyle name="常规" xfId="0" builtinId="0"/>
    <cellStyle name="常规 10" xfId="13"/>
    <cellStyle name="常规 10 10" xfId="3558"/>
    <cellStyle name="常规 10 10 2" xfId="3559"/>
    <cellStyle name="常规 10 2" xfId="3560"/>
    <cellStyle name="常规 10 2 2" xfId="3561"/>
    <cellStyle name="常规 10 2 3" xfId="3562"/>
    <cellStyle name="常规 10 3" xfId="3563"/>
    <cellStyle name="常规 10 3 2" xfId="3564"/>
    <cellStyle name="常规 10 3 3" xfId="3565"/>
    <cellStyle name="常规 10 4" xfId="3566"/>
    <cellStyle name="常规 10 4 2" xfId="3567"/>
    <cellStyle name="常规 10 4 3" xfId="3568"/>
    <cellStyle name="常规 10 5" xfId="3569"/>
    <cellStyle name="常规 10 5 2" xfId="3570"/>
    <cellStyle name="常规 10 5 3" xfId="3571"/>
    <cellStyle name="常规 10 5 4" xfId="3572"/>
    <cellStyle name="常规 10 6" xfId="3573"/>
    <cellStyle name="常规 10 6 2" xfId="3574"/>
    <cellStyle name="常规 10 6 3" xfId="3575"/>
    <cellStyle name="常规 10 7" xfId="3576"/>
    <cellStyle name="常规 10 7 2" xfId="3577"/>
    <cellStyle name="常规 10 8" xfId="3578"/>
    <cellStyle name="常规 11" xfId="3579"/>
    <cellStyle name="常规 11 10" xfId="3580"/>
    <cellStyle name="常规 11 11" xfId="3581"/>
    <cellStyle name="常规 11 12" xfId="3582"/>
    <cellStyle name="常规 11 2" xfId="3583"/>
    <cellStyle name="常规 11 2 2" xfId="3584"/>
    <cellStyle name="常规 11 2 2 2" xfId="3585"/>
    <cellStyle name="常规 11 2 3" xfId="3586"/>
    <cellStyle name="常规 11 3" xfId="3587"/>
    <cellStyle name="常规 11 3 2" xfId="3588"/>
    <cellStyle name="常规 11 3 3" xfId="3589"/>
    <cellStyle name="常规 11 4" xfId="3590"/>
    <cellStyle name="常规 11 4 2" xfId="3591"/>
    <cellStyle name="常规 11 4 3" xfId="3592"/>
    <cellStyle name="常规 11 5" xfId="3593"/>
    <cellStyle name="常规 11 5 2" xfId="3594"/>
    <cellStyle name="常规 11 5 2 2" xfId="3595"/>
    <cellStyle name="常规 11 5 3" xfId="3596"/>
    <cellStyle name="常规 11 6" xfId="3597"/>
    <cellStyle name="常规 11 6 2" xfId="3598"/>
    <cellStyle name="常规 11 6 3" xfId="3599"/>
    <cellStyle name="常规 11 7" xfId="3600"/>
    <cellStyle name="常规 11 7 2" xfId="3601"/>
    <cellStyle name="常规 11 7 3" xfId="3602"/>
    <cellStyle name="常规 11 8" xfId="3603"/>
    <cellStyle name="常规 11 8 2" xfId="3604"/>
    <cellStyle name="常规 11 8 3" xfId="3605"/>
    <cellStyle name="常规 11 9" xfId="3606"/>
    <cellStyle name="常规 11_QQ" xfId="3607"/>
    <cellStyle name="常规 12" xfId="3608"/>
    <cellStyle name="常规 12 10" xfId="3609"/>
    <cellStyle name="常规 12 11" xfId="3610"/>
    <cellStyle name="常规 12 12" xfId="3611"/>
    <cellStyle name="常规 12 2" xfId="3612"/>
    <cellStyle name="常规 12 2 2" xfId="3613"/>
    <cellStyle name="常规 12 3" xfId="3614"/>
    <cellStyle name="常规 12 3 2" xfId="3615"/>
    <cellStyle name="常规 12 3 3" xfId="3616"/>
    <cellStyle name="常规 12 4" xfId="3617"/>
    <cellStyle name="常规 12 4 2" xfId="3618"/>
    <cellStyle name="常规 12 4 3" xfId="3619"/>
    <cellStyle name="常规 12 5" xfId="3620"/>
    <cellStyle name="常规 12 5 2" xfId="3621"/>
    <cellStyle name="常规 12 5 3" xfId="3622"/>
    <cellStyle name="常规 12 6" xfId="3623"/>
    <cellStyle name="常规 12 6 2" xfId="3624"/>
    <cellStyle name="常规 12 6 3" xfId="3625"/>
    <cellStyle name="常规 12 7" xfId="3626"/>
    <cellStyle name="常规 12 7 2" xfId="3627"/>
    <cellStyle name="常规 12 7 3" xfId="3628"/>
    <cellStyle name="常规 12 8" xfId="3629"/>
    <cellStyle name="常规 12 8 2" xfId="3630"/>
    <cellStyle name="常规 12 8 3" xfId="3631"/>
    <cellStyle name="常规 12 9" xfId="3632"/>
    <cellStyle name="常规 13" xfId="3633"/>
    <cellStyle name="常规 13 2" xfId="3634"/>
    <cellStyle name="常规 13 2 2" xfId="3635"/>
    <cellStyle name="常规 13 3" xfId="3636"/>
    <cellStyle name="常规 13 3 2" xfId="3637"/>
    <cellStyle name="常规 13 3 2 2" xfId="3638"/>
    <cellStyle name="常规 13 3 3" xfId="3639"/>
    <cellStyle name="常规 13 4" xfId="3640"/>
    <cellStyle name="常规 13 4 2" xfId="3641"/>
    <cellStyle name="常规 13 5" xfId="3642"/>
    <cellStyle name="常规 13 5 2" xfId="3643"/>
    <cellStyle name="常规 13 6" xfId="3644"/>
    <cellStyle name="常规 13 6 2" xfId="3645"/>
    <cellStyle name="常规 13 7" xfId="3646"/>
    <cellStyle name="常规 14" xfId="3647"/>
    <cellStyle name="常规 14 2" xfId="3648"/>
    <cellStyle name="常规 14 2 2" xfId="3649"/>
    <cellStyle name="常规 14 3" xfId="3650"/>
    <cellStyle name="常规 14 3 2" xfId="3651"/>
    <cellStyle name="常规 14 4" xfId="3652"/>
    <cellStyle name="常规 14 4 2" xfId="3653"/>
    <cellStyle name="常规 14 5" xfId="3654"/>
    <cellStyle name="常规 14 5 2" xfId="3655"/>
    <cellStyle name="常规 14 5 3" xfId="3656"/>
    <cellStyle name="常规 15" xfId="3657"/>
    <cellStyle name="常规 15 2" xfId="3658"/>
    <cellStyle name="常规 15 2 2" xfId="3659"/>
    <cellStyle name="常规 15 2 3" xfId="3660"/>
    <cellStyle name="常规 15 2 4" xfId="3661"/>
    <cellStyle name="常规 15 3" xfId="3662"/>
    <cellStyle name="常规 15 4" xfId="3663"/>
    <cellStyle name="常规 15 5" xfId="3664"/>
    <cellStyle name="常规 15 6" xfId="3665"/>
    <cellStyle name="常规 16" xfId="10"/>
    <cellStyle name="常规 16 2" xfId="3666"/>
    <cellStyle name="常规 16 2 2" xfId="3667"/>
    <cellStyle name="常规 16 2 3" xfId="3668"/>
    <cellStyle name="常规 16 2 4" xfId="3669"/>
    <cellStyle name="常规 16 3" xfId="3670"/>
    <cellStyle name="常规 16 3 2" xfId="3671"/>
    <cellStyle name="常规 16 4" xfId="3672"/>
    <cellStyle name="常规 16 4 2" xfId="3673"/>
    <cellStyle name="常规 16 5" xfId="3674"/>
    <cellStyle name="常规 16 5 2" xfId="3675"/>
    <cellStyle name="常规 16 6" xfId="3676"/>
    <cellStyle name="常规 17" xfId="3677"/>
    <cellStyle name="常规 17 2" xfId="3678"/>
    <cellStyle name="常规 17 2 2" xfId="3679"/>
    <cellStyle name="常规 17 2 3" xfId="3680"/>
    <cellStyle name="常规 17 2 4" xfId="3681"/>
    <cellStyle name="常规 17 3" xfId="3682"/>
    <cellStyle name="常规 17 3 2" xfId="3683"/>
    <cellStyle name="常规 17 3 3" xfId="3684"/>
    <cellStyle name="常规 17 4" xfId="3685"/>
    <cellStyle name="常规 17 4 2" xfId="3686"/>
    <cellStyle name="常规 17 5" xfId="3687"/>
    <cellStyle name="常规 17 5 2" xfId="3688"/>
    <cellStyle name="常规 17 6" xfId="3689"/>
    <cellStyle name="常规 17 6 2" xfId="3690"/>
    <cellStyle name="常规 17 7" xfId="3691"/>
    <cellStyle name="常规 17 8" xfId="3692"/>
    <cellStyle name="常规 18" xfId="3693"/>
    <cellStyle name="常规 18 2" xfId="3694"/>
    <cellStyle name="常规 18 2 2" xfId="3695"/>
    <cellStyle name="常规 18 2 3" xfId="3696"/>
    <cellStyle name="常规 18 2 4" xfId="3697"/>
    <cellStyle name="常规 18 3" xfId="3698"/>
    <cellStyle name="常规 18 3 2" xfId="3699"/>
    <cellStyle name="常规 18 4" xfId="3700"/>
    <cellStyle name="常规 18 4 2" xfId="3701"/>
    <cellStyle name="常规 18 5" xfId="3702"/>
    <cellStyle name="常规 18 5 2" xfId="3703"/>
    <cellStyle name="常规 18 6" xfId="3704"/>
    <cellStyle name="常规 19" xfId="3705"/>
    <cellStyle name="常规 19 2" xfId="3706"/>
    <cellStyle name="常规 19 2 2" xfId="3707"/>
    <cellStyle name="常规 19 2 3" xfId="3708"/>
    <cellStyle name="常规 19 2 4" xfId="3709"/>
    <cellStyle name="常规 19 3" xfId="3710"/>
    <cellStyle name="常规 19 4" xfId="3711"/>
    <cellStyle name="常规 19 5" xfId="3712"/>
    <cellStyle name="常规 19 6" xfId="3713"/>
    <cellStyle name="常规 2" xfId="1"/>
    <cellStyle name="常规 2 10" xfId="3714"/>
    <cellStyle name="常规 2 10 2" xfId="3715"/>
    <cellStyle name="常规 2 10 3" xfId="3716"/>
    <cellStyle name="常规 2 11" xfId="3717"/>
    <cellStyle name="常规 2 11 2" xfId="3718"/>
    <cellStyle name="常规 2 12" xfId="3719"/>
    <cellStyle name="常规 2 12 2" xfId="3720"/>
    <cellStyle name="常规 2 13" xfId="3721"/>
    <cellStyle name="常规 2 13 10" xfId="3722"/>
    <cellStyle name="常规 2 13 2" xfId="3723"/>
    <cellStyle name="常规 2 14" xfId="3724"/>
    <cellStyle name="常规 2 14 2" xfId="3725"/>
    <cellStyle name="常规 2 15" xfId="3726"/>
    <cellStyle name="常规 2 15 2" xfId="3727"/>
    <cellStyle name="常规 2 16" xfId="3728"/>
    <cellStyle name="常规 2 16 2" xfId="3729"/>
    <cellStyle name="常规 2 16 2 2" xfId="3730"/>
    <cellStyle name="常规 2 16 3" xfId="3731"/>
    <cellStyle name="常规 2 16 4" xfId="3732"/>
    <cellStyle name="常规 2 16 5" xfId="3733"/>
    <cellStyle name="常规 2 17" xfId="3734"/>
    <cellStyle name="常规 2 17 2" xfId="3735"/>
    <cellStyle name="常规 2 18" xfId="3736"/>
    <cellStyle name="常规 2 18 2" xfId="3737"/>
    <cellStyle name="常规 2 19" xfId="3738"/>
    <cellStyle name="常规 2 19 2" xfId="3739"/>
    <cellStyle name="常规 2 2" xfId="8"/>
    <cellStyle name="常规 2 2 10" xfId="3740"/>
    <cellStyle name="常规 2 2 11" xfId="3741"/>
    <cellStyle name="常规 2 2 12" xfId="3742"/>
    <cellStyle name="常规 2 2 2" xfId="3743"/>
    <cellStyle name="常规 2 2 2 2" xfId="3744"/>
    <cellStyle name="常规 2 2 2 2 2" xfId="3745"/>
    <cellStyle name="常规 2 2 2 2 2 2" xfId="3746"/>
    <cellStyle name="常规 2 2 2 2 3" xfId="3747"/>
    <cellStyle name="常规 2 2 2 2 3 2" xfId="3748"/>
    <cellStyle name="常规 2 2 2 2 4" xfId="3749"/>
    <cellStyle name="常规 2 2 2 2 4 2" xfId="3750"/>
    <cellStyle name="常规 2 2 2 2 5" xfId="3751"/>
    <cellStyle name="常规 2 2 2 2 5 2" xfId="3752"/>
    <cellStyle name="常规 2 2 2 2 6" xfId="3753"/>
    <cellStyle name="常规 2 2 2 2 6 2" xfId="3754"/>
    <cellStyle name="常规 2 2 2 2 7" xfId="3755"/>
    <cellStyle name="常规 2 2 2 3" xfId="3756"/>
    <cellStyle name="常规 2 2 2 3 2" xfId="3757"/>
    <cellStyle name="常规 2 2 2 4" xfId="3758"/>
    <cellStyle name="常规 2 2 2 4 2" xfId="3759"/>
    <cellStyle name="常规 2 2 2 5" xfId="3760"/>
    <cellStyle name="常规 2 2 2 5 2" xfId="3761"/>
    <cellStyle name="常规 2 2 2 6" xfId="3762"/>
    <cellStyle name="常规 2 2 2 6 2" xfId="3763"/>
    <cellStyle name="常规 2 2 2 7" xfId="3764"/>
    <cellStyle name="常规 2 2 2 7 2" xfId="3765"/>
    <cellStyle name="常规 2 2 2 8" xfId="3766"/>
    <cellStyle name="常规 2 2 2 9" xfId="3767"/>
    <cellStyle name="常规 2 2 2_样本-每月费用" xfId="3768"/>
    <cellStyle name="常规 2 2 3" xfId="3769"/>
    <cellStyle name="常规 2 2 3 2" xfId="3770"/>
    <cellStyle name="常规 2 2 3 2 2" xfId="3771"/>
    <cellStyle name="常规 2 2 3 2 3" xfId="3772"/>
    <cellStyle name="常规 2 2 3 2 4" xfId="3773"/>
    <cellStyle name="常规 2 2 3 3" xfId="3774"/>
    <cellStyle name="常规 2 2 3 3 2" xfId="3775"/>
    <cellStyle name="常规 2 2 3 4" xfId="3776"/>
    <cellStyle name="常规 2 2 3 4 2" xfId="3777"/>
    <cellStyle name="常规 2 2 3 5" xfId="3778"/>
    <cellStyle name="常规 2 2 3 5 2" xfId="3779"/>
    <cellStyle name="常规 2 2 3 6" xfId="3780"/>
    <cellStyle name="常规 2 2 3 6 2" xfId="3781"/>
    <cellStyle name="常规 2 2 3 7" xfId="3782"/>
    <cellStyle name="常规 2 2 3 8" xfId="3783"/>
    <cellStyle name="常规 2 2 3_样本-每月费用" xfId="3784"/>
    <cellStyle name="常规 2 2 4" xfId="3785"/>
    <cellStyle name="常规 2 2 4 2" xfId="3786"/>
    <cellStyle name="常规 2 2 4 2 2" xfId="3787"/>
    <cellStyle name="常规 2 2 4 3" xfId="3788"/>
    <cellStyle name="常规 2 2 4 3 2" xfId="3789"/>
    <cellStyle name="常规 2 2 4 4" xfId="3790"/>
    <cellStyle name="常规 2 2 4 4 2" xfId="3791"/>
    <cellStyle name="常规 2 2 4 5" xfId="3792"/>
    <cellStyle name="常规 2 2 4 5 2" xfId="3793"/>
    <cellStyle name="常规 2 2 4 6" xfId="3794"/>
    <cellStyle name="常规 2 2 4 6 2" xfId="3795"/>
    <cellStyle name="常规 2 2 4 7" xfId="3796"/>
    <cellStyle name="常规 2 2 4 8" xfId="3797"/>
    <cellStyle name="常规 2 2 5" xfId="3798"/>
    <cellStyle name="常规 2 2 5 2" xfId="3799"/>
    <cellStyle name="常规 2 2 5 2 2" xfId="3800"/>
    <cellStyle name="常规 2 2 5 2 3" xfId="3801"/>
    <cellStyle name="常规 2 2 5 2 4" xfId="3802"/>
    <cellStyle name="常规 2 2 5 3" xfId="3803"/>
    <cellStyle name="常规 2 2 5 4" xfId="3804"/>
    <cellStyle name="常规 2 2 5 5" xfId="3805"/>
    <cellStyle name="常规 2 2 5_样本-每月费用" xfId="3806"/>
    <cellStyle name="常规 2 2 6" xfId="3807"/>
    <cellStyle name="常规 2 2 6 2" xfId="3808"/>
    <cellStyle name="常规 2 2 6 3" xfId="3809"/>
    <cellStyle name="常规 2 2 6 4" xfId="3810"/>
    <cellStyle name="常规 2 2 7" xfId="3811"/>
    <cellStyle name="常规 2 2 7 2" xfId="3812"/>
    <cellStyle name="常规 2 2 8" xfId="3813"/>
    <cellStyle name="常规 2 2 8 2" xfId="3814"/>
    <cellStyle name="常规 2 2 9" xfId="3815"/>
    <cellStyle name="常规 2 2 9 2" xfId="3816"/>
    <cellStyle name="常规 2 2 9 3" xfId="3817"/>
    <cellStyle name="常规 2 2 9 4" xfId="3818"/>
    <cellStyle name="常规 2 2 9 5" xfId="3819"/>
    <cellStyle name="常规 2 2_苏州桃花源-0116经营计划" xfId="3820"/>
    <cellStyle name="常规 2 20" xfId="3821"/>
    <cellStyle name="常规 2 20 2" xfId="3822"/>
    <cellStyle name="常规 2 21" xfId="3823"/>
    <cellStyle name="常规 2 21 2" xfId="3824"/>
    <cellStyle name="常规 2 22" xfId="3825"/>
    <cellStyle name="常规 2 22 2" xfId="3826"/>
    <cellStyle name="常规 2 23" xfId="3827"/>
    <cellStyle name="常规 2 23 2" xfId="3828"/>
    <cellStyle name="常规 2 24" xfId="3829"/>
    <cellStyle name="常规 2 24 2" xfId="3830"/>
    <cellStyle name="常规 2 25" xfId="3831"/>
    <cellStyle name="常规 2 25 2" xfId="3832"/>
    <cellStyle name="常规 2 26" xfId="3833"/>
    <cellStyle name="常规 2 26 2" xfId="3834"/>
    <cellStyle name="常规 2 27" xfId="3835"/>
    <cellStyle name="常规 2 27 2" xfId="3836"/>
    <cellStyle name="常规 2 28" xfId="3837"/>
    <cellStyle name="常规 2 28 2" xfId="3838"/>
    <cellStyle name="常规 2 29" xfId="3839"/>
    <cellStyle name="常规 2 29 2" xfId="3840"/>
    <cellStyle name="常规 2 3" xfId="15"/>
    <cellStyle name="常规 2 3 10" xfId="3841"/>
    <cellStyle name="常规 2 3 2" xfId="3842"/>
    <cellStyle name="常规 2 3 2 2" xfId="3843"/>
    <cellStyle name="常规 2 3 2 2 2" xfId="3844"/>
    <cellStyle name="常规 2 3 2 2 3" xfId="3845"/>
    <cellStyle name="常规 2 3 2 2 4" xfId="3846"/>
    <cellStyle name="常规 2 3 2 3" xfId="3847"/>
    <cellStyle name="常规 2 3 2 3 2" xfId="3848"/>
    <cellStyle name="常规 2 3 2 4" xfId="3849"/>
    <cellStyle name="常规 2 3 2 4 2" xfId="3850"/>
    <cellStyle name="常规 2 3 2 5" xfId="3851"/>
    <cellStyle name="常规 2 3 2 5 2" xfId="3852"/>
    <cellStyle name="常规 2 3 2 6" xfId="3853"/>
    <cellStyle name="常规 2 3 2 6 2" xfId="3854"/>
    <cellStyle name="常规 2 3 2 7" xfId="3855"/>
    <cellStyle name="常规 2 3 2 8" xfId="3856"/>
    <cellStyle name="常规 2 3 2_样本-每月费用" xfId="3857"/>
    <cellStyle name="常规 2 3 3" xfId="3858"/>
    <cellStyle name="常规 2 3 3 2" xfId="3859"/>
    <cellStyle name="常规 2 3 3 2 2" xfId="3860"/>
    <cellStyle name="常规 2 3 3 2 3" xfId="3861"/>
    <cellStyle name="常规 2 3 3 2 4" xfId="3862"/>
    <cellStyle name="常规 2 3 3 3" xfId="3863"/>
    <cellStyle name="常规 2 3 3 3 2" xfId="3864"/>
    <cellStyle name="常规 2 3 3 4" xfId="3865"/>
    <cellStyle name="常规 2 3 3 4 2" xfId="3866"/>
    <cellStyle name="常规 2 3 3 5" xfId="3867"/>
    <cellStyle name="常规 2 3 3 5 2" xfId="3868"/>
    <cellStyle name="常规 2 3 3 6" xfId="3869"/>
    <cellStyle name="常规 2 3 3 6 2" xfId="3870"/>
    <cellStyle name="常规 2 3 3 7" xfId="3871"/>
    <cellStyle name="常规 2 3 3 8" xfId="3872"/>
    <cellStyle name="常规 2 3 3_样本-每月费用" xfId="3873"/>
    <cellStyle name="常规 2 3 4" xfId="3874"/>
    <cellStyle name="常规 2 3 4 2" xfId="3875"/>
    <cellStyle name="常规 2 3 4 3" xfId="3876"/>
    <cellStyle name="常规 2 3 4 4" xfId="3877"/>
    <cellStyle name="常规 2 3 5" xfId="3878"/>
    <cellStyle name="常规 2 3 5 2" xfId="3879"/>
    <cellStyle name="常规 2 3 6" xfId="3880"/>
    <cellStyle name="常规 2 3 6 2" xfId="3881"/>
    <cellStyle name="常规 2 3 7" xfId="3882"/>
    <cellStyle name="常规 2 3 7 2" xfId="3883"/>
    <cellStyle name="常规 2 3 8" xfId="3884"/>
    <cellStyle name="常规 2 3 8 2" xfId="3885"/>
    <cellStyle name="常规 2 3 9" xfId="3886"/>
    <cellStyle name="常规 2 3_样本-每月费用" xfId="3887"/>
    <cellStyle name="常规 2 30" xfId="3888"/>
    <cellStyle name="常规 2 31" xfId="3889"/>
    <cellStyle name="常规 2 32" xfId="3890"/>
    <cellStyle name="常规 2 33" xfId="3891"/>
    <cellStyle name="常规 2 34" xfId="3892"/>
    <cellStyle name="常规 2 37" xfId="3893"/>
    <cellStyle name="常规 2 37 2" xfId="3894"/>
    <cellStyle name="常规 2 4" xfId="3895"/>
    <cellStyle name="常规 2 4 2" xfId="3896"/>
    <cellStyle name="常规 2 4 2 2" xfId="3897"/>
    <cellStyle name="常规 2 4 2 3" xfId="3898"/>
    <cellStyle name="常规 2 4 3" xfId="3899"/>
    <cellStyle name="常规 2 4 3 2" xfId="3900"/>
    <cellStyle name="常规 2 4 3 3" xfId="3901"/>
    <cellStyle name="常规 2 4 4" xfId="3902"/>
    <cellStyle name="常规 2 4 4 2" xfId="3903"/>
    <cellStyle name="常规 2 4 5" xfId="3904"/>
    <cellStyle name="常规 2 4 5 2" xfId="3905"/>
    <cellStyle name="常规 2 4 6" xfId="3906"/>
    <cellStyle name="常规 2 4 6 2" xfId="3907"/>
    <cellStyle name="常规 2 4 7" xfId="3908"/>
    <cellStyle name="常规 2 4 8" xfId="3909"/>
    <cellStyle name="常规 2 5" xfId="3910"/>
    <cellStyle name="常规 2 5 10" xfId="3911"/>
    <cellStyle name="常规 2 5 11" xfId="3912"/>
    <cellStyle name="常规 2 5 2" xfId="3913"/>
    <cellStyle name="常规 2 5 2 2" xfId="3914"/>
    <cellStyle name="常规 2 5 2 2 2" xfId="3915"/>
    <cellStyle name="常规 2 5 2 2 3" xfId="3916"/>
    <cellStyle name="常规 2 5 2 2 4" xfId="3917"/>
    <cellStyle name="常规 2 5 2 2 5" xfId="3918"/>
    <cellStyle name="常规 2 5 2 3" xfId="3919"/>
    <cellStyle name="常规 2 5 2 4" xfId="3920"/>
    <cellStyle name="常规 2 5 2 5" xfId="3921"/>
    <cellStyle name="常规 2 5 2 6" xfId="3922"/>
    <cellStyle name="常规 2 5 3" xfId="3923"/>
    <cellStyle name="常规 2 5 3 2" xfId="3924"/>
    <cellStyle name="常规 2 5 3 3" xfId="3925"/>
    <cellStyle name="常规 2 5 4" xfId="3926"/>
    <cellStyle name="常规 2 5 4 2" xfId="3927"/>
    <cellStyle name="常规 2 5 5" xfId="3928"/>
    <cellStyle name="常规 2 5 5 2" xfId="3929"/>
    <cellStyle name="常规 2 5 6" xfId="3930"/>
    <cellStyle name="常规 2 5 6 2" xfId="3931"/>
    <cellStyle name="常规 2 5 7" xfId="3932"/>
    <cellStyle name="常规 2 5 8" xfId="3933"/>
    <cellStyle name="常规 2 5 8 2" xfId="3934"/>
    <cellStyle name="常规 2 5 8 3" xfId="3935"/>
    <cellStyle name="常规 2 5 8 4" xfId="3936"/>
    <cellStyle name="常规 2 5 8 5" xfId="3937"/>
    <cellStyle name="常规 2 5 9" xfId="3938"/>
    <cellStyle name="常规 2 6" xfId="3939"/>
    <cellStyle name="常规 2 6 2" xfId="3940"/>
    <cellStyle name="常规 2 6 2 2" xfId="3941"/>
    <cellStyle name="常规 2 6 2 3" xfId="3942"/>
    <cellStyle name="常规 2 6 3" xfId="3943"/>
    <cellStyle name="常规 2 6 3 2" xfId="3944"/>
    <cellStyle name="常规 2 6 4" xfId="3945"/>
    <cellStyle name="常规 2 6 4 2" xfId="3946"/>
    <cellStyle name="常规 2 6 5" xfId="3947"/>
    <cellStyle name="常规 2 6 5 2" xfId="3948"/>
    <cellStyle name="常规 2 6 6" xfId="3949"/>
    <cellStyle name="常规 2 6 6 2" xfId="3950"/>
    <cellStyle name="常规 2 6 7" xfId="3951"/>
    <cellStyle name="常规 2 6 8" xfId="3952"/>
    <cellStyle name="常规 2 7" xfId="3953"/>
    <cellStyle name="常规 2 7 2" xfId="3954"/>
    <cellStyle name="常规 2 7 2 2" xfId="3955"/>
    <cellStyle name="常规 2 7 2 3" xfId="3956"/>
    <cellStyle name="常规 2 7 3" xfId="3957"/>
    <cellStyle name="常规 2 7 3 2" xfId="3958"/>
    <cellStyle name="常规 2 7 4" xfId="3959"/>
    <cellStyle name="常规 2 7 4 2" xfId="3960"/>
    <cellStyle name="常规 2 7 5" xfId="3961"/>
    <cellStyle name="常规 2 7 5 2" xfId="3962"/>
    <cellStyle name="常规 2 7 6" xfId="3963"/>
    <cellStyle name="常规 2 7 6 2" xfId="3964"/>
    <cellStyle name="常规 2 7 7" xfId="3965"/>
    <cellStyle name="常规 2 7 8" xfId="3966"/>
    <cellStyle name="常规 2 8" xfId="3967"/>
    <cellStyle name="常规 2 8 2" xfId="3968"/>
    <cellStyle name="常规 2 8 2 2" xfId="3969"/>
    <cellStyle name="常规 2 8 3" xfId="3970"/>
    <cellStyle name="常规 2 8 3 2" xfId="3971"/>
    <cellStyle name="常规 2 8 4" xfId="3972"/>
    <cellStyle name="常规 2 8 4 2" xfId="3973"/>
    <cellStyle name="常规 2 8 5" xfId="3974"/>
    <cellStyle name="常规 2 8 5 2" xfId="3975"/>
    <cellStyle name="常规 2 8 6" xfId="3976"/>
    <cellStyle name="常规 2 8 6 2" xfId="3977"/>
    <cellStyle name="常规 2 8 7" xfId="3978"/>
    <cellStyle name="常规 2 9" xfId="3979"/>
    <cellStyle name="常规 2 9 2" xfId="3980"/>
    <cellStyle name="常规 2 9 3" xfId="3981"/>
    <cellStyle name="常规 2 9 4" xfId="3982"/>
    <cellStyle name="常规 2_苏州御园" xfId="3983"/>
    <cellStyle name="常规 20" xfId="3984"/>
    <cellStyle name="常规 20 2" xfId="3985"/>
    <cellStyle name="常规 20 2 2" xfId="3986"/>
    <cellStyle name="常规 20 2 3" xfId="3987"/>
    <cellStyle name="常规 20 3" xfId="3988"/>
    <cellStyle name="常规 20 4" xfId="3989"/>
    <cellStyle name="常规 20 5" xfId="3990"/>
    <cellStyle name="常规 207" xfId="3991"/>
    <cellStyle name="常规 21" xfId="3992"/>
    <cellStyle name="常规 21 2" xfId="3993"/>
    <cellStyle name="常规 21 3" xfId="3994"/>
    <cellStyle name="常规 21 4" xfId="3995"/>
    <cellStyle name="常规 21 5" xfId="3996"/>
    <cellStyle name="常规 22" xfId="3997"/>
    <cellStyle name="常规 22 2" xfId="3998"/>
    <cellStyle name="常规 23" xfId="3999"/>
    <cellStyle name="常规 23 2" xfId="4000"/>
    <cellStyle name="常规 24" xfId="4001"/>
    <cellStyle name="常规 24 2" xfId="4002"/>
    <cellStyle name="常规 25" xfId="4003"/>
    <cellStyle name="常规 25 2" xfId="4004"/>
    <cellStyle name="常规 25 3" xfId="4005"/>
    <cellStyle name="常规 25 4" xfId="4006"/>
    <cellStyle name="常规 26" xfId="4007"/>
    <cellStyle name="常规 26 2" xfId="4008"/>
    <cellStyle name="常规 26 3" xfId="4009"/>
    <cellStyle name="常规 26 4" xfId="4010"/>
    <cellStyle name="常规 27" xfId="4011"/>
    <cellStyle name="常规 27 2" xfId="4012"/>
    <cellStyle name="常规 27 3" xfId="4013"/>
    <cellStyle name="常规 27 4" xfId="4014"/>
    <cellStyle name="常规 28" xfId="4015"/>
    <cellStyle name="常规 28 2" xfId="4016"/>
    <cellStyle name="常规 28 3" xfId="4017"/>
    <cellStyle name="常规 28 4" xfId="4018"/>
    <cellStyle name="常规 28 5" xfId="4019"/>
    <cellStyle name="常规 29" xfId="4020"/>
    <cellStyle name="常规 29 2" xfId="4021"/>
    <cellStyle name="常规 29 2 2" xfId="4022"/>
    <cellStyle name="常规 29 2 2 2" xfId="4023"/>
    <cellStyle name="常规 29 2 2 2 2" xfId="4024"/>
    <cellStyle name="常规 29 2 2 3" xfId="4025"/>
    <cellStyle name="常规 29 2 2 3 2" xfId="4026"/>
    <cellStyle name="常规 29 2 2 4" xfId="4027"/>
    <cellStyle name="常规 29 2 2 4 2" xfId="4028"/>
    <cellStyle name="常规 29 2 2 5" xfId="4029"/>
    <cellStyle name="常规 29 2 2 5 2" xfId="4030"/>
    <cellStyle name="常规 29 2 2 6" xfId="4031"/>
    <cellStyle name="常规 29 2 2 6 2" xfId="4032"/>
    <cellStyle name="常规 29 2 2 7" xfId="4033"/>
    <cellStyle name="常规 29 2 3" xfId="4034"/>
    <cellStyle name="常规 29 2 3 2" xfId="4035"/>
    <cellStyle name="常规 29 2 4" xfId="4036"/>
    <cellStyle name="常规 29 2 4 2" xfId="4037"/>
    <cellStyle name="常规 29 2 5" xfId="4038"/>
    <cellStyle name="常规 29 2 5 2" xfId="4039"/>
    <cellStyle name="常规 29 2 6" xfId="4040"/>
    <cellStyle name="常规 29 2 6 2" xfId="4041"/>
    <cellStyle name="常规 29 2 7" xfId="4042"/>
    <cellStyle name="常规 29 2 7 2" xfId="4043"/>
    <cellStyle name="常规 29 2 8" xfId="4044"/>
    <cellStyle name="常规 29 3" xfId="4045"/>
    <cellStyle name="常规 29 3 2" xfId="4046"/>
    <cellStyle name="常规 29 3 2 2" xfId="4047"/>
    <cellStyle name="常规 29 3 3" xfId="4048"/>
    <cellStyle name="常规 29 3 3 2" xfId="4049"/>
    <cellStyle name="常规 29 3 4" xfId="4050"/>
    <cellStyle name="常规 29 3 4 2" xfId="4051"/>
    <cellStyle name="常规 29 3 5" xfId="4052"/>
    <cellStyle name="常规 29 3 5 2" xfId="4053"/>
    <cellStyle name="常规 29 3 6" xfId="4054"/>
    <cellStyle name="常规 29 3 6 2" xfId="4055"/>
    <cellStyle name="常规 29 3 7" xfId="4056"/>
    <cellStyle name="常规 29 4" xfId="4057"/>
    <cellStyle name="常规 29 4 2" xfId="4058"/>
    <cellStyle name="常规 29 5" xfId="4059"/>
    <cellStyle name="常规 29 5 2" xfId="4060"/>
    <cellStyle name="常规 29 6" xfId="4061"/>
    <cellStyle name="常规 29 6 2" xfId="4062"/>
    <cellStyle name="常规 29 7" xfId="4063"/>
    <cellStyle name="常规 29 7 2" xfId="4064"/>
    <cellStyle name="常规 29 8" xfId="4065"/>
    <cellStyle name="常规 29 8 2" xfId="4066"/>
    <cellStyle name="常规 29 9" xfId="4067"/>
    <cellStyle name="常规 3" xfId="2"/>
    <cellStyle name="常规 3 10" xfId="4068"/>
    <cellStyle name="常规 3 10 2" xfId="4069"/>
    <cellStyle name="常规 3 10 5" xfId="4070"/>
    <cellStyle name="常规 3 11" xfId="4071"/>
    <cellStyle name="常规 3 11 2" xfId="4072"/>
    <cellStyle name="常规 3 12" xfId="4073"/>
    <cellStyle name="常规 3 13" xfId="4074"/>
    <cellStyle name="常规 3 14" xfId="4075"/>
    <cellStyle name="常规 3 15" xfId="4076"/>
    <cellStyle name="常规 3 16" xfId="4077"/>
    <cellStyle name="常规 3 17" xfId="4078"/>
    <cellStyle name="常规 3 18" xfId="4079"/>
    <cellStyle name="常规 3 19" xfId="4080"/>
    <cellStyle name="常规 3 2" xfId="3"/>
    <cellStyle name="常规 3 2 10" xfId="4081"/>
    <cellStyle name="常规 3 2 11" xfId="4082"/>
    <cellStyle name="常规 3 2 2" xfId="4083"/>
    <cellStyle name="常规 3 2 2 2" xfId="4084"/>
    <cellStyle name="常规 3 2 2 2 2" xfId="4085"/>
    <cellStyle name="常规 3 2 2 2 3" xfId="4086"/>
    <cellStyle name="常规 3 2 2 2 4" xfId="4087"/>
    <cellStyle name="常规 3 2 2 2 5" xfId="4088"/>
    <cellStyle name="常规 3 2 2 3" xfId="4089"/>
    <cellStyle name="常规 3 2 2 3 2" xfId="4090"/>
    <cellStyle name="常规 3 2 2 4" xfId="4091"/>
    <cellStyle name="常规 3 2 2 4 2" xfId="4092"/>
    <cellStyle name="常规 3 2 2 5" xfId="4093"/>
    <cellStyle name="常规 3 2 2 5 2" xfId="4094"/>
    <cellStyle name="常规 3 2 2 6" xfId="4095"/>
    <cellStyle name="常规 3 2 2 6 2" xfId="4096"/>
    <cellStyle name="常规 3 2 2 7" xfId="4097"/>
    <cellStyle name="常规 3 2 3" xfId="4098"/>
    <cellStyle name="常规 3 2 3 2" xfId="4099"/>
    <cellStyle name="常规 3 2 4" xfId="4100"/>
    <cellStyle name="常规 3 2 4 2" xfId="4101"/>
    <cellStyle name="常规 3 2 5" xfId="4102"/>
    <cellStyle name="常规 3 2 5 2" xfId="4103"/>
    <cellStyle name="常规 3 2 6" xfId="4104"/>
    <cellStyle name="常规 3 2 6 2" xfId="4105"/>
    <cellStyle name="常规 3 2 7" xfId="4106"/>
    <cellStyle name="常规 3 2 7 2" xfId="4107"/>
    <cellStyle name="常规 3 2 8" xfId="4108"/>
    <cellStyle name="常规 3 2 8 2" xfId="4109"/>
    <cellStyle name="常规 3 2 8 3" xfId="4110"/>
    <cellStyle name="常规 3 2 8 4" xfId="4111"/>
    <cellStyle name="常规 3 2 8 5" xfId="4112"/>
    <cellStyle name="常规 3 2 9" xfId="4113"/>
    <cellStyle name="常规 3 20" xfId="4114"/>
    <cellStyle name="常规 3 21" xfId="4115"/>
    <cellStyle name="常规 3 22" xfId="4116"/>
    <cellStyle name="常规 3 23" xfId="4117"/>
    <cellStyle name="常规 3 24" xfId="4118"/>
    <cellStyle name="常规 3 25" xfId="4119"/>
    <cellStyle name="常规 3 26" xfId="4120"/>
    <cellStyle name="常规 3 27" xfId="4121"/>
    <cellStyle name="常规 3 28" xfId="4122"/>
    <cellStyle name="常规 3 29" xfId="4123"/>
    <cellStyle name="常规 3 3" xfId="4124"/>
    <cellStyle name="常规 3 3 2" xfId="4125"/>
    <cellStyle name="常规 3 3 2 2" xfId="4126"/>
    <cellStyle name="常规 3 3 2 3" xfId="4127"/>
    <cellStyle name="常规 3 3 2 4" xfId="4128"/>
    <cellStyle name="常规 3 3 2 5" xfId="4129"/>
    <cellStyle name="常规 3 3 3" xfId="4130"/>
    <cellStyle name="常规 3 3 3 2" xfId="4131"/>
    <cellStyle name="常规 3 3 4" xfId="4132"/>
    <cellStyle name="常规 3 3 4 2" xfId="4133"/>
    <cellStyle name="常规 3 3 5" xfId="4134"/>
    <cellStyle name="常规 3 3 5 2" xfId="4135"/>
    <cellStyle name="常规 3 3 6" xfId="4136"/>
    <cellStyle name="常规 3 3 6 2" xfId="4137"/>
    <cellStyle name="常规 3 3 7" xfId="4138"/>
    <cellStyle name="常规 3 3 8" xfId="4139"/>
    <cellStyle name="常规 3 30" xfId="4140"/>
    <cellStyle name="常规 3 31" xfId="4141"/>
    <cellStyle name="常规 3 32" xfId="4142"/>
    <cellStyle name="常规 3 33" xfId="4143"/>
    <cellStyle name="常规 3 34" xfId="4144"/>
    <cellStyle name="常规 3 35" xfId="4145"/>
    <cellStyle name="常规 3 36" xfId="4146"/>
    <cellStyle name="常规 3 37" xfId="4147"/>
    <cellStyle name="常规 3 38" xfId="4148"/>
    <cellStyle name="常规 3 39" xfId="4149"/>
    <cellStyle name="常规 3 4" xfId="4150"/>
    <cellStyle name="常规 3 4 2" xfId="4151"/>
    <cellStyle name="常规 3 4 2 2" xfId="4152"/>
    <cellStyle name="常规 3 4 3" xfId="4153"/>
    <cellStyle name="常规 3 4 3 2" xfId="4154"/>
    <cellStyle name="常规 3 4 4" xfId="4155"/>
    <cellStyle name="常规 3 4 4 2" xfId="4156"/>
    <cellStyle name="常规 3 4 5" xfId="4157"/>
    <cellStyle name="常规 3 4 5 2" xfId="4158"/>
    <cellStyle name="常规 3 4 6" xfId="4159"/>
    <cellStyle name="常规 3 4 6 2" xfId="4160"/>
    <cellStyle name="常规 3 4 7" xfId="4161"/>
    <cellStyle name="常规 3 40" xfId="4162"/>
    <cellStyle name="常规 3 41" xfId="4163"/>
    <cellStyle name="常规 3 42" xfId="4164"/>
    <cellStyle name="常规 3 43" xfId="4165"/>
    <cellStyle name="常规 3 43 2" xfId="4166"/>
    <cellStyle name="常规 3 43 3" xfId="4167"/>
    <cellStyle name="常规 3 43 4" xfId="4168"/>
    <cellStyle name="常规 3 43 5" xfId="4169"/>
    <cellStyle name="常规 3 44" xfId="4170"/>
    <cellStyle name="常规 3 45" xfId="4171"/>
    <cellStyle name="常规 3 46" xfId="4172"/>
    <cellStyle name="常规 3 5" xfId="4173"/>
    <cellStyle name="常规 3 5 2" xfId="4174"/>
    <cellStyle name="常规 3 5 3" xfId="4175"/>
    <cellStyle name="常规 3 6" xfId="4176"/>
    <cellStyle name="常规 3 6 2" xfId="4177"/>
    <cellStyle name="常规 3 6 3" xfId="4178"/>
    <cellStyle name="常规 3 7" xfId="4179"/>
    <cellStyle name="常规 3 7 2" xfId="4180"/>
    <cellStyle name="常规 3 8" xfId="4181"/>
    <cellStyle name="常规 3 8 2" xfId="4182"/>
    <cellStyle name="常规 3 9" xfId="4183"/>
    <cellStyle name="常规 3 9 2" xfId="4184"/>
    <cellStyle name="常规 30" xfId="4185"/>
    <cellStyle name="常规 30 2" xfId="4186"/>
    <cellStyle name="常规 31" xfId="4187"/>
    <cellStyle name="常规 31 2" xfId="4188"/>
    <cellStyle name="常规 32" xfId="4189"/>
    <cellStyle name="常规 32 2" xfId="4190"/>
    <cellStyle name="常规 33" xfId="4191"/>
    <cellStyle name="常规 33 2" xfId="4192"/>
    <cellStyle name="常规 34" xfId="4193"/>
    <cellStyle name="常规 34 2" xfId="4194"/>
    <cellStyle name="常规 35" xfId="4195"/>
    <cellStyle name="常规 35 2" xfId="4196"/>
    <cellStyle name="常规 36" xfId="4197"/>
    <cellStyle name="常规 36 2" xfId="4198"/>
    <cellStyle name="常规 37" xfId="4199"/>
    <cellStyle name="常规 38" xfId="4200"/>
    <cellStyle name="常规 39" xfId="4201"/>
    <cellStyle name="常规 39 2" xfId="4202"/>
    <cellStyle name="常规 4" xfId="4"/>
    <cellStyle name="常规 4 10" xfId="4203"/>
    <cellStyle name="常规 4 10 2" xfId="4204"/>
    <cellStyle name="常规 4 10 3" xfId="4205"/>
    <cellStyle name="常规 4 11" xfId="4206"/>
    <cellStyle name="常规 4 11 2" xfId="4207"/>
    <cellStyle name="常规 4 11 3" xfId="4208"/>
    <cellStyle name="常规 4 11 4" xfId="4209"/>
    <cellStyle name="常规 4 11 5" xfId="4210"/>
    <cellStyle name="常规 4 12" xfId="4211"/>
    <cellStyle name="常规 4 13" xfId="4212"/>
    <cellStyle name="常规 4 14" xfId="4213"/>
    <cellStyle name="常规 4 2" xfId="4214"/>
    <cellStyle name="常规 4 2 10" xfId="4215"/>
    <cellStyle name="常规 4 2 11" xfId="4216"/>
    <cellStyle name="常规 4 2 12" xfId="4217"/>
    <cellStyle name="常规 4 2 2" xfId="4218"/>
    <cellStyle name="常规 4 2 2 2" xfId="4219"/>
    <cellStyle name="常规 4 2 2 2 2" xfId="4220"/>
    <cellStyle name="常规 4 2 2 2 2 2" xfId="4221"/>
    <cellStyle name="常规 4 2 2 2 3" xfId="4222"/>
    <cellStyle name="常规 4 2 2 2 3 2" xfId="4223"/>
    <cellStyle name="常规 4 2 2 2 4" xfId="4224"/>
    <cellStyle name="常规 4 2 2 2 4 2" xfId="4225"/>
    <cellStyle name="常规 4 2 2 2 5" xfId="4226"/>
    <cellStyle name="常规 4 2 2 2 5 2" xfId="4227"/>
    <cellStyle name="常规 4 2 2 2 6" xfId="4228"/>
    <cellStyle name="常规 4 2 2 2 6 2" xfId="4229"/>
    <cellStyle name="常规 4 2 2 2 7" xfId="4230"/>
    <cellStyle name="常规 4 2 2 2 8" xfId="4231"/>
    <cellStyle name="常规 4 2 2 3" xfId="4232"/>
    <cellStyle name="常规 4 2 2 3 2" xfId="4233"/>
    <cellStyle name="常规 4 2 2 3 3" xfId="4234"/>
    <cellStyle name="常规 4 2 2 4" xfId="4235"/>
    <cellStyle name="常规 4 2 2 4 2" xfId="4236"/>
    <cellStyle name="常规 4 2 2 5" xfId="4237"/>
    <cellStyle name="常规 4 2 2 5 2" xfId="4238"/>
    <cellStyle name="常规 4 2 2 6" xfId="4239"/>
    <cellStyle name="常规 4 2 2 6 2" xfId="4240"/>
    <cellStyle name="常规 4 2 2 7" xfId="4241"/>
    <cellStyle name="常规 4 2 2 7 2" xfId="4242"/>
    <cellStyle name="常规 4 2 2 8" xfId="4243"/>
    <cellStyle name="常规 4 2 2 9" xfId="4244"/>
    <cellStyle name="常规 4 2 3" xfId="4245"/>
    <cellStyle name="常规 4 2 3 2" xfId="4246"/>
    <cellStyle name="常规 4 2 3 2 2" xfId="4247"/>
    <cellStyle name="常规 4 2 3 3" xfId="4248"/>
    <cellStyle name="常规 4 2 3 3 2" xfId="4249"/>
    <cellStyle name="常规 4 2 3 4" xfId="4250"/>
    <cellStyle name="常规 4 2 3 4 2" xfId="4251"/>
    <cellStyle name="常规 4 2 3 5" xfId="4252"/>
    <cellStyle name="常规 4 2 3 5 2" xfId="4253"/>
    <cellStyle name="常规 4 2 3 6" xfId="4254"/>
    <cellStyle name="常规 4 2 3 6 2" xfId="4255"/>
    <cellStyle name="常规 4 2 3 7" xfId="4256"/>
    <cellStyle name="常规 4 2 3 8" xfId="4257"/>
    <cellStyle name="常规 4 2 4" xfId="4258"/>
    <cellStyle name="常规 4 2 4 2" xfId="4259"/>
    <cellStyle name="常规 4 2 4 2 2" xfId="4260"/>
    <cellStyle name="常规 4 2 4 3" xfId="4261"/>
    <cellStyle name="常规 4 2 4 3 2" xfId="4262"/>
    <cellStyle name="常规 4 2 4 4" xfId="4263"/>
    <cellStyle name="常规 4 2 4 4 2" xfId="4264"/>
    <cellStyle name="常规 4 2 4 5" xfId="4265"/>
    <cellStyle name="常规 4 2 4 5 2" xfId="4266"/>
    <cellStyle name="常规 4 2 4 6" xfId="4267"/>
    <cellStyle name="常规 4 2 4 6 2" xfId="4268"/>
    <cellStyle name="常规 4 2 4 7" xfId="4269"/>
    <cellStyle name="常规 4 2 4 8" xfId="4270"/>
    <cellStyle name="常规 4 2 5" xfId="4271"/>
    <cellStyle name="常规 4 2 5 2" xfId="4272"/>
    <cellStyle name="常规 4 2 6" xfId="4273"/>
    <cellStyle name="常规 4 2 6 2" xfId="4274"/>
    <cellStyle name="常规 4 2 7" xfId="4275"/>
    <cellStyle name="常规 4 2 7 2" xfId="4276"/>
    <cellStyle name="常规 4 2 8" xfId="4277"/>
    <cellStyle name="常规 4 2 8 2" xfId="4278"/>
    <cellStyle name="常规 4 2 9" xfId="4279"/>
    <cellStyle name="常规 4 2 9 2" xfId="4280"/>
    <cellStyle name="常规 4 3" xfId="4281"/>
    <cellStyle name="常规 4 3 10" xfId="4282"/>
    <cellStyle name="常规 4 3 10 2" xfId="4283"/>
    <cellStyle name="常规 4 3 11" xfId="4284"/>
    <cellStyle name="常规 4 3 11 2" xfId="4285"/>
    <cellStyle name="常规 4 3 12" xfId="4286"/>
    <cellStyle name="常规 4 3 12 2" xfId="4287"/>
    <cellStyle name="常规 4 3 13" xfId="4288"/>
    <cellStyle name="常规 4 3 2" xfId="4289"/>
    <cellStyle name="常规 4 3 2 2" xfId="4290"/>
    <cellStyle name="常规 4 3 2 2 2" xfId="4291"/>
    <cellStyle name="常规 4 3 2 2 2 2" xfId="4292"/>
    <cellStyle name="常规 4 3 2 2 3" xfId="4293"/>
    <cellStyle name="常规 4 3 2 2 3 2" xfId="4294"/>
    <cellStyle name="常规 4 3 2 2 4" xfId="4295"/>
    <cellStyle name="常规 4 3 2 2 4 2" xfId="4296"/>
    <cellStyle name="常规 4 3 2 2 5" xfId="4297"/>
    <cellStyle name="常规 4 3 2 2 5 2" xfId="4298"/>
    <cellStyle name="常规 4 3 2 3" xfId="4299"/>
    <cellStyle name="常规 4 3 2 3 2" xfId="4300"/>
    <cellStyle name="常规 4 3 2 4" xfId="4301"/>
    <cellStyle name="常规 4 3 2 4 2" xfId="4302"/>
    <cellStyle name="常规 4 3 2 5" xfId="4303"/>
    <cellStyle name="常规 4 3 2 5 2" xfId="4304"/>
    <cellStyle name="常规 4 3 2 6" xfId="4305"/>
    <cellStyle name="常规 4 3 2 6 2" xfId="4306"/>
    <cellStyle name="常规 4 3 2 7" xfId="4307"/>
    <cellStyle name="常规 4 3 2 8" xfId="4308"/>
    <cellStyle name="常规 4 3 3" xfId="4309"/>
    <cellStyle name="常规 4 3 3 2" xfId="4310"/>
    <cellStyle name="常规 4 3 3 3" xfId="4311"/>
    <cellStyle name="常规 4 3 4" xfId="4312"/>
    <cellStyle name="常规 4 3 4 2" xfId="4313"/>
    <cellStyle name="常规 4 3 5" xfId="4314"/>
    <cellStyle name="常规 4 3 5 2" xfId="4315"/>
    <cellStyle name="常规 4 3 6" xfId="4316"/>
    <cellStyle name="常规 4 3 6 2" xfId="4317"/>
    <cellStyle name="常规 4 3 7" xfId="4318"/>
    <cellStyle name="常规 4 3 7 2" xfId="4319"/>
    <cellStyle name="常规 4 3 8" xfId="4320"/>
    <cellStyle name="常规 4 3 8 2" xfId="4321"/>
    <cellStyle name="常规 4 3 9" xfId="4322"/>
    <cellStyle name="常规 4 3 9 2" xfId="4323"/>
    <cellStyle name="常规 4 3 9 3" xfId="4324"/>
    <cellStyle name="常规 4 3 9 4" xfId="4325"/>
    <cellStyle name="常规 4 3 9 5" xfId="4326"/>
    <cellStyle name="常规 4 3 9 6" xfId="4327"/>
    <cellStyle name="常规 4 4" xfId="4328"/>
    <cellStyle name="常规 4 4 2" xfId="4329"/>
    <cellStyle name="常规 4 4 2 2" xfId="4330"/>
    <cellStyle name="常规 4 4 2 3" xfId="4331"/>
    <cellStyle name="常规 4 4 3" xfId="4332"/>
    <cellStyle name="常规 4 4 3 2" xfId="4333"/>
    <cellStyle name="常规 4 4 3 3" xfId="4334"/>
    <cellStyle name="常规 4 4 4" xfId="4335"/>
    <cellStyle name="常规 4 4 4 2" xfId="4336"/>
    <cellStyle name="常规 4 4 5" xfId="4337"/>
    <cellStyle name="常规 4 4 5 2" xfId="4338"/>
    <cellStyle name="常规 4 4 6" xfId="4339"/>
    <cellStyle name="常规 4 4 6 2" xfId="4340"/>
    <cellStyle name="常规 4 4 7" xfId="4341"/>
    <cellStyle name="常规 4 4 8" xfId="4342"/>
    <cellStyle name="常规 4 5" xfId="4343"/>
    <cellStyle name="常规 4 5 2" xfId="4344"/>
    <cellStyle name="常规 4 5 2 2" xfId="4345"/>
    <cellStyle name="常规 4 5 3" xfId="4346"/>
    <cellStyle name="常规 4 5 3 2" xfId="4347"/>
    <cellStyle name="常规 4 5 4" xfId="4348"/>
    <cellStyle name="常规 4 5 4 2" xfId="4349"/>
    <cellStyle name="常规 4 5 5" xfId="4350"/>
    <cellStyle name="常规 4 5 5 2" xfId="4351"/>
    <cellStyle name="常规 4 5 6" xfId="4352"/>
    <cellStyle name="常规 4 5 6 2" xfId="4353"/>
    <cellStyle name="常规 4 5 7" xfId="4354"/>
    <cellStyle name="常规 4 5 8" xfId="4355"/>
    <cellStyle name="常规 4 6" xfId="4356"/>
    <cellStyle name="常规 4 6 2" xfId="4357"/>
    <cellStyle name="常规 4 6 2 2" xfId="4358"/>
    <cellStyle name="常规 4 6 2 3" xfId="4359"/>
    <cellStyle name="常规 4 6 2 4" xfId="4360"/>
    <cellStyle name="常规 4 6 2 5" xfId="4361"/>
    <cellStyle name="常规 4 6 3" xfId="4362"/>
    <cellStyle name="常规 4 6 4" xfId="4363"/>
    <cellStyle name="常规 4 6 5" xfId="4364"/>
    <cellStyle name="常规 4 6 6" xfId="4365"/>
    <cellStyle name="常规 4 7" xfId="4366"/>
    <cellStyle name="常规 4 7 2" xfId="4367"/>
    <cellStyle name="常规 4 7 3" xfId="4368"/>
    <cellStyle name="常规 4 8" xfId="4369"/>
    <cellStyle name="常规 4 8 2" xfId="4370"/>
    <cellStyle name="常规 4 9" xfId="4371"/>
    <cellStyle name="常规 4 9 2" xfId="4372"/>
    <cellStyle name="常规 4 9 3" xfId="4373"/>
    <cellStyle name="常规 40" xfId="4374"/>
    <cellStyle name="常规 40 2" xfId="4375"/>
    <cellStyle name="常规 41" xfId="4376"/>
    <cellStyle name="常规 42" xfId="4377"/>
    <cellStyle name="常规 43" xfId="4378"/>
    <cellStyle name="常规 44" xfId="4379"/>
    <cellStyle name="常规 45" xfId="4380"/>
    <cellStyle name="常规 46" xfId="4381"/>
    <cellStyle name="常规 47" xfId="4382"/>
    <cellStyle name="常规 48" xfId="4383"/>
    <cellStyle name="常规 49" xfId="4384"/>
    <cellStyle name="常规 5" xfId="5"/>
    <cellStyle name="常规 5 10" xfId="4385"/>
    <cellStyle name="常规 5 11" xfId="4386"/>
    <cellStyle name="常规 5 12" xfId="4387"/>
    <cellStyle name="常规 5 2" xfId="4388"/>
    <cellStyle name="常规 5 2 2" xfId="4389"/>
    <cellStyle name="常规 5 2 2 2" xfId="4390"/>
    <cellStyle name="常规 5 2 2 2 2" xfId="4391"/>
    <cellStyle name="常规 5 2 2 3" xfId="4392"/>
    <cellStyle name="常规 5 2 2 3 2" xfId="4393"/>
    <cellStyle name="常规 5 2 2 4" xfId="4394"/>
    <cellStyle name="常规 5 2 2 4 2" xfId="4395"/>
    <cellStyle name="常规 5 2 2 5" xfId="4396"/>
    <cellStyle name="常规 5 2 2 5 2" xfId="4397"/>
    <cellStyle name="常规 5 2 2 6" xfId="4398"/>
    <cellStyle name="常规 5 2 2 6 2" xfId="4399"/>
    <cellStyle name="常规 5 2 2 7" xfId="4400"/>
    <cellStyle name="常规 5 2 2 8" xfId="4401"/>
    <cellStyle name="常规 5 2 3" xfId="4402"/>
    <cellStyle name="常规 5 2 3 2" xfId="4403"/>
    <cellStyle name="常规 5 2 3 3" xfId="4404"/>
    <cellStyle name="常规 5 2 4" xfId="4405"/>
    <cellStyle name="常规 5 2 4 2" xfId="4406"/>
    <cellStyle name="常规 5 2 5" xfId="4407"/>
    <cellStyle name="常规 5 2 5 2" xfId="4408"/>
    <cellStyle name="常规 5 2 6" xfId="4409"/>
    <cellStyle name="常规 5 2 6 2" xfId="4410"/>
    <cellStyle name="常规 5 2 7" xfId="4411"/>
    <cellStyle name="常规 5 2 7 2" xfId="4412"/>
    <cellStyle name="常规 5 2 8" xfId="4413"/>
    <cellStyle name="常规 5 2 9" xfId="4414"/>
    <cellStyle name="常规 5 2_样本-每月费用" xfId="4415"/>
    <cellStyle name="常规 5 3" xfId="4416"/>
    <cellStyle name="常规 5 3 2" xfId="4417"/>
    <cellStyle name="常规 5 3 2 2" xfId="4418"/>
    <cellStyle name="常规 5 3 2 3" xfId="4419"/>
    <cellStyle name="常规 5 3 3" xfId="4420"/>
    <cellStyle name="常规 5 3 3 2" xfId="4421"/>
    <cellStyle name="常规 5 3 3 2 2" xfId="4422"/>
    <cellStyle name="常规 5 3 3 2 2 2" xfId="4423"/>
    <cellStyle name="常规 5 3 3 2 2 3" xfId="4424"/>
    <cellStyle name="常规 5 3 3 2 3" xfId="4425"/>
    <cellStyle name="常规 5 3 3 2 3 2" xfId="4426"/>
    <cellStyle name="常规 5 3 3 2 3 2 2" xfId="4427"/>
    <cellStyle name="常规 5 3 3 2 3 2 3" xfId="4428"/>
    <cellStyle name="常规 5 3 3 2 3 2 4" xfId="4429"/>
    <cellStyle name="常规 5 3 3 2 3 3" xfId="4430"/>
    <cellStyle name="常规 5 3 3 2 3 4" xfId="4431"/>
    <cellStyle name="常规 5 3 3 2 3 5" xfId="4432"/>
    <cellStyle name="常规 5 3 3 2 4" xfId="4433"/>
    <cellStyle name="常规 5 3 3 2 5" xfId="4434"/>
    <cellStyle name="常规 5 3 3 2 6" xfId="4435"/>
    <cellStyle name="常规 5 3 3 3" xfId="4436"/>
    <cellStyle name="常规 5 3 3 4" xfId="4437"/>
    <cellStyle name="常规 5 3 3 5" xfId="4438"/>
    <cellStyle name="常规 5 3 4" xfId="4439"/>
    <cellStyle name="常规 5 3 4 2" xfId="4440"/>
    <cellStyle name="常规 5 3 5" xfId="4441"/>
    <cellStyle name="常规 5 3 5 2" xfId="4442"/>
    <cellStyle name="常规 5 3 6" xfId="4443"/>
    <cellStyle name="常规 5 3 6 2" xfId="4444"/>
    <cellStyle name="常规 5 3 7" xfId="4445"/>
    <cellStyle name="常规 5 3 8" xfId="4446"/>
    <cellStyle name="常规 5 4" xfId="4447"/>
    <cellStyle name="常规 5 4 2" xfId="4448"/>
    <cellStyle name="常规 5 4 3" xfId="4449"/>
    <cellStyle name="常规 5 5" xfId="4450"/>
    <cellStyle name="常规 5 5 2" xfId="4451"/>
    <cellStyle name="常规 5 5 3" xfId="4452"/>
    <cellStyle name="常规 5 6" xfId="4453"/>
    <cellStyle name="常规 5 6 2" xfId="4454"/>
    <cellStyle name="常规 5 6 3" xfId="4455"/>
    <cellStyle name="常规 5 7" xfId="4456"/>
    <cellStyle name="常规 5 7 2" xfId="4457"/>
    <cellStyle name="常规 5 7 3" xfId="4458"/>
    <cellStyle name="常规 5 8" xfId="4459"/>
    <cellStyle name="常规 5 8 2" xfId="4460"/>
    <cellStyle name="常规 5 9" xfId="4461"/>
    <cellStyle name="常规 5 9 2" xfId="4462"/>
    <cellStyle name="常规 5 9 3" xfId="4463"/>
    <cellStyle name="常规 5 9 4" xfId="4464"/>
    <cellStyle name="常规 5 9 5" xfId="4465"/>
    <cellStyle name="常规 5_上海唐镇-第一稿" xfId="4466"/>
    <cellStyle name="常规 50" xfId="4467"/>
    <cellStyle name="常规 51" xfId="4468"/>
    <cellStyle name="常规 52" xfId="4469"/>
    <cellStyle name="常规 53" xfId="4470"/>
    <cellStyle name="常规 54" xfId="4471"/>
    <cellStyle name="常规 55" xfId="4472"/>
    <cellStyle name="常规 56" xfId="4473"/>
    <cellStyle name="常规 57" xfId="4474"/>
    <cellStyle name="常规 58" xfId="4475"/>
    <cellStyle name="常规 59" xfId="4476"/>
    <cellStyle name="常规 6" xfId="6"/>
    <cellStyle name="常规 6 2" xfId="9"/>
    <cellStyle name="常规 6 2 10" xfId="4477"/>
    <cellStyle name="常规 6 2 2" xfId="4478"/>
    <cellStyle name="常规 6 2 2 2" xfId="4479"/>
    <cellStyle name="常规 6 2 2 2 2" xfId="4480"/>
    <cellStyle name="常规 6 2 2 2 2 2" xfId="4481"/>
    <cellStyle name="常规 6 2 2 2 3" xfId="4482"/>
    <cellStyle name="常规 6 2 2 2 3 2" xfId="4483"/>
    <cellStyle name="常规 6 2 2 2 4" xfId="4484"/>
    <cellStyle name="常规 6 2 2 2 4 2" xfId="4485"/>
    <cellStyle name="常规 6 2 2 2 5" xfId="4486"/>
    <cellStyle name="常规 6 2 2 2 5 2" xfId="4487"/>
    <cellStyle name="常规 6 2 2 2 6" xfId="4488"/>
    <cellStyle name="常规 6 2 2 2 6 2" xfId="4489"/>
    <cellStyle name="常规 6 2 2 2 7" xfId="4490"/>
    <cellStyle name="常规 6 2 2 3" xfId="4491"/>
    <cellStyle name="常规 6 2 2 3 2" xfId="4492"/>
    <cellStyle name="常规 6 2 2 4" xfId="4493"/>
    <cellStyle name="常规 6 2 2 4 2" xfId="4494"/>
    <cellStyle name="常规 6 2 2 5" xfId="4495"/>
    <cellStyle name="常规 6 2 2 5 2" xfId="4496"/>
    <cellStyle name="常规 6 2 2 6" xfId="4497"/>
    <cellStyle name="常规 6 2 2 6 2" xfId="4498"/>
    <cellStyle name="常规 6 2 2 7" xfId="4499"/>
    <cellStyle name="常规 6 2 2 7 2" xfId="4500"/>
    <cellStyle name="常规 6 2 2 8" xfId="4501"/>
    <cellStyle name="常规 6 2 3" xfId="4502"/>
    <cellStyle name="常规 6 2 3 2" xfId="4503"/>
    <cellStyle name="常规 6 2 3 2 2" xfId="4504"/>
    <cellStyle name="常规 6 2 3 3" xfId="4505"/>
    <cellStyle name="常规 6 2 3 3 2" xfId="4506"/>
    <cellStyle name="常规 6 2 3 4" xfId="4507"/>
    <cellStyle name="常规 6 2 3 4 2" xfId="4508"/>
    <cellStyle name="常规 6 2 3 5" xfId="4509"/>
    <cellStyle name="常规 6 2 3 5 2" xfId="4510"/>
    <cellStyle name="常规 6 2 3 6" xfId="4511"/>
    <cellStyle name="常规 6 2 3 6 2" xfId="4512"/>
    <cellStyle name="常规 6 2 3 7" xfId="4513"/>
    <cellStyle name="常规 6 2 4" xfId="4514"/>
    <cellStyle name="常规 6 2 4 2" xfId="4515"/>
    <cellStyle name="常规 6 2 5" xfId="4516"/>
    <cellStyle name="常规 6 2 5 2" xfId="4517"/>
    <cellStyle name="常规 6 2 6" xfId="4518"/>
    <cellStyle name="常规 6 2 6 2" xfId="4519"/>
    <cellStyle name="常规 6 2 7" xfId="4520"/>
    <cellStyle name="常规 6 2 7 2" xfId="4521"/>
    <cellStyle name="常规 6 2 8" xfId="4522"/>
    <cellStyle name="常规 6 2 8 2" xfId="4523"/>
    <cellStyle name="常规 6 2 9" xfId="4524"/>
    <cellStyle name="常规 6 3" xfId="4525"/>
    <cellStyle name="常规 6 3 2" xfId="4526"/>
    <cellStyle name="常规 6 3 3" xfId="4527"/>
    <cellStyle name="常规 6 3 4" xfId="4528"/>
    <cellStyle name="常规 6 3 5" xfId="4529"/>
    <cellStyle name="常规 6 4" xfId="4530"/>
    <cellStyle name="常规 6 5" xfId="4531"/>
    <cellStyle name="常规 6 6" xfId="4532"/>
    <cellStyle name="常规 6_上海黄浦湾经营计划20121029" xfId="4533"/>
    <cellStyle name="常规 60" xfId="4534"/>
    <cellStyle name="常规 61" xfId="4535"/>
    <cellStyle name="常规 62" xfId="4536"/>
    <cellStyle name="常规 63" xfId="4537"/>
    <cellStyle name="常规 64" xfId="4538"/>
    <cellStyle name="常规 7" xfId="7"/>
    <cellStyle name="常规 7 10" xfId="4539"/>
    <cellStyle name="常规 7 10 2" xfId="4540"/>
    <cellStyle name="常规 7 11" xfId="4541"/>
    <cellStyle name="常规 7 11 2" xfId="4542"/>
    <cellStyle name="常规 7 12" xfId="4543"/>
    <cellStyle name="常规 7 12 2" xfId="4544"/>
    <cellStyle name="常规 7 13" xfId="4545"/>
    <cellStyle name="常规 7 14" xfId="4546"/>
    <cellStyle name="常规 7 2" xfId="4547"/>
    <cellStyle name="常规 7 2 2" xfId="4548"/>
    <cellStyle name="常规 7 2 2 2" xfId="4549"/>
    <cellStyle name="常规 7 2 2 2 2" xfId="4550"/>
    <cellStyle name="常规 7 2 2 3" xfId="4551"/>
    <cellStyle name="常规 7 2 2 3 2" xfId="4552"/>
    <cellStyle name="常规 7 2 2 4" xfId="4553"/>
    <cellStyle name="常规 7 2 2 4 2" xfId="4554"/>
    <cellStyle name="常规 7 2 2 5" xfId="4555"/>
    <cellStyle name="常规 7 2 2 5 2" xfId="4556"/>
    <cellStyle name="常规 7 2 2 6" xfId="4557"/>
    <cellStyle name="常规 7 2 2 6 2" xfId="4558"/>
    <cellStyle name="常规 7 2 2 7" xfId="4559"/>
    <cellStyle name="常规 7 2 3" xfId="4560"/>
    <cellStyle name="常规 7 2 3 2" xfId="4561"/>
    <cellStyle name="常规 7 2 4" xfId="4562"/>
    <cellStyle name="常规 7 2 4 2" xfId="4563"/>
    <cellStyle name="常规 7 2 5" xfId="4564"/>
    <cellStyle name="常规 7 2 5 2" xfId="4565"/>
    <cellStyle name="常规 7 2 6" xfId="4566"/>
    <cellStyle name="常规 7 2 6 2" xfId="4567"/>
    <cellStyle name="常规 7 2 7" xfId="4568"/>
    <cellStyle name="常规 7 2 7 2" xfId="4569"/>
    <cellStyle name="常规 7 2 8" xfId="4570"/>
    <cellStyle name="常规 7 2 9" xfId="4571"/>
    <cellStyle name="常规 7 3" xfId="4572"/>
    <cellStyle name="常规 7 3 2" xfId="4573"/>
    <cellStyle name="常规 7 3 2 2" xfId="4574"/>
    <cellStyle name="常规 7 3 3" xfId="4575"/>
    <cellStyle name="常规 7 3 3 2" xfId="4576"/>
    <cellStyle name="常规 7 3 4" xfId="4577"/>
    <cellStyle name="常规 7 3 4 2" xfId="4578"/>
    <cellStyle name="常规 7 3 5" xfId="4579"/>
    <cellStyle name="常规 7 3 5 2" xfId="4580"/>
    <cellStyle name="常规 7 3 6" xfId="4581"/>
    <cellStyle name="常规 7 3 6 2" xfId="4582"/>
    <cellStyle name="常规 7 3 7" xfId="4583"/>
    <cellStyle name="常规 7 3 8" xfId="4584"/>
    <cellStyle name="常规 7 4" xfId="4585"/>
    <cellStyle name="常规 7 4 2" xfId="4586"/>
    <cellStyle name="常规 7 4 3" xfId="4587"/>
    <cellStyle name="常规 7 5" xfId="4588"/>
    <cellStyle name="常规 7 5 2" xfId="4589"/>
    <cellStyle name="常规 7 5 3" xfId="4590"/>
    <cellStyle name="常规 7 6" xfId="4591"/>
    <cellStyle name="常规 7 6 2" xfId="4592"/>
    <cellStyle name="常规 7 6 3" xfId="4593"/>
    <cellStyle name="常规 7 7" xfId="4594"/>
    <cellStyle name="常规 7 7 2" xfId="4595"/>
    <cellStyle name="常规 7 7 3" xfId="4596"/>
    <cellStyle name="常规 7 8" xfId="4597"/>
    <cellStyle name="常规 7 8 2" xfId="4598"/>
    <cellStyle name="常规 7 8 3" xfId="4599"/>
    <cellStyle name="常规 7 9" xfId="4600"/>
    <cellStyle name="常规 7 9 2" xfId="4601"/>
    <cellStyle name="常规 7 9 3" xfId="4602"/>
    <cellStyle name="常规 7_苏州桃花源-0116经营计划" xfId="4603"/>
    <cellStyle name="常规 8" xfId="11"/>
    <cellStyle name="常规 8 12" xfId="4604"/>
    <cellStyle name="常规 8 12 2" xfId="4605"/>
    <cellStyle name="常规 8 12 3" xfId="4606"/>
    <cellStyle name="常规 8 2" xfId="4607"/>
    <cellStyle name="常规 8 2 2" xfId="4608"/>
    <cellStyle name="常规 8 2 2 2" xfId="4609"/>
    <cellStyle name="常规 8 2 2 3" xfId="4610"/>
    <cellStyle name="常规 8 2 2 4" xfId="4611"/>
    <cellStyle name="常规 8 2 3" xfId="4612"/>
    <cellStyle name="常规 8 2 3 2" xfId="4613"/>
    <cellStyle name="常规 8 2 4" xfId="4614"/>
    <cellStyle name="常规 8 2 4 2" xfId="4615"/>
    <cellStyle name="常规 8 2 5" xfId="4616"/>
    <cellStyle name="常规 8 2 5 2" xfId="4617"/>
    <cellStyle name="常规 8 2 6" xfId="4618"/>
    <cellStyle name="常规 8 2 6 2" xfId="4619"/>
    <cellStyle name="常规 8 2 7" xfId="4620"/>
    <cellStyle name="常规 8 2 8" xfId="4621"/>
    <cellStyle name="常规 8 2_样本-每月费用" xfId="4622"/>
    <cellStyle name="常规 8 3" xfId="4623"/>
    <cellStyle name="常规 8 3 2" xfId="4624"/>
    <cellStyle name="常规 8 3 3" xfId="4625"/>
    <cellStyle name="常规 8 4" xfId="4626"/>
    <cellStyle name="常规 8 4 2" xfId="4627"/>
    <cellStyle name="常规 8 4 3" xfId="4628"/>
    <cellStyle name="常规 8 4 4" xfId="4629"/>
    <cellStyle name="常规 8 5" xfId="4630"/>
    <cellStyle name="常规 8 5 2" xfId="4631"/>
    <cellStyle name="常规 8 5 3" xfId="4632"/>
    <cellStyle name="常规 8 5 4" xfId="4633"/>
    <cellStyle name="常规 8 6" xfId="4634"/>
    <cellStyle name="常规 8 6 2" xfId="4635"/>
    <cellStyle name="常规 8 6 3" xfId="4636"/>
    <cellStyle name="常规 8 6 4" xfId="4637"/>
    <cellStyle name="常规 8 7" xfId="4638"/>
    <cellStyle name="常规 8 7 2" xfId="4639"/>
    <cellStyle name="常规 8 7 3" xfId="4640"/>
    <cellStyle name="常规 8 7 4" xfId="4641"/>
    <cellStyle name="常规 8 8" xfId="4642"/>
    <cellStyle name="常规 8 8 2" xfId="4643"/>
    <cellStyle name="常规 8 8 3" xfId="4644"/>
    <cellStyle name="常规 8 8 4" xfId="4645"/>
    <cellStyle name="常规 8 9" xfId="4646"/>
    <cellStyle name="常规 8 9 2" xfId="4647"/>
    <cellStyle name="常规 8 9 3" xfId="4648"/>
    <cellStyle name="常规 8 9 4" xfId="4649"/>
    <cellStyle name="常规 9" xfId="12"/>
    <cellStyle name="常规 9 10" xfId="4650"/>
    <cellStyle name="常规 9 11" xfId="4651"/>
    <cellStyle name="常规 9 12" xfId="4652"/>
    <cellStyle name="常规 9 13" xfId="4653"/>
    <cellStyle name="常规 9 2" xfId="4654"/>
    <cellStyle name="常规 9 2 2" xfId="4655"/>
    <cellStyle name="常规 9 2 2 2" xfId="4656"/>
    <cellStyle name="常规 9 2 2 3" xfId="4657"/>
    <cellStyle name="常规 9 2 3" xfId="4658"/>
    <cellStyle name="常规 9 2 4" xfId="4659"/>
    <cellStyle name="常规 9 3" xfId="4660"/>
    <cellStyle name="常规 9 3 2" xfId="4661"/>
    <cellStyle name="常规 9 3 3" xfId="4662"/>
    <cellStyle name="常规 9 4" xfId="4663"/>
    <cellStyle name="常规 9 4 2" xfId="4664"/>
    <cellStyle name="常规 9 4 3" xfId="4665"/>
    <cellStyle name="常规 9 5" xfId="4666"/>
    <cellStyle name="常规 9 5 2" xfId="4667"/>
    <cellStyle name="常规 9 5 3" xfId="4668"/>
    <cellStyle name="常规 9 6" xfId="4669"/>
    <cellStyle name="常规 9 6 2" xfId="4670"/>
    <cellStyle name="常规 9 6 3" xfId="4671"/>
    <cellStyle name="常规 9 7" xfId="4672"/>
    <cellStyle name="常规 9 7 2" xfId="4673"/>
    <cellStyle name="常规 9 7 3" xfId="4674"/>
    <cellStyle name="常规 9 8" xfId="4675"/>
    <cellStyle name="常规 9 8 2" xfId="4676"/>
    <cellStyle name="常规 9 8 3" xfId="4677"/>
    <cellStyle name="常规 9 9" xfId="4678"/>
    <cellStyle name="常规 9 9 2" xfId="4679"/>
    <cellStyle name="常规 9 9 3" xfId="4680"/>
    <cellStyle name="超级链接" xfId="4681"/>
    <cellStyle name="超链接 2" xfId="4682"/>
    <cellStyle name="超链接 2 2" xfId="4683"/>
    <cellStyle name="超链接 2 2 2" xfId="4684"/>
    <cellStyle name="超链接 2 2 2 2" xfId="4685"/>
    <cellStyle name="超链接 2 2 3" xfId="4686"/>
    <cellStyle name="超链接 2 2 3 2" xfId="4687"/>
    <cellStyle name="超链接 2 2 4" xfId="4688"/>
    <cellStyle name="超链接 2 2 4 2" xfId="4689"/>
    <cellStyle name="超链接 2 2 5" xfId="4690"/>
    <cellStyle name="超链接 2 2 5 2" xfId="4691"/>
    <cellStyle name="超链接 2 2 6" xfId="4692"/>
    <cellStyle name="超链接 2 2 6 2" xfId="4693"/>
    <cellStyle name="超链接 2 2 7" xfId="4694"/>
    <cellStyle name="超链接 2 3" xfId="4695"/>
    <cellStyle name="超链接 2 3 2" xfId="4696"/>
    <cellStyle name="超链接 2 4" xfId="4697"/>
    <cellStyle name="超链接 2 4 2" xfId="4698"/>
    <cellStyle name="超链接 2 5" xfId="4699"/>
    <cellStyle name="超链接 2 5 2" xfId="4700"/>
    <cellStyle name="超链接 2 6" xfId="4701"/>
    <cellStyle name="超链接 2 6 2" xfId="4702"/>
    <cellStyle name="超链接 2 7" xfId="4703"/>
    <cellStyle name="超链接 2 7 2" xfId="4704"/>
    <cellStyle name="超链接 2 8" xfId="4705"/>
    <cellStyle name="超链接 2_贷款明细表" xfId="4706"/>
    <cellStyle name="超链接 3" xfId="4707"/>
    <cellStyle name="超链接 3 2" xfId="4708"/>
    <cellStyle name="超链接 3 2 2" xfId="4709"/>
    <cellStyle name="超链接 3 3" xfId="4710"/>
    <cellStyle name="超链接 3 3 2" xfId="4711"/>
    <cellStyle name="超链接 3 4" xfId="4712"/>
    <cellStyle name="超链接 3 4 2" xfId="4713"/>
    <cellStyle name="超链接 3 5" xfId="4714"/>
    <cellStyle name="超链接 3 5 2" xfId="4715"/>
    <cellStyle name="超链接 3 6" xfId="4716"/>
    <cellStyle name="超链接 3 6 2" xfId="4717"/>
    <cellStyle name="超链接 3 7" xfId="4718"/>
    <cellStyle name="超链接 4" xfId="4719"/>
    <cellStyle name="超链接 5" xfId="4720"/>
    <cellStyle name="超链接 6" xfId="4721"/>
    <cellStyle name="超链接 7" xfId="4722"/>
    <cellStyle name="超链接 8" xfId="4723"/>
    <cellStyle name="超链接 9" xfId="4724"/>
    <cellStyle name="超链接 9 2" xfId="4725"/>
    <cellStyle name="都寞_囷祔桶ouxmm⁷潒慭nʼ" xfId="4726"/>
    <cellStyle name="分级显示列_1_Book1" xfId="4727"/>
    <cellStyle name="分级显示行_1_Book1" xfId="4728"/>
    <cellStyle name="箉销" xfId="4729"/>
    <cellStyle name="好 10" xfId="4730"/>
    <cellStyle name="好 10 2" xfId="4731"/>
    <cellStyle name="好 11" xfId="4732"/>
    <cellStyle name="好 11 2" xfId="4733"/>
    <cellStyle name="好 12" xfId="4734"/>
    <cellStyle name="好 2" xfId="4735"/>
    <cellStyle name="好 2 10" xfId="4736"/>
    <cellStyle name="好 2 2" xfId="4737"/>
    <cellStyle name="好 2 2 2" xfId="4738"/>
    <cellStyle name="好 2 2 2 2" xfId="4739"/>
    <cellStyle name="好 2 2 2 3" xfId="4740"/>
    <cellStyle name="好 2 2 2 4" xfId="4741"/>
    <cellStyle name="好 2 2 3" xfId="4742"/>
    <cellStyle name="好 2 2 4" xfId="4743"/>
    <cellStyle name="好 2 2 5" xfId="4744"/>
    <cellStyle name="好 2 2_样本-每月费用" xfId="4745"/>
    <cellStyle name="好 2 3" xfId="4746"/>
    <cellStyle name="好 2 3 2" xfId="4747"/>
    <cellStyle name="好 2 3 3" xfId="4748"/>
    <cellStyle name="好 2 3 4" xfId="4749"/>
    <cellStyle name="好 2 4" xfId="4750"/>
    <cellStyle name="好 2 4 2" xfId="4751"/>
    <cellStyle name="好 2 4 3" xfId="4752"/>
    <cellStyle name="好 2 4 4" xfId="4753"/>
    <cellStyle name="好 2 5" xfId="4754"/>
    <cellStyle name="好 2 5 2" xfId="4755"/>
    <cellStyle name="好 2 5 3" xfId="4756"/>
    <cellStyle name="好 2 5 4" xfId="4757"/>
    <cellStyle name="好 2 6" xfId="4758"/>
    <cellStyle name="好 2 6 2" xfId="4759"/>
    <cellStyle name="好 2 6 3" xfId="4760"/>
    <cellStyle name="好 2 6 4" xfId="4761"/>
    <cellStyle name="好 2 7" xfId="4762"/>
    <cellStyle name="好 2 7 2" xfId="4763"/>
    <cellStyle name="好 2 7 3" xfId="4764"/>
    <cellStyle name="好 2 7 4" xfId="4765"/>
    <cellStyle name="好 2 8" xfId="4766"/>
    <cellStyle name="好 2 8 2" xfId="4767"/>
    <cellStyle name="好 2 8 3" xfId="4768"/>
    <cellStyle name="好 2 8 4" xfId="4769"/>
    <cellStyle name="好 2 9" xfId="4770"/>
    <cellStyle name="好 3" xfId="4771"/>
    <cellStyle name="好 3 2" xfId="4772"/>
    <cellStyle name="好 4" xfId="4773"/>
    <cellStyle name="好 4 2" xfId="4774"/>
    <cellStyle name="好 5" xfId="4775"/>
    <cellStyle name="好 5 2" xfId="4776"/>
    <cellStyle name="好 6" xfId="4777"/>
    <cellStyle name="好 6 2" xfId="4778"/>
    <cellStyle name="好 7" xfId="4779"/>
    <cellStyle name="好 7 2" xfId="4780"/>
    <cellStyle name="好 8" xfId="4781"/>
    <cellStyle name="好 8 2" xfId="4782"/>
    <cellStyle name="好 9" xfId="4783"/>
    <cellStyle name="好 9 2" xfId="4784"/>
    <cellStyle name="好_■项目成本测算表" xfId="4785"/>
    <cellStyle name="好_ADJ" xfId="4786"/>
    <cellStyle name="好_B&amp;P" xfId="4787"/>
    <cellStyle name="好_奥园050607" xfId="4788"/>
    <cellStyle name="好_奥园050607 2" xfId="4789"/>
    <cellStyle name="好_城花新园A块（标一、二、三、四段）10年1月动态成本" xfId="4790"/>
    <cellStyle name="好_递延税款比较-奥园" xfId="4791"/>
    <cellStyle name="好_递延税款比较-奥园 2" xfId="4792"/>
    <cellStyle name="好_第一、二部分-月报综述及经营指标完成情况（财务3月报）4.7" xfId="4793"/>
    <cellStyle name="好_第一、二部分-月报综述及经营指标完成情况（财务3月报）4.7 2" xfId="4794"/>
    <cellStyle name="好_第一、二部分-月报综述及经营指标完成情况（财务3月报）4.7 2 2" xfId="4795"/>
    <cellStyle name="好_第一、二部分-月报综述及经营指标完成情况（财务3月报）4.7 2 2 2" xfId="4796"/>
    <cellStyle name="好_第一、二部分-月报综述及经营指标完成情况（财务3月报）4.7 2 2 2 2" xfId="4797"/>
    <cellStyle name="好_第一、二部分-月报综述及经营指标完成情况（财务3月报）4.7 2 2 3" xfId="4798"/>
    <cellStyle name="好_第一、二部分-月报综述及经营指标完成情况（财务3月报）4.7 2 2 3 2" xfId="4799"/>
    <cellStyle name="好_第一、二部分-月报综述及经营指标完成情况（财务3月报）4.7 2 2 4" xfId="4800"/>
    <cellStyle name="好_第一、二部分-月报综述及经营指标完成情况（财务3月报）4.7 2 2 4 2" xfId="4801"/>
    <cellStyle name="好_第一、二部分-月报综述及经营指标完成情况（财务3月报）4.7 2 2 5" xfId="4802"/>
    <cellStyle name="好_第一、二部分-月报综述及经营指标完成情况（财务3月报）4.7 2 2 5 2" xfId="4803"/>
    <cellStyle name="好_第一、二部分-月报综述及经营指标完成情况（财务3月报）4.7 2 2 6" xfId="4804"/>
    <cellStyle name="好_第一、二部分-月报综述及经营指标完成情况（财务3月报）4.7 2 2 6 2" xfId="4805"/>
    <cellStyle name="好_第一、二部分-月报综述及经营指标完成情况（财务3月报）4.7 2 2 7" xfId="4806"/>
    <cellStyle name="好_第一、二部分-月报综述及经营指标完成情况（财务3月报）4.7 2 3" xfId="4807"/>
    <cellStyle name="好_第一、二部分-月报综述及经营指标完成情况（财务3月报）4.7 2 3 2" xfId="4808"/>
    <cellStyle name="好_第一、二部分-月报综述及经营指标完成情况（财务3月报）4.7 2 4" xfId="4809"/>
    <cellStyle name="好_第一、二部分-月报综述及经营指标完成情况（财务3月报）4.7 2 4 2" xfId="4810"/>
    <cellStyle name="好_第一、二部分-月报综述及经营指标完成情况（财务3月报）4.7 2 5" xfId="4811"/>
    <cellStyle name="好_第一、二部分-月报综述及经营指标完成情况（财务3月报）4.7 2 5 2" xfId="4812"/>
    <cellStyle name="好_第一、二部分-月报综述及经营指标完成情况（财务3月报）4.7 2 6" xfId="4813"/>
    <cellStyle name="好_第一、二部分-月报综述及经营指标完成情况（财务3月报）4.7 2 6 2" xfId="4814"/>
    <cellStyle name="好_第一、二部分-月报综述及经营指标完成情况（财务3月报）4.7 2 7" xfId="4815"/>
    <cellStyle name="好_第一、二部分-月报综述及经营指标完成情况（财务3月报）4.7 2 7 2" xfId="4816"/>
    <cellStyle name="好_第一、二部分-月报综述及经营指标完成情况（财务3月报）4.7 2 8" xfId="4817"/>
    <cellStyle name="好_第一、二部分-月报综述及经营指标完成情况（财务3月报）4.7 3" xfId="4818"/>
    <cellStyle name="好_第一、二部分-月报综述及经营指标完成情况（财务3月报）4.7 3 2" xfId="4819"/>
    <cellStyle name="好_第一、二部分-月报综述及经营指标完成情况（财务3月报）4.7 3 2 2" xfId="4820"/>
    <cellStyle name="好_第一、二部分-月报综述及经营指标完成情况（财务3月报）4.7 3 3" xfId="4821"/>
    <cellStyle name="好_第一、二部分-月报综述及经营指标完成情况（财务3月报）4.7 3 3 2" xfId="4822"/>
    <cellStyle name="好_第一、二部分-月报综述及经营指标完成情况（财务3月报）4.7 3 4" xfId="4823"/>
    <cellStyle name="好_第一、二部分-月报综述及经营指标完成情况（财务3月报）4.7 3 4 2" xfId="4824"/>
    <cellStyle name="好_第一、二部分-月报综述及经营指标完成情况（财务3月报）4.7 3 5" xfId="4825"/>
    <cellStyle name="好_第一、二部分-月报综述及经营指标完成情况（财务3月报）4.7 3 5 2" xfId="4826"/>
    <cellStyle name="好_第一、二部分-月报综述及经营指标完成情况（财务3月报）4.7 3 6" xfId="4827"/>
    <cellStyle name="好_第一、二部分-月报综述及经营指标完成情况（财务3月报）4.7 3 6 2" xfId="4828"/>
    <cellStyle name="好_第一、二部分-月报综述及经营指标完成情况（财务3月报）4.7 3 7" xfId="4829"/>
    <cellStyle name="好_第一、二部分-月报综述及经营指标完成情况（财务3月报）4.7 4" xfId="4830"/>
    <cellStyle name="好_第一、二部分-月报综述及经营指标完成情况（财务3月报）4.7 4 2" xfId="4831"/>
    <cellStyle name="好_第一、二部分-月报综述及经营指标完成情况（财务3月报）4.7 5" xfId="4832"/>
    <cellStyle name="好_第一、二部分-月报综述及经营指标完成情况（财务3月报）4.7 5 2" xfId="4833"/>
    <cellStyle name="好_第一、二部分-月报综述及经营指标完成情况（财务3月报）4.7 6" xfId="4834"/>
    <cellStyle name="好_第一、二部分-月报综述及经营指标完成情况（财务3月报）4.7 6 2" xfId="4835"/>
    <cellStyle name="好_第一、二部分-月报综述及经营指标完成情况（财务3月报）4.7 7" xfId="4836"/>
    <cellStyle name="好_第一、二部分-月报综述及经营指标完成情况（财务3月报）4.7 7 2" xfId="4837"/>
    <cellStyle name="好_第一、二部分-月报综述及经营指标完成情况（财务3月报）4.7 8" xfId="4838"/>
    <cellStyle name="好_第一、二部分-月报综述及经营指标完成情况（财务3月报）4.7 8 2" xfId="4839"/>
    <cellStyle name="好_第一、二部分-月报综述及经营指标完成情况（财务3月报）4.7 9" xfId="4840"/>
    <cellStyle name="好_第一、二部分-月报综述及经营指标完成情况（财务5月报）6.2" xfId="4841"/>
    <cellStyle name="好_第一、二部分-月报综述及经营指标完成情况（财务5月报）6.2 2" xfId="4842"/>
    <cellStyle name="好_第一、二部分-月报综述及经营指标完成情况（财务5月报）6.2 2 2" xfId="4843"/>
    <cellStyle name="好_第一、二部分-月报综述及经营指标完成情况（财务5月报）6.2 2 2 2" xfId="4844"/>
    <cellStyle name="好_第一、二部分-月报综述及经营指标完成情况（财务5月报）6.2 2 2 2 2" xfId="4845"/>
    <cellStyle name="好_第一、二部分-月报综述及经营指标完成情况（财务5月报）6.2 2 2 3" xfId="4846"/>
    <cellStyle name="好_第一、二部分-月报综述及经营指标完成情况（财务5月报）6.2 2 2 3 2" xfId="4847"/>
    <cellStyle name="好_第一、二部分-月报综述及经营指标完成情况（财务5月报）6.2 2 2 4" xfId="4848"/>
    <cellStyle name="好_第一、二部分-月报综述及经营指标完成情况（财务5月报）6.2 2 2 4 2" xfId="4849"/>
    <cellStyle name="好_第一、二部分-月报综述及经营指标完成情况（财务5月报）6.2 2 2 5" xfId="4850"/>
    <cellStyle name="好_第一、二部分-月报综述及经营指标完成情况（财务5月报）6.2 2 2 5 2" xfId="4851"/>
    <cellStyle name="好_第一、二部分-月报综述及经营指标完成情况（财务5月报）6.2 2 2 6" xfId="4852"/>
    <cellStyle name="好_第一、二部分-月报综述及经营指标完成情况（财务5月报）6.2 2 2 6 2" xfId="4853"/>
    <cellStyle name="好_第一、二部分-月报综述及经营指标完成情况（财务5月报）6.2 2 2 7" xfId="4854"/>
    <cellStyle name="好_第一、二部分-月报综述及经营指标完成情况（财务5月报）6.2 2 3" xfId="4855"/>
    <cellStyle name="好_第一、二部分-月报综述及经营指标完成情况（财务5月报）6.2 2 3 2" xfId="4856"/>
    <cellStyle name="好_第一、二部分-月报综述及经营指标完成情况（财务5月报）6.2 2 4" xfId="4857"/>
    <cellStyle name="好_第一、二部分-月报综述及经营指标完成情况（财务5月报）6.2 2 4 2" xfId="4858"/>
    <cellStyle name="好_第一、二部分-月报综述及经营指标完成情况（财务5月报）6.2 2 5" xfId="4859"/>
    <cellStyle name="好_第一、二部分-月报综述及经营指标完成情况（财务5月报）6.2 2 5 2" xfId="4860"/>
    <cellStyle name="好_第一、二部分-月报综述及经营指标完成情况（财务5月报）6.2 2 6" xfId="4861"/>
    <cellStyle name="好_第一、二部分-月报综述及经营指标完成情况（财务5月报）6.2 2 6 2" xfId="4862"/>
    <cellStyle name="好_第一、二部分-月报综述及经营指标完成情况（财务5月报）6.2 2 7" xfId="4863"/>
    <cellStyle name="好_第一、二部分-月报综述及经营指标完成情况（财务5月报）6.2 2 7 2" xfId="4864"/>
    <cellStyle name="好_第一、二部分-月报综述及经营指标完成情况（财务5月报）6.2 2 8" xfId="4865"/>
    <cellStyle name="好_第一、二部分-月报综述及经营指标完成情况（财务5月报）6.2 3" xfId="4866"/>
    <cellStyle name="好_第一、二部分-月报综述及经营指标完成情况（财务5月报）6.2 3 2" xfId="4867"/>
    <cellStyle name="好_第一、二部分-月报综述及经营指标完成情况（财务5月报）6.2 3 2 2" xfId="4868"/>
    <cellStyle name="好_第一、二部分-月报综述及经营指标完成情况（财务5月报）6.2 3 3" xfId="4869"/>
    <cellStyle name="好_第一、二部分-月报综述及经营指标完成情况（财务5月报）6.2 3 3 2" xfId="4870"/>
    <cellStyle name="好_第一、二部分-月报综述及经营指标完成情况（财务5月报）6.2 3 4" xfId="4871"/>
    <cellStyle name="好_第一、二部分-月报综述及经营指标完成情况（财务5月报）6.2 3 4 2" xfId="4872"/>
    <cellStyle name="好_第一、二部分-月报综述及经营指标完成情况（财务5月报）6.2 3 5" xfId="4873"/>
    <cellStyle name="好_第一、二部分-月报综述及经营指标完成情况（财务5月报）6.2 3 5 2" xfId="4874"/>
    <cellStyle name="好_第一、二部分-月报综述及经营指标完成情况（财务5月报）6.2 3 6" xfId="4875"/>
    <cellStyle name="好_第一、二部分-月报综述及经营指标完成情况（财务5月报）6.2 3 6 2" xfId="4876"/>
    <cellStyle name="好_第一、二部分-月报综述及经营指标完成情况（财务5月报）6.2 3 7" xfId="4877"/>
    <cellStyle name="好_第一、二部分-月报综述及经营指标完成情况（财务5月报）6.2 4" xfId="4878"/>
    <cellStyle name="好_第一、二部分-月报综述及经营指标完成情况（财务5月报）6.2 4 2" xfId="4879"/>
    <cellStyle name="好_第一、二部分-月报综述及经营指标完成情况（财务5月报）6.2 5" xfId="4880"/>
    <cellStyle name="好_第一、二部分-月报综述及经营指标完成情况（财务5月报）6.2 5 2" xfId="4881"/>
    <cellStyle name="好_第一、二部分-月报综述及经营指标完成情况（财务5月报）6.2 6" xfId="4882"/>
    <cellStyle name="好_第一、二部分-月报综述及经营指标完成情况（财务5月报）6.2 6 2" xfId="4883"/>
    <cellStyle name="好_第一、二部分-月报综述及经营指标完成情况（财务5月报）6.2 7" xfId="4884"/>
    <cellStyle name="好_第一、二部分-月报综述及经营指标完成情况（财务5月报）6.2 7 2" xfId="4885"/>
    <cellStyle name="好_第一、二部分-月报综述及经营指标完成情况（财务5月报）6.2 8" xfId="4886"/>
    <cellStyle name="好_第一、二部分-月报综述及经营指标完成情况（财务5月报）6.2 8 2" xfId="4887"/>
    <cellStyle name="好_第一、二部分-月报综述及经营指标完成情况（财务5月报）6.2 9" xfId="4888"/>
    <cellStyle name="好_汇报测算201007 (2)" xfId="4889"/>
    <cellStyle name="好_晶元南块目标成本测算-规划方案批复20090514-含财务-报批稿" xfId="4890"/>
    <cellStyle name="好_开工前土地摊销-总" xfId="4891"/>
    <cellStyle name="好_开工前土地摊销-总 2" xfId="4892"/>
    <cellStyle name="好_理想城市成本数据0707（财务部）" xfId="4893"/>
    <cellStyle name="好_理想城市成本数据0707（财务部） 2" xfId="4894"/>
    <cellStyle name="好_理想城市成本数据0707（财务部） 2 2" xfId="4895"/>
    <cellStyle name="好_理想城市成本数据0707（财务部） 2 2 2" xfId="4896"/>
    <cellStyle name="好_理想城市成本数据0707（财务部） 2 2 2 2" xfId="4897"/>
    <cellStyle name="好_理想城市成本数据0707（财务部） 2 2 3" xfId="4898"/>
    <cellStyle name="好_理想城市成本数据0707（财务部） 2 2 3 2" xfId="4899"/>
    <cellStyle name="好_理想城市成本数据0707（财务部） 2 2 4" xfId="4900"/>
    <cellStyle name="好_理想城市成本数据0707（财务部） 2 2 4 2" xfId="4901"/>
    <cellStyle name="好_理想城市成本数据0707（财务部） 2 2 5" xfId="4902"/>
    <cellStyle name="好_理想城市成本数据0707（财务部） 2 2 5 2" xfId="4903"/>
    <cellStyle name="好_理想城市成本数据0707（财务部） 2 2 6" xfId="4904"/>
    <cellStyle name="好_理想城市成本数据0707（财务部） 2 2 6 2" xfId="4905"/>
    <cellStyle name="好_理想城市成本数据0707（财务部） 2 2 7" xfId="4906"/>
    <cellStyle name="好_理想城市成本数据0707（财务部） 2 3" xfId="4907"/>
    <cellStyle name="好_理想城市成本数据0707（财务部） 2 3 2" xfId="4908"/>
    <cellStyle name="好_理想城市成本数据0707（财务部） 2 4" xfId="4909"/>
    <cellStyle name="好_理想城市成本数据0707（财务部） 2 4 2" xfId="4910"/>
    <cellStyle name="好_理想城市成本数据0707（财务部） 2 5" xfId="4911"/>
    <cellStyle name="好_理想城市成本数据0707（财务部） 2 5 2" xfId="4912"/>
    <cellStyle name="好_理想城市成本数据0707（财务部） 2 6" xfId="4913"/>
    <cellStyle name="好_理想城市成本数据0707（财务部） 2 6 2" xfId="4914"/>
    <cellStyle name="好_理想城市成本数据0707（财务部） 2 7" xfId="4915"/>
    <cellStyle name="好_理想城市成本数据0707（财务部） 2 7 2" xfId="4916"/>
    <cellStyle name="好_理想城市成本数据0707（财务部） 2 8" xfId="4917"/>
    <cellStyle name="好_理想城市成本数据0707（财务部） 3" xfId="4918"/>
    <cellStyle name="好_理想城市成本数据0707（财务部） 3 2" xfId="4919"/>
    <cellStyle name="好_理想城市成本数据0707（财务部） 3 2 2" xfId="4920"/>
    <cellStyle name="好_理想城市成本数据0707（财务部） 3 3" xfId="4921"/>
    <cellStyle name="好_理想城市成本数据0707（财务部） 3 3 2" xfId="4922"/>
    <cellStyle name="好_理想城市成本数据0707（财务部） 3 4" xfId="4923"/>
    <cellStyle name="好_理想城市成本数据0707（财务部） 3 4 2" xfId="4924"/>
    <cellStyle name="好_理想城市成本数据0707（财务部） 3 5" xfId="4925"/>
    <cellStyle name="好_理想城市成本数据0707（财务部） 3 5 2" xfId="4926"/>
    <cellStyle name="好_理想城市成本数据0707（财务部） 3 6" xfId="4927"/>
    <cellStyle name="好_理想城市成本数据0707（财务部） 3 6 2" xfId="4928"/>
    <cellStyle name="好_理想城市成本数据0707（财务部） 3 7" xfId="4929"/>
    <cellStyle name="好_理想城市成本数据0707（财务部） 4" xfId="4930"/>
    <cellStyle name="好_理想城市成本数据0707（财务部） 4 2" xfId="4931"/>
    <cellStyle name="好_理想城市成本数据0707（财务部） 5" xfId="4932"/>
    <cellStyle name="好_理想城市成本数据0707（财务部） 5 2" xfId="4933"/>
    <cellStyle name="好_理想城市成本数据0707（财务部） 6" xfId="4934"/>
    <cellStyle name="好_理想城市成本数据0707（财务部） 6 2" xfId="4935"/>
    <cellStyle name="好_理想城市成本数据0707（财务部） 7" xfId="4936"/>
    <cellStyle name="好_理想城市成本数据0707（财务部） 7 2" xfId="4937"/>
    <cellStyle name="好_理想城市成本数据0707（财务部） 8" xfId="4938"/>
    <cellStyle name="好_理想城市成本数据0707（财务部） 8 2" xfId="4939"/>
    <cellStyle name="好_理想城市成本数据0707（财务部） 9" xfId="4940"/>
    <cellStyle name="好_理想城市项目B2地块第五期G3,G4#楼" xfId="4941"/>
    <cellStyle name="好_理想城市项目B2地块第五期G3,G4#楼 2" xfId="4942"/>
    <cellStyle name="好_理想城市项目B2地块第五期G3,G4#楼 2 2" xfId="4943"/>
    <cellStyle name="好_理想城市项目B2地块第五期G3,G4#楼 2 2 2" xfId="4944"/>
    <cellStyle name="好_理想城市项目B2地块第五期G3,G4#楼 2 2 2 2" xfId="4945"/>
    <cellStyle name="好_理想城市项目B2地块第五期G3,G4#楼 2 2 3" xfId="4946"/>
    <cellStyle name="好_理想城市项目B2地块第五期G3,G4#楼 2 2 3 2" xfId="4947"/>
    <cellStyle name="好_理想城市项目B2地块第五期G3,G4#楼 2 2 4" xfId="4948"/>
    <cellStyle name="好_理想城市项目B2地块第五期G3,G4#楼 2 2 4 2" xfId="4949"/>
    <cellStyle name="好_理想城市项目B2地块第五期G3,G4#楼 2 2 5" xfId="4950"/>
    <cellStyle name="好_理想城市项目B2地块第五期G3,G4#楼 2 2 5 2" xfId="4951"/>
    <cellStyle name="好_理想城市项目B2地块第五期G3,G4#楼 2 2 6" xfId="4952"/>
    <cellStyle name="好_理想城市项目B2地块第五期G3,G4#楼 2 2 6 2" xfId="4953"/>
    <cellStyle name="好_理想城市项目B2地块第五期G3,G4#楼 2 2 7" xfId="4954"/>
    <cellStyle name="好_理想城市项目B2地块第五期G3,G4#楼 2 3" xfId="4955"/>
    <cellStyle name="好_理想城市项目B2地块第五期G3,G4#楼 2 3 2" xfId="4956"/>
    <cellStyle name="好_理想城市项目B2地块第五期G3,G4#楼 2 4" xfId="4957"/>
    <cellStyle name="好_理想城市项目B2地块第五期G3,G4#楼 2 4 2" xfId="4958"/>
    <cellStyle name="好_理想城市项目B2地块第五期G3,G4#楼 2 5" xfId="4959"/>
    <cellStyle name="好_理想城市项目B2地块第五期G3,G4#楼 2 5 2" xfId="4960"/>
    <cellStyle name="好_理想城市项目B2地块第五期G3,G4#楼 2 6" xfId="4961"/>
    <cellStyle name="好_理想城市项目B2地块第五期G3,G4#楼 2 6 2" xfId="4962"/>
    <cellStyle name="好_理想城市项目B2地块第五期G3,G4#楼 2 7" xfId="4963"/>
    <cellStyle name="好_理想城市项目B2地块第五期G3,G4#楼 2 7 2" xfId="4964"/>
    <cellStyle name="好_理想城市项目B2地块第五期G3,G4#楼 2 8" xfId="4965"/>
    <cellStyle name="好_理想城市项目B2地块第五期G3,G4#楼 3" xfId="4966"/>
    <cellStyle name="好_理想城市项目B2地块第五期G3,G4#楼 3 2" xfId="4967"/>
    <cellStyle name="好_理想城市项目B2地块第五期G3,G4#楼 3 2 2" xfId="4968"/>
    <cellStyle name="好_理想城市项目B2地块第五期G3,G4#楼 3 3" xfId="4969"/>
    <cellStyle name="好_理想城市项目B2地块第五期G3,G4#楼 3 3 2" xfId="4970"/>
    <cellStyle name="好_理想城市项目B2地块第五期G3,G4#楼 3 4" xfId="4971"/>
    <cellStyle name="好_理想城市项目B2地块第五期G3,G4#楼 3 4 2" xfId="4972"/>
    <cellStyle name="好_理想城市项目B2地块第五期G3,G4#楼 3 5" xfId="4973"/>
    <cellStyle name="好_理想城市项目B2地块第五期G3,G4#楼 3 5 2" xfId="4974"/>
    <cellStyle name="好_理想城市项目B2地块第五期G3,G4#楼 3 6" xfId="4975"/>
    <cellStyle name="好_理想城市项目B2地块第五期G3,G4#楼 3 6 2" xfId="4976"/>
    <cellStyle name="好_理想城市项目B2地块第五期G3,G4#楼 3 7" xfId="4977"/>
    <cellStyle name="好_理想城市项目B2地块第五期G3,G4#楼 4" xfId="4978"/>
    <cellStyle name="好_理想城市项目B2地块第五期G3,G4#楼 4 2" xfId="4979"/>
    <cellStyle name="好_理想城市项目B2地块第五期G3,G4#楼 5" xfId="4980"/>
    <cellStyle name="好_理想城市项目B2地块第五期G3,G4#楼 5 2" xfId="4981"/>
    <cellStyle name="好_理想城市项目B2地块第五期G3,G4#楼 6" xfId="4982"/>
    <cellStyle name="好_理想城市项目B2地块第五期G3,G4#楼 6 2" xfId="4983"/>
    <cellStyle name="好_理想城市项目B2地块第五期G3,G4#楼 7" xfId="4984"/>
    <cellStyle name="好_理想城市项目B2地块第五期G3,G4#楼 7 2" xfId="4985"/>
    <cellStyle name="好_理想城市项目B2地块第五期G3,G4#楼 8" xfId="4986"/>
    <cellStyle name="好_理想城市项目B2地块第五期G3,G4#楼 8 2" xfId="4987"/>
    <cellStyle name="好_理想城市项目B2地块第五期G3,G4#楼 9" xfId="4988"/>
    <cellStyle name="好_理想城市项目B2地块第五期G5#楼" xfId="4989"/>
    <cellStyle name="好_理想城市项目B2地块第五期G5#楼 2" xfId="4990"/>
    <cellStyle name="好_理想城市项目B2地块第五期G5#楼 2 2" xfId="4991"/>
    <cellStyle name="好_理想城市项目B2地块第五期G5#楼 2 2 2" xfId="4992"/>
    <cellStyle name="好_理想城市项目B2地块第五期G5#楼 2 2 2 2" xfId="4993"/>
    <cellStyle name="好_理想城市项目B2地块第五期G5#楼 2 2 3" xfId="4994"/>
    <cellStyle name="好_理想城市项目B2地块第五期G5#楼 2 2 3 2" xfId="4995"/>
    <cellStyle name="好_理想城市项目B2地块第五期G5#楼 2 2 4" xfId="4996"/>
    <cellStyle name="好_理想城市项目B2地块第五期G5#楼 2 2 4 2" xfId="4997"/>
    <cellStyle name="好_理想城市项目B2地块第五期G5#楼 2 2 5" xfId="4998"/>
    <cellStyle name="好_理想城市项目B2地块第五期G5#楼 2 2 5 2" xfId="4999"/>
    <cellStyle name="好_理想城市项目B2地块第五期G5#楼 2 2 6" xfId="5000"/>
    <cellStyle name="好_理想城市项目B2地块第五期G5#楼 2 2 6 2" xfId="5001"/>
    <cellStyle name="好_理想城市项目B2地块第五期G5#楼 2 2 7" xfId="5002"/>
    <cellStyle name="好_理想城市项目B2地块第五期G5#楼 2 3" xfId="5003"/>
    <cellStyle name="好_理想城市项目B2地块第五期G5#楼 2 3 2" xfId="5004"/>
    <cellStyle name="好_理想城市项目B2地块第五期G5#楼 2 4" xfId="5005"/>
    <cellStyle name="好_理想城市项目B2地块第五期G5#楼 2 4 2" xfId="5006"/>
    <cellStyle name="好_理想城市项目B2地块第五期G5#楼 2 5" xfId="5007"/>
    <cellStyle name="好_理想城市项目B2地块第五期G5#楼 2 5 2" xfId="5008"/>
    <cellStyle name="好_理想城市项目B2地块第五期G5#楼 2 6" xfId="5009"/>
    <cellStyle name="好_理想城市项目B2地块第五期G5#楼 2 6 2" xfId="5010"/>
    <cellStyle name="好_理想城市项目B2地块第五期G5#楼 2 7" xfId="5011"/>
    <cellStyle name="好_理想城市项目B2地块第五期G5#楼 2 7 2" xfId="5012"/>
    <cellStyle name="好_理想城市项目B2地块第五期G5#楼 2 8" xfId="5013"/>
    <cellStyle name="好_理想城市项目B2地块第五期G5#楼 3" xfId="5014"/>
    <cellStyle name="好_理想城市项目B2地块第五期G5#楼 3 2" xfId="5015"/>
    <cellStyle name="好_理想城市项目B2地块第五期G5#楼 3 2 2" xfId="5016"/>
    <cellStyle name="好_理想城市项目B2地块第五期G5#楼 3 3" xfId="5017"/>
    <cellStyle name="好_理想城市项目B2地块第五期G5#楼 3 3 2" xfId="5018"/>
    <cellStyle name="好_理想城市项目B2地块第五期G5#楼 3 4" xfId="5019"/>
    <cellStyle name="好_理想城市项目B2地块第五期G5#楼 3 4 2" xfId="5020"/>
    <cellStyle name="好_理想城市项目B2地块第五期G5#楼 3 5" xfId="5021"/>
    <cellStyle name="好_理想城市项目B2地块第五期G5#楼 3 5 2" xfId="5022"/>
    <cellStyle name="好_理想城市项目B2地块第五期G5#楼 3 6" xfId="5023"/>
    <cellStyle name="好_理想城市项目B2地块第五期G5#楼 3 6 2" xfId="5024"/>
    <cellStyle name="好_理想城市项目B2地块第五期G5#楼 3 7" xfId="5025"/>
    <cellStyle name="好_理想城市项目B2地块第五期G5#楼 4" xfId="5026"/>
    <cellStyle name="好_理想城市项目B2地块第五期G5#楼 4 2" xfId="5027"/>
    <cellStyle name="好_理想城市项目B2地块第五期G5#楼 5" xfId="5028"/>
    <cellStyle name="好_理想城市项目B2地块第五期G5#楼 5 2" xfId="5029"/>
    <cellStyle name="好_理想城市项目B2地块第五期G5#楼 6" xfId="5030"/>
    <cellStyle name="好_理想城市项目B2地块第五期G5#楼 6 2" xfId="5031"/>
    <cellStyle name="好_理想城市项目B2地块第五期G5#楼 7" xfId="5032"/>
    <cellStyle name="好_理想城市项目B2地块第五期G5#楼 7 2" xfId="5033"/>
    <cellStyle name="好_理想城市项目B2地块第五期G5#楼 8" xfId="5034"/>
    <cellStyle name="好_理想城市项目B2地块第五期G5#楼 8 2" xfId="5035"/>
    <cellStyle name="好_理想城市项目B2地块第五期G5#楼 9" xfId="5036"/>
    <cellStyle name="好_利息资本化" xfId="5037"/>
    <cellStyle name="好_浦江商业1号地块目标成本20110227(02月动态）" xfId="5038"/>
    <cellStyle name="好_旗忠指标-2012.03.30" xfId="5039"/>
    <cellStyle name="好_前期费用汇总" xfId="5040"/>
    <cellStyle name="好_人防地下车库" xfId="5041"/>
    <cellStyle name="好_上海黄浦湾经营计划20121029" xfId="5042"/>
    <cellStyle name="好_上海黄浦湾经营计划20121029 2" xfId="5043"/>
    <cellStyle name="好_上海唐镇-第一稿" xfId="5044"/>
    <cellStyle name="好_苏州桃花源-0116经营计划" xfId="5045"/>
    <cellStyle name="好_新桥地块规划指标销售计划" xfId="5046"/>
    <cellStyle name="好_新桥地块规划指标——销售计划" xfId="5047"/>
    <cellStyle name="好_徐虹北路地块规划指标" xfId="5048"/>
    <cellStyle name="好_徐虹北路地块规划指标0521" xfId="5049"/>
    <cellStyle name="好_样本-每月费用" xfId="5050"/>
    <cellStyle name="好_样本-每月费用 2" xfId="5051"/>
    <cellStyle name="好_样本-每月费用 3" xfId="5052"/>
    <cellStyle name="好_样本-每月费用 4" xfId="5053"/>
    <cellStyle name="好_一线公司运营计划分析表-模板-修正(北区)" xfId="5054"/>
    <cellStyle name="好_重固测算表11年3月15日（东块）终稿成本" xfId="5055"/>
    <cellStyle name="好_资本承担（新）" xfId="5056"/>
    <cellStyle name="桁区切り [0.00]_TTAMC固定資産リスト" xfId="5057"/>
    <cellStyle name="后继超级链接" xfId="5058"/>
    <cellStyle name="汇总 10" xfId="5059"/>
    <cellStyle name="汇总 10 2" xfId="5060"/>
    <cellStyle name="汇总 11" xfId="5061"/>
    <cellStyle name="汇总 11 2" xfId="5062"/>
    <cellStyle name="汇总 12" xfId="5063"/>
    <cellStyle name="汇总 2" xfId="5064"/>
    <cellStyle name="汇总 2 10" xfId="5065"/>
    <cellStyle name="汇总 2 2" xfId="5066"/>
    <cellStyle name="汇总 2 2 2" xfId="5067"/>
    <cellStyle name="汇总 2 2 2 2" xfId="5068"/>
    <cellStyle name="汇总 2 2 2 3" xfId="5069"/>
    <cellStyle name="汇总 2 2 2 4" xfId="5070"/>
    <cellStyle name="汇总 2 2 3" xfId="5071"/>
    <cellStyle name="汇总 2 2 4" xfId="5072"/>
    <cellStyle name="汇总 2 2 5" xfId="5073"/>
    <cellStyle name="汇总 2 3" xfId="5074"/>
    <cellStyle name="汇总 2 3 2" xfId="5075"/>
    <cellStyle name="汇总 2 3 3" xfId="5076"/>
    <cellStyle name="汇总 2 3 4" xfId="5077"/>
    <cellStyle name="汇总 2 4" xfId="5078"/>
    <cellStyle name="汇总 2 4 2" xfId="5079"/>
    <cellStyle name="汇总 2 4 3" xfId="5080"/>
    <cellStyle name="汇总 2 4 4" xfId="5081"/>
    <cellStyle name="汇总 2 5" xfId="5082"/>
    <cellStyle name="汇总 2 5 2" xfId="5083"/>
    <cellStyle name="汇总 2 5 3" xfId="5084"/>
    <cellStyle name="汇总 2 5 4" xfId="5085"/>
    <cellStyle name="汇总 2 6" xfId="5086"/>
    <cellStyle name="汇总 2 6 2" xfId="5087"/>
    <cellStyle name="汇总 2 6 3" xfId="5088"/>
    <cellStyle name="汇总 2 6 4" xfId="5089"/>
    <cellStyle name="汇总 2 7" xfId="5090"/>
    <cellStyle name="汇总 2 7 2" xfId="5091"/>
    <cellStyle name="汇总 2 7 3" xfId="5092"/>
    <cellStyle name="汇总 2 7 4" xfId="5093"/>
    <cellStyle name="汇总 2 8" xfId="5094"/>
    <cellStyle name="汇总 2 8 2" xfId="5095"/>
    <cellStyle name="汇总 2 8 3" xfId="5096"/>
    <cellStyle name="汇总 2 8 4" xfId="5097"/>
    <cellStyle name="汇总 2 9" xfId="5098"/>
    <cellStyle name="汇总 3" xfId="5099"/>
    <cellStyle name="汇总 3 2" xfId="5100"/>
    <cellStyle name="汇总 4" xfId="5101"/>
    <cellStyle name="汇总 4 2" xfId="5102"/>
    <cellStyle name="汇总 5" xfId="5103"/>
    <cellStyle name="汇总 5 2" xfId="5104"/>
    <cellStyle name="汇总 6" xfId="5105"/>
    <cellStyle name="汇总 6 2" xfId="5106"/>
    <cellStyle name="汇总 7" xfId="5107"/>
    <cellStyle name="汇总 7 2" xfId="5108"/>
    <cellStyle name="汇总 8" xfId="5109"/>
    <cellStyle name="汇总 8 2" xfId="5110"/>
    <cellStyle name="汇总 9" xfId="5111"/>
    <cellStyle name="汇总 9 2" xfId="5112"/>
    <cellStyle name="货币 2" xfId="5113"/>
    <cellStyle name="货币 2 2" xfId="5114"/>
    <cellStyle name="货币 2 3" xfId="5115"/>
    <cellStyle name="货币 2 4" xfId="5116"/>
    <cellStyle name="货币 2 5" xfId="5117"/>
    <cellStyle name="货币 2 6" xfId="5118"/>
    <cellStyle name="貨幣 [0]_Consol_Auditor_first draft" xfId="5119"/>
    <cellStyle name="貨幣_Consol_Auditor_first draft" xfId="5120"/>
    <cellStyle name="计算 10" xfId="5121"/>
    <cellStyle name="计算 10 2" xfId="5122"/>
    <cellStyle name="计算 11" xfId="5123"/>
    <cellStyle name="计算 11 2" xfId="5124"/>
    <cellStyle name="计算 12" xfId="5125"/>
    <cellStyle name="计算 2" xfId="5126"/>
    <cellStyle name="计算 2 10" xfId="5127"/>
    <cellStyle name="计算 2 2" xfId="5128"/>
    <cellStyle name="计算 2 2 2" xfId="5129"/>
    <cellStyle name="计算 2 2 2 2" xfId="5130"/>
    <cellStyle name="计算 2 2 2 3" xfId="5131"/>
    <cellStyle name="计算 2 2 2 4" xfId="5132"/>
    <cellStyle name="计算 2 2 3" xfId="5133"/>
    <cellStyle name="计算 2 2 4" xfId="5134"/>
    <cellStyle name="计算 2 2 5" xfId="5135"/>
    <cellStyle name="计算 2 2_样本-每月费用" xfId="5136"/>
    <cellStyle name="计算 2 3" xfId="5137"/>
    <cellStyle name="计算 2 3 2" xfId="5138"/>
    <cellStyle name="计算 2 3 3" xfId="5139"/>
    <cellStyle name="计算 2 3 4" xfId="5140"/>
    <cellStyle name="计算 2 4" xfId="5141"/>
    <cellStyle name="计算 2 4 2" xfId="5142"/>
    <cellStyle name="计算 2 4 3" xfId="5143"/>
    <cellStyle name="计算 2 4 4" xfId="5144"/>
    <cellStyle name="计算 2 5" xfId="5145"/>
    <cellStyle name="计算 2 5 2" xfId="5146"/>
    <cellStyle name="计算 2 5 3" xfId="5147"/>
    <cellStyle name="计算 2 5 4" xfId="5148"/>
    <cellStyle name="计算 2 6" xfId="5149"/>
    <cellStyle name="计算 2 6 2" xfId="5150"/>
    <cellStyle name="计算 2 6 3" xfId="5151"/>
    <cellStyle name="计算 2 6 4" xfId="5152"/>
    <cellStyle name="计算 2 7" xfId="5153"/>
    <cellStyle name="计算 2 7 2" xfId="5154"/>
    <cellStyle name="计算 2 7 3" xfId="5155"/>
    <cellStyle name="计算 2 7 4" xfId="5156"/>
    <cellStyle name="计算 2 8" xfId="5157"/>
    <cellStyle name="计算 2 8 2" xfId="5158"/>
    <cellStyle name="计算 2 8 3" xfId="5159"/>
    <cellStyle name="计算 2 8 4" xfId="5160"/>
    <cellStyle name="计算 2 9" xfId="5161"/>
    <cellStyle name="计算 3" xfId="5162"/>
    <cellStyle name="计算 3 2" xfId="5163"/>
    <cellStyle name="计算 4" xfId="5164"/>
    <cellStyle name="计算 4 2" xfId="5165"/>
    <cellStyle name="计算 5" xfId="5166"/>
    <cellStyle name="计算 5 2" xfId="5167"/>
    <cellStyle name="计算 6" xfId="5168"/>
    <cellStyle name="计算 6 2" xfId="5169"/>
    <cellStyle name="计算 7" xfId="5170"/>
    <cellStyle name="计算 7 2" xfId="5171"/>
    <cellStyle name="计算 8" xfId="5172"/>
    <cellStyle name="计算 8 2" xfId="5173"/>
    <cellStyle name="计算 9" xfId="5174"/>
    <cellStyle name="计算 9 2" xfId="5175"/>
    <cellStyle name="检查单元格 10" xfId="5176"/>
    <cellStyle name="检查单元格 10 2" xfId="5177"/>
    <cellStyle name="检查单元格 11" xfId="5178"/>
    <cellStyle name="检查单元格 11 2" xfId="5179"/>
    <cellStyle name="检查单元格 12" xfId="5180"/>
    <cellStyle name="检查单元格 2" xfId="5181"/>
    <cellStyle name="检查单元格 2 10" xfId="5182"/>
    <cellStyle name="检查单元格 2 2" xfId="5183"/>
    <cellStyle name="检查单元格 2 2 2" xfId="5184"/>
    <cellStyle name="检查单元格 2 2 2 2" xfId="5185"/>
    <cellStyle name="检查单元格 2 2 2 3" xfId="5186"/>
    <cellStyle name="检查单元格 2 2 2 4" xfId="5187"/>
    <cellStyle name="检查单元格 2 2 3" xfId="5188"/>
    <cellStyle name="检查单元格 2 2 4" xfId="5189"/>
    <cellStyle name="检查单元格 2 2 5" xfId="5190"/>
    <cellStyle name="检查单元格 2 2_样本-每月费用" xfId="5191"/>
    <cellStyle name="检查单元格 2 3" xfId="5192"/>
    <cellStyle name="检查单元格 2 3 2" xfId="5193"/>
    <cellStyle name="检查单元格 2 3 3" xfId="5194"/>
    <cellStyle name="检查单元格 2 3 4" xfId="5195"/>
    <cellStyle name="检查单元格 2 4" xfId="5196"/>
    <cellStyle name="检查单元格 2 4 2" xfId="5197"/>
    <cellStyle name="检查单元格 2 4 3" xfId="5198"/>
    <cellStyle name="检查单元格 2 4 4" xfId="5199"/>
    <cellStyle name="检查单元格 2 5" xfId="5200"/>
    <cellStyle name="检查单元格 2 5 2" xfId="5201"/>
    <cellStyle name="检查单元格 2 5 3" xfId="5202"/>
    <cellStyle name="检查单元格 2 5 4" xfId="5203"/>
    <cellStyle name="检查单元格 2 6" xfId="5204"/>
    <cellStyle name="检查单元格 2 6 2" xfId="5205"/>
    <cellStyle name="检查单元格 2 6 3" xfId="5206"/>
    <cellStyle name="检查单元格 2 6 4" xfId="5207"/>
    <cellStyle name="检查单元格 2 7" xfId="5208"/>
    <cellStyle name="检查单元格 2 7 2" xfId="5209"/>
    <cellStyle name="检查单元格 2 7 3" xfId="5210"/>
    <cellStyle name="检查单元格 2 7 4" xfId="5211"/>
    <cellStyle name="检查单元格 2 8" xfId="5212"/>
    <cellStyle name="检查单元格 2 8 2" xfId="5213"/>
    <cellStyle name="检查单元格 2 8 3" xfId="5214"/>
    <cellStyle name="检查单元格 2 8 4" xfId="5215"/>
    <cellStyle name="检查单元格 2 9" xfId="5216"/>
    <cellStyle name="检查单元格 3" xfId="5217"/>
    <cellStyle name="检查单元格 3 2" xfId="5218"/>
    <cellStyle name="检查单元格 4" xfId="5219"/>
    <cellStyle name="检查单元格 4 2" xfId="5220"/>
    <cellStyle name="检查单元格 5" xfId="5221"/>
    <cellStyle name="检查单元格 5 2" xfId="5222"/>
    <cellStyle name="检查单元格 6" xfId="5223"/>
    <cellStyle name="检查单元格 6 2" xfId="5224"/>
    <cellStyle name="检查单元格 7" xfId="5225"/>
    <cellStyle name="检查单元格 7 2" xfId="5226"/>
    <cellStyle name="检查单元格 8" xfId="5227"/>
    <cellStyle name="检查单元格 8 2" xfId="5228"/>
    <cellStyle name="检查单元格 9" xfId="5229"/>
    <cellStyle name="检查单元格 9 2" xfId="5230"/>
    <cellStyle name="解释性文本 10" xfId="5231"/>
    <cellStyle name="解释性文本 10 2" xfId="5232"/>
    <cellStyle name="解释性文本 11" xfId="5233"/>
    <cellStyle name="解释性文本 11 2" xfId="5234"/>
    <cellStyle name="解释性文本 12" xfId="5235"/>
    <cellStyle name="解释性文本 2" xfId="5236"/>
    <cellStyle name="解释性文本 2 10" xfId="5237"/>
    <cellStyle name="解释性文本 2 2" xfId="5238"/>
    <cellStyle name="解释性文本 2 2 2" xfId="5239"/>
    <cellStyle name="解释性文本 2 2 2 2" xfId="5240"/>
    <cellStyle name="解释性文本 2 2 2 3" xfId="5241"/>
    <cellStyle name="解释性文本 2 2 2 4" xfId="5242"/>
    <cellStyle name="解释性文本 2 2 3" xfId="5243"/>
    <cellStyle name="解释性文本 2 2 4" xfId="5244"/>
    <cellStyle name="解释性文本 2 2 5" xfId="5245"/>
    <cellStyle name="解释性文本 2 3" xfId="5246"/>
    <cellStyle name="解释性文本 2 3 2" xfId="5247"/>
    <cellStyle name="解释性文本 2 3 3" xfId="5248"/>
    <cellStyle name="解释性文本 2 3 4" xfId="5249"/>
    <cellStyle name="解释性文本 2 4" xfId="5250"/>
    <cellStyle name="解释性文本 2 4 2" xfId="5251"/>
    <cellStyle name="解释性文本 2 4 3" xfId="5252"/>
    <cellStyle name="解释性文本 2 4 4" xfId="5253"/>
    <cellStyle name="解释性文本 2 5" xfId="5254"/>
    <cellStyle name="解释性文本 2 5 2" xfId="5255"/>
    <cellStyle name="解释性文本 2 5 3" xfId="5256"/>
    <cellStyle name="解释性文本 2 5 4" xfId="5257"/>
    <cellStyle name="解释性文本 2 6" xfId="5258"/>
    <cellStyle name="解释性文本 2 6 2" xfId="5259"/>
    <cellStyle name="解释性文本 2 6 3" xfId="5260"/>
    <cellStyle name="解释性文本 2 6 4" xfId="5261"/>
    <cellStyle name="解释性文本 2 7" xfId="5262"/>
    <cellStyle name="解释性文本 2 7 2" xfId="5263"/>
    <cellStyle name="解释性文本 2 7 3" xfId="5264"/>
    <cellStyle name="解释性文本 2 7 4" xfId="5265"/>
    <cellStyle name="解释性文本 2 8" xfId="5266"/>
    <cellStyle name="解释性文本 2 8 2" xfId="5267"/>
    <cellStyle name="解释性文本 2 8 3" xfId="5268"/>
    <cellStyle name="解释性文本 2 8 4" xfId="5269"/>
    <cellStyle name="解释性文本 2 9" xfId="5270"/>
    <cellStyle name="解释性文本 3" xfId="5271"/>
    <cellStyle name="解释性文本 3 2" xfId="5272"/>
    <cellStyle name="解释性文本 4" xfId="5273"/>
    <cellStyle name="解释性文本 4 2" xfId="5274"/>
    <cellStyle name="解释性文本 5" xfId="5275"/>
    <cellStyle name="解释性文本 5 2" xfId="5276"/>
    <cellStyle name="解释性文本 6" xfId="5277"/>
    <cellStyle name="解释性文本 6 2" xfId="5278"/>
    <cellStyle name="解释性文本 7" xfId="5279"/>
    <cellStyle name="解释性文本 7 2" xfId="5280"/>
    <cellStyle name="解释性文本 8" xfId="5281"/>
    <cellStyle name="解释性文本 8 2" xfId="5282"/>
    <cellStyle name="解释性文本 9" xfId="5283"/>
    <cellStyle name="解释性文本 9 2" xfId="5284"/>
    <cellStyle name="金额" xfId="5285"/>
    <cellStyle name="警告文本 10" xfId="5286"/>
    <cellStyle name="警告文本 10 2" xfId="5287"/>
    <cellStyle name="警告文本 11" xfId="5288"/>
    <cellStyle name="警告文本 11 2" xfId="5289"/>
    <cellStyle name="警告文本 12" xfId="5290"/>
    <cellStyle name="警告文本 2" xfId="5291"/>
    <cellStyle name="警告文本 2 10" xfId="5292"/>
    <cellStyle name="警告文本 2 2" xfId="5293"/>
    <cellStyle name="警告文本 2 2 2" xfId="5294"/>
    <cellStyle name="警告文本 2 2 2 2" xfId="5295"/>
    <cellStyle name="警告文本 2 2 2 3" xfId="5296"/>
    <cellStyle name="警告文本 2 2 2 4" xfId="5297"/>
    <cellStyle name="警告文本 2 2 3" xfId="5298"/>
    <cellStyle name="警告文本 2 2 4" xfId="5299"/>
    <cellStyle name="警告文本 2 2 5" xfId="5300"/>
    <cellStyle name="警告文本 2 3" xfId="5301"/>
    <cellStyle name="警告文本 2 3 2" xfId="5302"/>
    <cellStyle name="警告文本 2 3 3" xfId="5303"/>
    <cellStyle name="警告文本 2 3 4" xfId="5304"/>
    <cellStyle name="警告文本 2 4" xfId="5305"/>
    <cellStyle name="警告文本 2 4 2" xfId="5306"/>
    <cellStyle name="警告文本 2 4 3" xfId="5307"/>
    <cellStyle name="警告文本 2 4 4" xfId="5308"/>
    <cellStyle name="警告文本 2 5" xfId="5309"/>
    <cellStyle name="警告文本 2 5 2" xfId="5310"/>
    <cellStyle name="警告文本 2 5 3" xfId="5311"/>
    <cellStyle name="警告文本 2 5 4" xfId="5312"/>
    <cellStyle name="警告文本 2 6" xfId="5313"/>
    <cellStyle name="警告文本 2 6 2" xfId="5314"/>
    <cellStyle name="警告文本 2 6 3" xfId="5315"/>
    <cellStyle name="警告文本 2 6 4" xfId="5316"/>
    <cellStyle name="警告文本 2 7" xfId="5317"/>
    <cellStyle name="警告文本 2 7 2" xfId="5318"/>
    <cellStyle name="警告文本 2 7 3" xfId="5319"/>
    <cellStyle name="警告文本 2 7 4" xfId="5320"/>
    <cellStyle name="警告文本 2 8" xfId="5321"/>
    <cellStyle name="警告文本 2 8 2" xfId="5322"/>
    <cellStyle name="警告文本 2 8 3" xfId="5323"/>
    <cellStyle name="警告文本 2 8 4" xfId="5324"/>
    <cellStyle name="警告文本 2 9" xfId="5325"/>
    <cellStyle name="警告文本 3" xfId="5326"/>
    <cellStyle name="警告文本 3 2" xfId="5327"/>
    <cellStyle name="警告文本 4" xfId="5328"/>
    <cellStyle name="警告文本 4 2" xfId="5329"/>
    <cellStyle name="警告文本 5" xfId="5330"/>
    <cellStyle name="警告文本 5 2" xfId="5331"/>
    <cellStyle name="警告文本 6" xfId="5332"/>
    <cellStyle name="警告文本 6 2" xfId="5333"/>
    <cellStyle name="警告文本 7" xfId="5334"/>
    <cellStyle name="警告文本 7 2" xfId="5335"/>
    <cellStyle name="警告文本 8" xfId="5336"/>
    <cellStyle name="警告文本 8 2" xfId="5337"/>
    <cellStyle name="警告文本 9" xfId="5338"/>
    <cellStyle name="警告文本 9 2" xfId="5339"/>
    <cellStyle name="链接单元格 10" xfId="5340"/>
    <cellStyle name="链接单元格 10 2" xfId="5341"/>
    <cellStyle name="链接单元格 11" xfId="5342"/>
    <cellStyle name="链接单元格 11 2" xfId="5343"/>
    <cellStyle name="链接单元格 12" xfId="5344"/>
    <cellStyle name="链接单元格 2" xfId="5345"/>
    <cellStyle name="链接单元格 2 10" xfId="5346"/>
    <cellStyle name="链接单元格 2 2" xfId="5347"/>
    <cellStyle name="链接单元格 2 2 2" xfId="5348"/>
    <cellStyle name="链接单元格 2 2 2 2" xfId="5349"/>
    <cellStyle name="链接单元格 2 2 2 3" xfId="5350"/>
    <cellStyle name="链接单元格 2 2 2 4" xfId="5351"/>
    <cellStyle name="链接单元格 2 2 3" xfId="5352"/>
    <cellStyle name="链接单元格 2 2 4" xfId="5353"/>
    <cellStyle name="链接单元格 2 2 5" xfId="5354"/>
    <cellStyle name="链接单元格 2 3" xfId="5355"/>
    <cellStyle name="链接单元格 2 3 2" xfId="5356"/>
    <cellStyle name="链接单元格 2 3 3" xfId="5357"/>
    <cellStyle name="链接单元格 2 3 4" xfId="5358"/>
    <cellStyle name="链接单元格 2 4" xfId="5359"/>
    <cellStyle name="链接单元格 2 4 2" xfId="5360"/>
    <cellStyle name="链接单元格 2 4 3" xfId="5361"/>
    <cellStyle name="链接单元格 2 4 4" xfId="5362"/>
    <cellStyle name="链接单元格 2 5" xfId="5363"/>
    <cellStyle name="链接单元格 2 5 2" xfId="5364"/>
    <cellStyle name="链接单元格 2 5 3" xfId="5365"/>
    <cellStyle name="链接单元格 2 5 4" xfId="5366"/>
    <cellStyle name="链接单元格 2 6" xfId="5367"/>
    <cellStyle name="链接单元格 2 6 2" xfId="5368"/>
    <cellStyle name="链接单元格 2 6 3" xfId="5369"/>
    <cellStyle name="链接单元格 2 6 4" xfId="5370"/>
    <cellStyle name="链接单元格 2 7" xfId="5371"/>
    <cellStyle name="链接单元格 2 7 2" xfId="5372"/>
    <cellStyle name="链接单元格 2 7 3" xfId="5373"/>
    <cellStyle name="链接单元格 2 7 4" xfId="5374"/>
    <cellStyle name="链接单元格 2 8" xfId="5375"/>
    <cellStyle name="链接单元格 2 8 2" xfId="5376"/>
    <cellStyle name="链接单元格 2 8 3" xfId="5377"/>
    <cellStyle name="链接单元格 2 8 4" xfId="5378"/>
    <cellStyle name="链接单元格 2 9" xfId="5379"/>
    <cellStyle name="链接单元格 3" xfId="5380"/>
    <cellStyle name="链接单元格 3 2" xfId="5381"/>
    <cellStyle name="链接单元格 4" xfId="5382"/>
    <cellStyle name="链接单元格 4 2" xfId="5383"/>
    <cellStyle name="链接单元格 5" xfId="5384"/>
    <cellStyle name="链接单元格 5 2" xfId="5385"/>
    <cellStyle name="链接单元格 6" xfId="5386"/>
    <cellStyle name="链接单元格 6 2" xfId="5387"/>
    <cellStyle name="链接单元格 7" xfId="5388"/>
    <cellStyle name="链接单元格 7 2" xfId="5389"/>
    <cellStyle name="链接单元格 8" xfId="5390"/>
    <cellStyle name="链接单元格 8 2" xfId="5391"/>
    <cellStyle name="链接单元格 9" xfId="5392"/>
    <cellStyle name="链接单元格 9 2" xfId="5393"/>
    <cellStyle name="霓付 [0]_97MBO" xfId="5394"/>
    <cellStyle name="霓付_97MBO" xfId="5395"/>
    <cellStyle name="烹拳 [0]_97MBO" xfId="5396"/>
    <cellStyle name="烹拳_97MBO" xfId="5397"/>
    <cellStyle name="普通_ 白土" xfId="5398"/>
    <cellStyle name="千分位[0]_ 白土" xfId="5399"/>
    <cellStyle name="千分位_ 白土" xfId="5400"/>
    <cellStyle name="千位[0]_!!!GO" xfId="5401"/>
    <cellStyle name="千位_!!!GO" xfId="5402"/>
    <cellStyle name="千位分隔 10" xfId="5403"/>
    <cellStyle name="千位分隔 10 10" xfId="5404"/>
    <cellStyle name="千位分隔 10 10 2" xfId="5405"/>
    <cellStyle name="千位分隔 10 11" xfId="5406"/>
    <cellStyle name="千位分隔 10 11 2" xfId="5407"/>
    <cellStyle name="千位分隔 10 12" xfId="5408"/>
    <cellStyle name="千位分隔 10 2" xfId="5409"/>
    <cellStyle name="千位分隔 10 2 2" xfId="5410"/>
    <cellStyle name="千位分隔 10 2 2 2" xfId="5411"/>
    <cellStyle name="千位分隔 10 2 2 3" xfId="5412"/>
    <cellStyle name="千位分隔 10 2 2 4" xfId="5413"/>
    <cellStyle name="千位分隔 10 2 2 5" xfId="5414"/>
    <cellStyle name="千位分隔 10 2 2 6" xfId="5415"/>
    <cellStyle name="千位分隔 10 2 3" xfId="5416"/>
    <cellStyle name="千位分隔 10 2 3 2" xfId="5417"/>
    <cellStyle name="千位分隔 10 2 4" xfId="5418"/>
    <cellStyle name="千位分隔 10 2 4 2" xfId="5419"/>
    <cellStyle name="千位分隔 10 2 5" xfId="5420"/>
    <cellStyle name="千位分隔 10 2 5 2" xfId="5421"/>
    <cellStyle name="千位分隔 10 2 6" xfId="5422"/>
    <cellStyle name="千位分隔 10 3" xfId="5423"/>
    <cellStyle name="千位分隔 10 3 2" xfId="5424"/>
    <cellStyle name="千位分隔 10 3 3" xfId="5425"/>
    <cellStyle name="千位分隔 10 4" xfId="5426"/>
    <cellStyle name="千位分隔 10 4 2" xfId="5427"/>
    <cellStyle name="千位分隔 10 4 3" xfId="5428"/>
    <cellStyle name="千位分隔 10 5" xfId="5429"/>
    <cellStyle name="千位分隔 10 5 2" xfId="5430"/>
    <cellStyle name="千位分隔 10 5 3" xfId="5431"/>
    <cellStyle name="千位分隔 10 6" xfId="5432"/>
    <cellStyle name="千位分隔 10 6 2" xfId="5433"/>
    <cellStyle name="千位分隔 10 6 3" xfId="5434"/>
    <cellStyle name="千位分隔 10 7" xfId="5435"/>
    <cellStyle name="千位分隔 10 7 2" xfId="5436"/>
    <cellStyle name="千位分隔 10 7 3" xfId="5437"/>
    <cellStyle name="千位分隔 10 8" xfId="5438"/>
    <cellStyle name="千位分隔 10 8 2" xfId="5439"/>
    <cellStyle name="千位分隔 10 8 3" xfId="5440"/>
    <cellStyle name="千位分隔 10 9" xfId="5441"/>
    <cellStyle name="千位分隔 10 9 2" xfId="5442"/>
    <cellStyle name="千位分隔 10 9 3" xfId="5443"/>
    <cellStyle name="千位分隔 10 9 4" xfId="5444"/>
    <cellStyle name="千位分隔 10 9 5" xfId="5445"/>
    <cellStyle name="千位分隔 10 9 6" xfId="5446"/>
    <cellStyle name="千位分隔 10_管理费用" xfId="5447"/>
    <cellStyle name="千位分隔 11" xfId="5448"/>
    <cellStyle name="千位分隔 11 2" xfId="5449"/>
    <cellStyle name="千位分隔 11 2 2" xfId="5450"/>
    <cellStyle name="千位分隔 11 2 3" xfId="5451"/>
    <cellStyle name="千位分隔 11 2 4" xfId="5452"/>
    <cellStyle name="千位分隔 11 3" xfId="5453"/>
    <cellStyle name="千位分隔 11 3 2" xfId="5454"/>
    <cellStyle name="千位分隔 11 3 3" xfId="5455"/>
    <cellStyle name="千位分隔 11 4" xfId="5456"/>
    <cellStyle name="千位分隔 11 4 2" xfId="5457"/>
    <cellStyle name="千位分隔 11 5" xfId="5458"/>
    <cellStyle name="千位分隔 11 5 2" xfId="5459"/>
    <cellStyle name="千位分隔 11 6" xfId="5460"/>
    <cellStyle name="千位分隔 11 6 2" xfId="5461"/>
    <cellStyle name="千位分隔 11 7" xfId="5462"/>
    <cellStyle name="千位分隔 12" xfId="5463"/>
    <cellStyle name="千位分隔 12 2" xfId="5464"/>
    <cellStyle name="千位分隔 12 2 2" xfId="5465"/>
    <cellStyle name="千位分隔 12 2 3" xfId="5466"/>
    <cellStyle name="千位分隔 12 2 4" xfId="5467"/>
    <cellStyle name="千位分隔 12 3" xfId="5468"/>
    <cellStyle name="千位分隔 12 3 2" xfId="5469"/>
    <cellStyle name="千位分隔 12 4" xfId="5470"/>
    <cellStyle name="千位分隔 12 4 2" xfId="5471"/>
    <cellStyle name="千位分隔 12 5" xfId="5472"/>
    <cellStyle name="千位分隔 12 5 2" xfId="5473"/>
    <cellStyle name="千位分隔 12 6" xfId="5474"/>
    <cellStyle name="千位分隔 12 6 2" xfId="5475"/>
    <cellStyle name="千位分隔 12 7" xfId="5476"/>
    <cellStyle name="千位分隔 13" xfId="5477"/>
    <cellStyle name="千位分隔 13 2" xfId="5478"/>
    <cellStyle name="千位分隔 13 2 2" xfId="5479"/>
    <cellStyle name="千位分隔 13 2 3" xfId="5480"/>
    <cellStyle name="千位分隔 13 3" xfId="5481"/>
    <cellStyle name="千位分隔 13 3 2" xfId="5482"/>
    <cellStyle name="千位分隔 13 4" xfId="5483"/>
    <cellStyle name="千位分隔 13 4 2" xfId="5484"/>
    <cellStyle name="千位分隔 13 5" xfId="5485"/>
    <cellStyle name="千位分隔 13 5 2" xfId="5486"/>
    <cellStyle name="千位分隔 13 6" xfId="5487"/>
    <cellStyle name="千位分隔 13 6 2" xfId="5488"/>
    <cellStyle name="千位分隔 13 7" xfId="5489"/>
    <cellStyle name="千位分隔 14" xfId="5490"/>
    <cellStyle name="千位分隔 14 2" xfId="5491"/>
    <cellStyle name="千位分隔 14 3" xfId="5492"/>
    <cellStyle name="千位分隔 14 4" xfId="5493"/>
    <cellStyle name="千位分隔 14 5" xfId="5494"/>
    <cellStyle name="千位分隔 14 6" xfId="5495"/>
    <cellStyle name="千位分隔 15" xfId="5496"/>
    <cellStyle name="千位分隔 15 2" xfId="5497"/>
    <cellStyle name="千位分隔 15 3" xfId="5498"/>
    <cellStyle name="千位分隔 15 4" xfId="5499"/>
    <cellStyle name="千位分隔 15 5" xfId="5500"/>
    <cellStyle name="千位分隔 15 6" xfId="5501"/>
    <cellStyle name="千位分隔 16" xfId="5502"/>
    <cellStyle name="千位分隔 16 2" xfId="5503"/>
    <cellStyle name="千位分隔 16 3" xfId="5504"/>
    <cellStyle name="千位分隔 16 4" xfId="5505"/>
    <cellStyle name="千位分隔 16 5" xfId="5506"/>
    <cellStyle name="千位分隔 16 6" xfId="5507"/>
    <cellStyle name="千位分隔 17" xfId="5508"/>
    <cellStyle name="千位分隔 17 2" xfId="5509"/>
    <cellStyle name="千位分隔 17 3" xfId="5510"/>
    <cellStyle name="千位分隔 17 4" xfId="5511"/>
    <cellStyle name="千位分隔 17 5" xfId="5512"/>
    <cellStyle name="千位分隔 17 6" xfId="5513"/>
    <cellStyle name="千位分隔 18" xfId="5514"/>
    <cellStyle name="千位分隔 18 2" xfId="5515"/>
    <cellStyle name="千位分隔 18 3" xfId="5516"/>
    <cellStyle name="千位分隔 18 4" xfId="5517"/>
    <cellStyle name="千位分隔 18 5" xfId="5518"/>
    <cellStyle name="千位分隔 18 6" xfId="5519"/>
    <cellStyle name="千位分隔 19" xfId="5520"/>
    <cellStyle name="千位分隔 19 2" xfId="5521"/>
    <cellStyle name="千位分隔 19 3" xfId="5522"/>
    <cellStyle name="千位分隔 19 4" xfId="5523"/>
    <cellStyle name="千位分隔 19 5" xfId="5524"/>
    <cellStyle name="千位分隔 19 6" xfId="5525"/>
    <cellStyle name="千位分隔 19 7" xfId="5526"/>
    <cellStyle name="千位分隔 2" xfId="5527"/>
    <cellStyle name="千位分隔 2 10" xfId="5528"/>
    <cellStyle name="千位分隔 2 10 2" xfId="5529"/>
    <cellStyle name="千位分隔 2 10 2 2" xfId="5530"/>
    <cellStyle name="千位分隔 2 10 3" xfId="5531"/>
    <cellStyle name="千位分隔 2 10 3 2" xfId="5532"/>
    <cellStyle name="千位分隔 2 10 4" xfId="5533"/>
    <cellStyle name="千位分隔 2 10 4 2" xfId="5534"/>
    <cellStyle name="千位分隔 2 10 5" xfId="5535"/>
    <cellStyle name="千位分隔 2 10 5 2" xfId="5536"/>
    <cellStyle name="千位分隔 2 10 6" xfId="5537"/>
    <cellStyle name="千位分隔 2 10 6 2" xfId="5538"/>
    <cellStyle name="千位分隔 2 10 7" xfId="5539"/>
    <cellStyle name="千位分隔 2 10 8" xfId="5540"/>
    <cellStyle name="千位分隔 2 11" xfId="5541"/>
    <cellStyle name="千位分隔 2 11 2" xfId="5542"/>
    <cellStyle name="千位分隔 2 11 2 2" xfId="5543"/>
    <cellStyle name="千位分隔 2 11 3" xfId="5544"/>
    <cellStyle name="千位分隔 2 11 3 2" xfId="5545"/>
    <cellStyle name="千位分隔 2 11 4" xfId="5546"/>
    <cellStyle name="千位分隔 2 11 4 2" xfId="5547"/>
    <cellStyle name="千位分隔 2 11 5" xfId="5548"/>
    <cellStyle name="千位分隔 2 11 5 2" xfId="5549"/>
    <cellStyle name="千位分隔 2 11 6" xfId="5550"/>
    <cellStyle name="千位分隔 2 11 6 2" xfId="5551"/>
    <cellStyle name="千位分隔 2 11 7" xfId="5552"/>
    <cellStyle name="千位分隔 2 11 8" xfId="5553"/>
    <cellStyle name="千位分隔 2 12" xfId="5554"/>
    <cellStyle name="千位分隔 2 12 2" xfId="5555"/>
    <cellStyle name="千位分隔 2 13" xfId="5556"/>
    <cellStyle name="千位分隔 2 13 2" xfId="5557"/>
    <cellStyle name="千位分隔 2 14" xfId="5558"/>
    <cellStyle name="千位分隔 2 14 2" xfId="5559"/>
    <cellStyle name="千位分隔 2 15" xfId="5560"/>
    <cellStyle name="千位分隔 2 15 2" xfId="5561"/>
    <cellStyle name="千位分隔 2 16" xfId="5562"/>
    <cellStyle name="千位分隔 2 16 2" xfId="5563"/>
    <cellStyle name="千位分隔 2 17" xfId="5564"/>
    <cellStyle name="千位分隔 2 18" xfId="5565"/>
    <cellStyle name="千位分隔 2 19" xfId="5566"/>
    <cellStyle name="千位分隔 2 2" xfId="5567"/>
    <cellStyle name="千位分隔 2 2 10" xfId="5568"/>
    <cellStyle name="千位分隔 2 2 10 2" xfId="5569"/>
    <cellStyle name="千位分隔 2 2 11" xfId="5570"/>
    <cellStyle name="千位分隔 2 2 11 2" xfId="5571"/>
    <cellStyle name="千位分隔 2 2 12" xfId="5572"/>
    <cellStyle name="千位分隔 2 2 12 2" xfId="5573"/>
    <cellStyle name="千位分隔 2 2 13" xfId="5574"/>
    <cellStyle name="千位分隔 2 2 2" xfId="5575"/>
    <cellStyle name="千位分隔 2 2 2 10" xfId="5576"/>
    <cellStyle name="千位分隔 2 2 2 2" xfId="5577"/>
    <cellStyle name="千位分隔 2 2 2 2 2" xfId="5578"/>
    <cellStyle name="千位分隔 2 2 2 2 2 2" xfId="5579"/>
    <cellStyle name="千位分隔 2 2 2 2 2 2 2" xfId="5580"/>
    <cellStyle name="千位分隔 2 2 2 2 2 2 2 2" xfId="5581"/>
    <cellStyle name="千位分隔 2 2 2 2 2 2 3" xfId="5582"/>
    <cellStyle name="千位分隔 2 2 2 2 2 2 3 2" xfId="5583"/>
    <cellStyle name="千位分隔 2 2 2 2 2 2 4" xfId="5584"/>
    <cellStyle name="千位分隔 2 2 2 2 2 2 4 2" xfId="5585"/>
    <cellStyle name="千位分隔 2 2 2 2 2 2 5" xfId="5586"/>
    <cellStyle name="千位分隔 2 2 2 2 2 2 5 2" xfId="5587"/>
    <cellStyle name="千位分隔 2 2 2 2 2 2 6" xfId="5588"/>
    <cellStyle name="千位分隔 2 2 2 2 2 2 6 2" xfId="5589"/>
    <cellStyle name="千位分隔 2 2 2 2 2 2 7" xfId="5590"/>
    <cellStyle name="千位分隔 2 2 2 2 2 3" xfId="5591"/>
    <cellStyle name="千位分隔 2 2 2 2 2 3 2" xfId="5592"/>
    <cellStyle name="千位分隔 2 2 2 2 2 4" xfId="5593"/>
    <cellStyle name="千位分隔 2 2 2 2 2 4 2" xfId="5594"/>
    <cellStyle name="千位分隔 2 2 2 2 2 5" xfId="5595"/>
    <cellStyle name="千位分隔 2 2 2 2 2 5 2" xfId="5596"/>
    <cellStyle name="千位分隔 2 2 2 2 2 6" xfId="5597"/>
    <cellStyle name="千位分隔 2 2 2 2 2 6 2" xfId="5598"/>
    <cellStyle name="千位分隔 2 2 2 2 2 7" xfId="5599"/>
    <cellStyle name="千位分隔 2 2 2 2 2 7 2" xfId="5600"/>
    <cellStyle name="千位分隔 2 2 2 2 2 8" xfId="5601"/>
    <cellStyle name="千位分隔 2 2 2 2 3" xfId="5602"/>
    <cellStyle name="千位分隔 2 2 2 2 3 2" xfId="5603"/>
    <cellStyle name="千位分隔 2 2 2 2 3 2 2" xfId="5604"/>
    <cellStyle name="千位分隔 2 2 2 2 3 3" xfId="5605"/>
    <cellStyle name="千位分隔 2 2 2 2 3 3 2" xfId="5606"/>
    <cellStyle name="千位分隔 2 2 2 2 3 4" xfId="5607"/>
    <cellStyle name="千位分隔 2 2 2 2 3 4 2" xfId="5608"/>
    <cellStyle name="千位分隔 2 2 2 2 3 5" xfId="5609"/>
    <cellStyle name="千位分隔 2 2 2 2 3 5 2" xfId="5610"/>
    <cellStyle name="千位分隔 2 2 2 2 3 6" xfId="5611"/>
    <cellStyle name="千位分隔 2 2 2 2 3 6 2" xfId="5612"/>
    <cellStyle name="千位分隔 2 2 2 2 3 7" xfId="5613"/>
    <cellStyle name="千位分隔 2 2 2 2 4" xfId="5614"/>
    <cellStyle name="千位分隔 2 2 2 2 4 2" xfId="5615"/>
    <cellStyle name="千位分隔 2 2 2 2 5" xfId="5616"/>
    <cellStyle name="千位分隔 2 2 2 2 5 2" xfId="5617"/>
    <cellStyle name="千位分隔 2 2 2 2 6" xfId="5618"/>
    <cellStyle name="千位分隔 2 2 2 2 6 2" xfId="5619"/>
    <cellStyle name="千位分隔 2 2 2 2 7" xfId="5620"/>
    <cellStyle name="千位分隔 2 2 2 2 7 2" xfId="5621"/>
    <cellStyle name="千位分隔 2 2 2 2 8" xfId="5622"/>
    <cellStyle name="千位分隔 2 2 2 2 8 2" xfId="5623"/>
    <cellStyle name="千位分隔 2 2 2 2 9" xfId="5624"/>
    <cellStyle name="千位分隔 2 2 2 2_销售计划" xfId="5625"/>
    <cellStyle name="千位分隔 2 2 2 3" xfId="5626"/>
    <cellStyle name="千位分隔 2 2 2 3 2" xfId="5627"/>
    <cellStyle name="千位分隔 2 2 2 3 2 2" xfId="5628"/>
    <cellStyle name="千位分隔 2 2 2 3 2 2 2" xfId="5629"/>
    <cellStyle name="千位分隔 2 2 2 3 2 3" xfId="5630"/>
    <cellStyle name="千位分隔 2 2 2 3 2 3 2" xfId="5631"/>
    <cellStyle name="千位分隔 2 2 2 3 2 4" xfId="5632"/>
    <cellStyle name="千位分隔 2 2 2 3 2 4 2" xfId="5633"/>
    <cellStyle name="千位分隔 2 2 2 3 2 5" xfId="5634"/>
    <cellStyle name="千位分隔 2 2 2 3 2 5 2" xfId="5635"/>
    <cellStyle name="千位分隔 2 2 2 3 2 6" xfId="5636"/>
    <cellStyle name="千位分隔 2 2 2 3 2 6 2" xfId="5637"/>
    <cellStyle name="千位分隔 2 2 2 3 2 7" xfId="5638"/>
    <cellStyle name="千位分隔 2 2 2 3 3" xfId="5639"/>
    <cellStyle name="千位分隔 2 2 2 3 3 2" xfId="5640"/>
    <cellStyle name="千位分隔 2 2 2 3 4" xfId="5641"/>
    <cellStyle name="千位分隔 2 2 2 3 4 2" xfId="5642"/>
    <cellStyle name="千位分隔 2 2 2 3 5" xfId="5643"/>
    <cellStyle name="千位分隔 2 2 2 3 5 2" xfId="5644"/>
    <cellStyle name="千位分隔 2 2 2 3 6" xfId="5645"/>
    <cellStyle name="千位分隔 2 2 2 3 6 2" xfId="5646"/>
    <cellStyle name="千位分隔 2 2 2 3 7" xfId="5647"/>
    <cellStyle name="千位分隔 2 2 2 3 7 2" xfId="5648"/>
    <cellStyle name="千位分隔 2 2 2 3 8" xfId="5649"/>
    <cellStyle name="千位分隔 2 2 2 4" xfId="5650"/>
    <cellStyle name="千位分隔 2 2 2 4 2" xfId="5651"/>
    <cellStyle name="千位分隔 2 2 2 4 2 2" xfId="5652"/>
    <cellStyle name="千位分隔 2 2 2 4 3" xfId="5653"/>
    <cellStyle name="千位分隔 2 2 2 4 3 2" xfId="5654"/>
    <cellStyle name="千位分隔 2 2 2 4 4" xfId="5655"/>
    <cellStyle name="千位分隔 2 2 2 4 4 2" xfId="5656"/>
    <cellStyle name="千位分隔 2 2 2 4 5" xfId="5657"/>
    <cellStyle name="千位分隔 2 2 2 4 5 2" xfId="5658"/>
    <cellStyle name="千位分隔 2 2 2 4 6" xfId="5659"/>
    <cellStyle name="千位分隔 2 2 2 4 6 2" xfId="5660"/>
    <cellStyle name="千位分隔 2 2 2 4 7" xfId="5661"/>
    <cellStyle name="千位分隔 2 2 2 5" xfId="5662"/>
    <cellStyle name="千位分隔 2 2 2 5 2" xfId="5663"/>
    <cellStyle name="千位分隔 2 2 2 6" xfId="5664"/>
    <cellStyle name="千位分隔 2 2 2 6 2" xfId="5665"/>
    <cellStyle name="千位分隔 2 2 2 7" xfId="5666"/>
    <cellStyle name="千位分隔 2 2 2 7 2" xfId="5667"/>
    <cellStyle name="千位分隔 2 2 2 8" xfId="5668"/>
    <cellStyle name="千位分隔 2 2 2 8 2" xfId="5669"/>
    <cellStyle name="千位分隔 2 2 2 9" xfId="5670"/>
    <cellStyle name="千位分隔 2 2 2 9 2" xfId="5671"/>
    <cellStyle name="千位分隔 2 2 3" xfId="5672"/>
    <cellStyle name="千位分隔 2 2 3 2" xfId="5673"/>
    <cellStyle name="千位分隔 2 2 3 2 2" xfId="5674"/>
    <cellStyle name="千位分隔 2 2 3 2 2 2" xfId="5675"/>
    <cellStyle name="千位分隔 2 2 3 2 3" xfId="5676"/>
    <cellStyle name="千位分隔 2 2 3 2 3 2" xfId="5677"/>
    <cellStyle name="千位分隔 2 2 3 2 4" xfId="5678"/>
    <cellStyle name="千位分隔 2 2 3 2 4 2" xfId="5679"/>
    <cellStyle name="千位分隔 2 2 3 2 5" xfId="5680"/>
    <cellStyle name="千位分隔 2 2 3 2 5 2" xfId="5681"/>
    <cellStyle name="千位分隔 2 2 3 2 6" xfId="5682"/>
    <cellStyle name="千位分隔 2 2 3 2 6 2" xfId="5683"/>
    <cellStyle name="千位分隔 2 2 3 2 7" xfId="5684"/>
    <cellStyle name="千位分隔 2 2 3 3" xfId="5685"/>
    <cellStyle name="千位分隔 2 2 3 3 2" xfId="5686"/>
    <cellStyle name="千位分隔 2 2 3 4" xfId="5687"/>
    <cellStyle name="千位分隔 2 2 3 4 2" xfId="5688"/>
    <cellStyle name="千位分隔 2 2 3 5" xfId="5689"/>
    <cellStyle name="千位分隔 2 2 3 5 2" xfId="5690"/>
    <cellStyle name="千位分隔 2 2 3 6" xfId="5691"/>
    <cellStyle name="千位分隔 2 2 3 6 2" xfId="5692"/>
    <cellStyle name="千位分隔 2 2 3 7" xfId="5693"/>
    <cellStyle name="千位分隔 2 2 3 7 2" xfId="5694"/>
    <cellStyle name="千位分隔 2 2 3 8" xfId="5695"/>
    <cellStyle name="千位分隔 2 2 4" xfId="5696"/>
    <cellStyle name="千位分隔 2 2 4 2" xfId="5697"/>
    <cellStyle name="千位分隔 2 2 4 2 2" xfId="5698"/>
    <cellStyle name="千位分隔 2 2 4 3" xfId="5699"/>
    <cellStyle name="千位分隔 2 2 4 3 2" xfId="5700"/>
    <cellStyle name="千位分隔 2 2 4 4" xfId="5701"/>
    <cellStyle name="千位分隔 2 2 4 4 2" xfId="5702"/>
    <cellStyle name="千位分隔 2 2 4 5" xfId="5703"/>
    <cellStyle name="千位分隔 2 2 4 5 2" xfId="5704"/>
    <cellStyle name="千位分隔 2 2 4 6" xfId="5705"/>
    <cellStyle name="千位分隔 2 2 4 6 2" xfId="5706"/>
    <cellStyle name="千位分隔 2 2 4 7" xfId="5707"/>
    <cellStyle name="千位分隔 2 2 5" xfId="5708"/>
    <cellStyle name="千位分隔 2 2 5 2" xfId="5709"/>
    <cellStyle name="千位分隔 2 2 5 3" xfId="5710"/>
    <cellStyle name="千位分隔 2 2 5 4" xfId="5711"/>
    <cellStyle name="千位分隔 2 2 6" xfId="5712"/>
    <cellStyle name="千位分隔 2 2 6 2" xfId="5713"/>
    <cellStyle name="千位分隔 2 2 6 3" xfId="5714"/>
    <cellStyle name="千位分隔 2 2 7" xfId="5715"/>
    <cellStyle name="千位分隔 2 2 7 2" xfId="5716"/>
    <cellStyle name="千位分隔 2 2 7 3" xfId="5717"/>
    <cellStyle name="千位分隔 2 2 8" xfId="5718"/>
    <cellStyle name="千位分隔 2 2 8 2" xfId="5719"/>
    <cellStyle name="千位分隔 2 2 8 3" xfId="5720"/>
    <cellStyle name="千位分隔 2 2 9" xfId="5721"/>
    <cellStyle name="千位分隔 2 2 9 2" xfId="5722"/>
    <cellStyle name="千位分隔 2 2 9 3" xfId="5723"/>
    <cellStyle name="千位分隔 2 2 9 4" xfId="5724"/>
    <cellStyle name="千位分隔 2 2 9 5" xfId="5725"/>
    <cellStyle name="千位分隔 2 2 9 6" xfId="5726"/>
    <cellStyle name="千位分隔 2 20" xfId="5727"/>
    <cellStyle name="千位分隔 2 21" xfId="5728"/>
    <cellStyle name="千位分隔 2 22" xfId="5729"/>
    <cellStyle name="千位分隔 2 23" xfId="5730"/>
    <cellStyle name="千位分隔 2 24" xfId="5731"/>
    <cellStyle name="千位分隔 2 25" xfId="5732"/>
    <cellStyle name="千位分隔 2 26" xfId="5733"/>
    <cellStyle name="千位分隔 2 27" xfId="5734"/>
    <cellStyle name="千位分隔 2 28" xfId="5735"/>
    <cellStyle name="千位分隔 2 29" xfId="5736"/>
    <cellStyle name="千位分隔 2 3" xfId="5737"/>
    <cellStyle name="千位分隔 2 3 10" xfId="5738"/>
    <cellStyle name="千位分隔 2 3 10 2" xfId="5739"/>
    <cellStyle name="千位分隔 2 3 11" xfId="5740"/>
    <cellStyle name="千位分隔 2 3 11 2" xfId="5741"/>
    <cellStyle name="千位分隔 2 3 2" xfId="5742"/>
    <cellStyle name="千位分隔 2 3 2 2" xfId="5743"/>
    <cellStyle name="千位分隔 2 3 2 2 2" xfId="5744"/>
    <cellStyle name="千位分隔 2 3 2 2 2 2" xfId="5745"/>
    <cellStyle name="千位分隔 2 3 2 2 3" xfId="5746"/>
    <cellStyle name="千位分隔 2 3 2 2 3 2" xfId="5747"/>
    <cellStyle name="千位分隔 2 3 2 2 4" xfId="5748"/>
    <cellStyle name="千位分隔 2 3 2 2 4 2" xfId="5749"/>
    <cellStyle name="千位分隔 2 3 2 2 5" xfId="5750"/>
    <cellStyle name="千位分隔 2 3 2 2 5 2" xfId="5751"/>
    <cellStyle name="千位分隔 2 3 2 2 6" xfId="5752"/>
    <cellStyle name="千位分隔 2 3 2 2 6 2" xfId="5753"/>
    <cellStyle name="千位分隔 2 3 2 2 7" xfId="5754"/>
    <cellStyle name="千位分隔 2 3 2 3" xfId="5755"/>
    <cellStyle name="千位分隔 2 3 2 3 2" xfId="5756"/>
    <cellStyle name="千位分隔 2 3 2 4" xfId="5757"/>
    <cellStyle name="千位分隔 2 3 2 4 2" xfId="5758"/>
    <cellStyle name="千位分隔 2 3 2 5" xfId="5759"/>
    <cellStyle name="千位分隔 2 3 2 5 2" xfId="5760"/>
    <cellStyle name="千位分隔 2 3 2 6" xfId="5761"/>
    <cellStyle name="千位分隔 2 3 2 6 2" xfId="5762"/>
    <cellStyle name="千位分隔 2 3 2 7" xfId="5763"/>
    <cellStyle name="千位分隔 2 3 2 7 2" xfId="5764"/>
    <cellStyle name="千位分隔 2 3 2 8" xfId="5765"/>
    <cellStyle name="千位分隔 2 3 3" xfId="5766"/>
    <cellStyle name="千位分隔 2 3 3 2" xfId="5767"/>
    <cellStyle name="千位分隔 2 3 3 2 2" xfId="5768"/>
    <cellStyle name="千位分隔 2 3 3 3" xfId="5769"/>
    <cellStyle name="千位分隔 2 3 3 3 2" xfId="5770"/>
    <cellStyle name="千位分隔 2 3 3 4" xfId="5771"/>
    <cellStyle name="千位分隔 2 3 3 4 2" xfId="5772"/>
    <cellStyle name="千位分隔 2 3 3 5" xfId="5773"/>
    <cellStyle name="千位分隔 2 3 3 5 2" xfId="5774"/>
    <cellStyle name="千位分隔 2 3 3 6" xfId="5775"/>
    <cellStyle name="千位分隔 2 3 3 6 2" xfId="5776"/>
    <cellStyle name="千位分隔 2 3 3 7" xfId="5777"/>
    <cellStyle name="千位分隔 2 3 4" xfId="5778"/>
    <cellStyle name="千位分隔 2 3 4 2" xfId="5779"/>
    <cellStyle name="千位分隔 2 3 4 3" xfId="5780"/>
    <cellStyle name="千位分隔 2 3 5" xfId="5781"/>
    <cellStyle name="千位分隔 2 3 5 2" xfId="5782"/>
    <cellStyle name="千位分隔 2 3 5 3" xfId="5783"/>
    <cellStyle name="千位分隔 2 3 6" xfId="5784"/>
    <cellStyle name="千位分隔 2 3 6 2" xfId="5785"/>
    <cellStyle name="千位分隔 2 3 6 3" xfId="5786"/>
    <cellStyle name="千位分隔 2 3 7" xfId="5787"/>
    <cellStyle name="千位分隔 2 3 7 2" xfId="5788"/>
    <cellStyle name="千位分隔 2 3 7 3" xfId="5789"/>
    <cellStyle name="千位分隔 2 3 8" xfId="5790"/>
    <cellStyle name="千位分隔 2 3 8 2" xfId="5791"/>
    <cellStyle name="千位分隔 2 3 8 3" xfId="5792"/>
    <cellStyle name="千位分隔 2 3 9" xfId="5793"/>
    <cellStyle name="千位分隔 2 3 9 2" xfId="5794"/>
    <cellStyle name="千位分隔 2 30" xfId="5795"/>
    <cellStyle name="千位分隔 2 31" xfId="5796"/>
    <cellStyle name="千位分隔 2 32" xfId="5797"/>
    <cellStyle name="千位分隔 2 33" xfId="5798"/>
    <cellStyle name="千位分隔 2 34" xfId="5799"/>
    <cellStyle name="千位分隔 2 35" xfId="5800"/>
    <cellStyle name="千位分隔 2 36" xfId="5801"/>
    <cellStyle name="千位分隔 2 37" xfId="5802"/>
    <cellStyle name="千位分隔 2 38" xfId="5803"/>
    <cellStyle name="千位分隔 2 39" xfId="5804"/>
    <cellStyle name="千位分隔 2 39 2" xfId="5805"/>
    <cellStyle name="千位分隔 2 4" xfId="5806"/>
    <cellStyle name="千位分隔 2 4 10" xfId="5807"/>
    <cellStyle name="千位分隔 2 4 10 2" xfId="5808"/>
    <cellStyle name="千位分隔 2 4 11" xfId="5809"/>
    <cellStyle name="千位分隔 2 4 11 2" xfId="5810"/>
    <cellStyle name="千位分隔 2 4 2" xfId="5811"/>
    <cellStyle name="千位分隔 2 4 2 2" xfId="5812"/>
    <cellStyle name="千位分隔 2 4 2 2 2" xfId="5813"/>
    <cellStyle name="千位分隔 2 4 2 2 2 2" xfId="5814"/>
    <cellStyle name="千位分隔 2 4 2 2 3" xfId="5815"/>
    <cellStyle name="千位分隔 2 4 2 2 3 2" xfId="5816"/>
    <cellStyle name="千位分隔 2 4 2 2 4" xfId="5817"/>
    <cellStyle name="千位分隔 2 4 2 2 4 2" xfId="5818"/>
    <cellStyle name="千位分隔 2 4 2 2 5" xfId="5819"/>
    <cellStyle name="千位分隔 2 4 2 2 5 2" xfId="5820"/>
    <cellStyle name="千位分隔 2 4 2 2 6" xfId="5821"/>
    <cellStyle name="千位分隔 2 4 2 2 6 2" xfId="5822"/>
    <cellStyle name="千位分隔 2 4 2 2 7" xfId="5823"/>
    <cellStyle name="千位分隔 2 4 2 3" xfId="5824"/>
    <cellStyle name="千位分隔 2 4 2 3 2" xfId="5825"/>
    <cellStyle name="千位分隔 2 4 2 4" xfId="5826"/>
    <cellStyle name="千位分隔 2 4 2 4 2" xfId="5827"/>
    <cellStyle name="千位分隔 2 4 2 5" xfId="5828"/>
    <cellStyle name="千位分隔 2 4 2 5 2" xfId="5829"/>
    <cellStyle name="千位分隔 2 4 2 6" xfId="5830"/>
    <cellStyle name="千位分隔 2 4 2 6 2" xfId="5831"/>
    <cellStyle name="千位分隔 2 4 2 7" xfId="5832"/>
    <cellStyle name="千位分隔 2 4 2 7 2" xfId="5833"/>
    <cellStyle name="千位分隔 2 4 2 8" xfId="5834"/>
    <cellStyle name="千位分隔 2 4 3" xfId="5835"/>
    <cellStyle name="千位分隔 2 4 3 2" xfId="5836"/>
    <cellStyle name="千位分隔 2 4 3 2 2" xfId="5837"/>
    <cellStyle name="千位分隔 2 4 3 3" xfId="5838"/>
    <cellStyle name="千位分隔 2 4 3 3 2" xfId="5839"/>
    <cellStyle name="千位分隔 2 4 3 4" xfId="5840"/>
    <cellStyle name="千位分隔 2 4 3 4 2" xfId="5841"/>
    <cellStyle name="千位分隔 2 4 3 5" xfId="5842"/>
    <cellStyle name="千位分隔 2 4 3 5 2" xfId="5843"/>
    <cellStyle name="千位分隔 2 4 3 6" xfId="5844"/>
    <cellStyle name="千位分隔 2 4 3 6 2" xfId="5845"/>
    <cellStyle name="千位分隔 2 4 3 7" xfId="5846"/>
    <cellStyle name="千位分隔 2 4 4" xfId="5847"/>
    <cellStyle name="千位分隔 2 4 4 2" xfId="5848"/>
    <cellStyle name="千位分隔 2 4 4 3" xfId="5849"/>
    <cellStyle name="千位分隔 2 4 5" xfId="5850"/>
    <cellStyle name="千位分隔 2 4 5 2" xfId="5851"/>
    <cellStyle name="千位分隔 2 4 5 3" xfId="5852"/>
    <cellStyle name="千位分隔 2 4 6" xfId="5853"/>
    <cellStyle name="千位分隔 2 4 6 2" xfId="5854"/>
    <cellStyle name="千位分隔 2 4 6 3" xfId="5855"/>
    <cellStyle name="千位分隔 2 4 7" xfId="5856"/>
    <cellStyle name="千位分隔 2 4 7 2" xfId="5857"/>
    <cellStyle name="千位分隔 2 4 7 3" xfId="5858"/>
    <cellStyle name="千位分隔 2 4 8" xfId="5859"/>
    <cellStyle name="千位分隔 2 4 8 2" xfId="5860"/>
    <cellStyle name="千位分隔 2 4 8 3" xfId="5861"/>
    <cellStyle name="千位分隔 2 4 9" xfId="5862"/>
    <cellStyle name="千位分隔 2 4 9 2" xfId="5863"/>
    <cellStyle name="千位分隔 2 40" xfId="5864"/>
    <cellStyle name="千位分隔 2 41" xfId="5865"/>
    <cellStyle name="千位分隔 2 42" xfId="5866"/>
    <cellStyle name="千位分隔 2 43" xfId="5867"/>
    <cellStyle name="千位分隔 2 44" xfId="5868"/>
    <cellStyle name="千位分隔 2 45" xfId="5869"/>
    <cellStyle name="千位分隔 2 46" xfId="5870"/>
    <cellStyle name="千位分隔 2 46 2" xfId="5871"/>
    <cellStyle name="千位分隔 2 46 3" xfId="5872"/>
    <cellStyle name="千位分隔 2 46 4" xfId="5873"/>
    <cellStyle name="千位分隔 2 46 5" xfId="5874"/>
    <cellStyle name="千位分隔 2 47" xfId="5875"/>
    <cellStyle name="千位分隔 2 48" xfId="5876"/>
    <cellStyle name="千位分隔 2 49" xfId="5877"/>
    <cellStyle name="千位分隔 2 5" xfId="5878"/>
    <cellStyle name="千位分隔 2 5 10" xfId="5879"/>
    <cellStyle name="千位分隔 2 5 2" xfId="5880"/>
    <cellStyle name="千位分隔 2 5 2 2" xfId="5881"/>
    <cellStyle name="千位分隔 2 5 2 2 2" xfId="5882"/>
    <cellStyle name="千位分隔 2 5 2 3" xfId="5883"/>
    <cellStyle name="千位分隔 2 5 2 3 2" xfId="5884"/>
    <cellStyle name="千位分隔 2 5 2 4" xfId="5885"/>
    <cellStyle name="千位分隔 2 5 2 4 2" xfId="5886"/>
    <cellStyle name="千位分隔 2 5 2 5" xfId="5887"/>
    <cellStyle name="千位分隔 2 5 2 5 2" xfId="5888"/>
    <cellStyle name="千位分隔 2 5 2 6" xfId="5889"/>
    <cellStyle name="千位分隔 2 5 2 6 2" xfId="5890"/>
    <cellStyle name="千位分隔 2 5 2 7" xfId="5891"/>
    <cellStyle name="千位分隔 2 5 3" xfId="5892"/>
    <cellStyle name="千位分隔 2 5 3 2" xfId="5893"/>
    <cellStyle name="千位分隔 2 5 4" xfId="5894"/>
    <cellStyle name="千位分隔 2 5 4 2" xfId="5895"/>
    <cellStyle name="千位分隔 2 5 5" xfId="5896"/>
    <cellStyle name="千位分隔 2 5 5 2" xfId="5897"/>
    <cellStyle name="千位分隔 2 5 6" xfId="5898"/>
    <cellStyle name="千位分隔 2 5 6 2" xfId="5899"/>
    <cellStyle name="千位分隔 2 5 7" xfId="5900"/>
    <cellStyle name="千位分隔 2 5 7 2" xfId="5901"/>
    <cellStyle name="千位分隔 2 5 8" xfId="5902"/>
    <cellStyle name="千位分隔 2 5 9" xfId="5903"/>
    <cellStyle name="千位分隔 2 6" xfId="5904"/>
    <cellStyle name="千位分隔 2 6 2" xfId="5905"/>
    <cellStyle name="千位分隔 2 6 2 2" xfId="5906"/>
    <cellStyle name="千位分隔 2 6 2 2 2" xfId="5907"/>
    <cellStyle name="千位分隔 2 6 2 3" xfId="5908"/>
    <cellStyle name="千位分隔 2 6 2 3 2" xfId="5909"/>
    <cellStyle name="千位分隔 2 6 2 4" xfId="5910"/>
    <cellStyle name="千位分隔 2 6 2 4 2" xfId="5911"/>
    <cellStyle name="千位分隔 2 6 2 5" xfId="5912"/>
    <cellStyle name="千位分隔 2 6 2 5 2" xfId="5913"/>
    <cellStyle name="千位分隔 2 6 2 6" xfId="5914"/>
    <cellStyle name="千位分隔 2 6 2 6 2" xfId="5915"/>
    <cellStyle name="千位分隔 2 6 2 7" xfId="5916"/>
    <cellStyle name="千位分隔 2 6 3" xfId="5917"/>
    <cellStyle name="千位分隔 2 6 3 2" xfId="5918"/>
    <cellStyle name="千位分隔 2 6 4" xfId="5919"/>
    <cellStyle name="千位分隔 2 6 4 2" xfId="5920"/>
    <cellStyle name="千位分隔 2 6 5" xfId="5921"/>
    <cellStyle name="千位分隔 2 6 5 2" xfId="5922"/>
    <cellStyle name="千位分隔 2 6 6" xfId="5923"/>
    <cellStyle name="千位分隔 2 6 6 2" xfId="5924"/>
    <cellStyle name="千位分隔 2 6 7" xfId="5925"/>
    <cellStyle name="千位分隔 2 6 7 2" xfId="5926"/>
    <cellStyle name="千位分隔 2 6 8" xfId="5927"/>
    <cellStyle name="千位分隔 2 6 9" xfId="5928"/>
    <cellStyle name="千位分隔 2 7" xfId="5929"/>
    <cellStyle name="千位分隔 2 7 2" xfId="5930"/>
    <cellStyle name="千位分隔 2 7 2 2" xfId="5931"/>
    <cellStyle name="千位分隔 2 7 2 2 2" xfId="5932"/>
    <cellStyle name="千位分隔 2 7 2 3" xfId="5933"/>
    <cellStyle name="千位分隔 2 7 2 3 2" xfId="5934"/>
    <cellStyle name="千位分隔 2 7 2 4" xfId="5935"/>
    <cellStyle name="千位分隔 2 7 2 4 2" xfId="5936"/>
    <cellStyle name="千位分隔 2 7 2 5" xfId="5937"/>
    <cellStyle name="千位分隔 2 7 2 5 2" xfId="5938"/>
    <cellStyle name="千位分隔 2 7 2 6" xfId="5939"/>
    <cellStyle name="千位分隔 2 7 2 6 2" xfId="5940"/>
    <cellStyle name="千位分隔 2 7 2 7" xfId="5941"/>
    <cellStyle name="千位分隔 2 7 3" xfId="5942"/>
    <cellStyle name="千位分隔 2 7 3 2" xfId="5943"/>
    <cellStyle name="千位分隔 2 7 4" xfId="5944"/>
    <cellStyle name="千位分隔 2 7 4 2" xfId="5945"/>
    <cellStyle name="千位分隔 2 7 5" xfId="5946"/>
    <cellStyle name="千位分隔 2 7 5 2" xfId="5947"/>
    <cellStyle name="千位分隔 2 7 6" xfId="5948"/>
    <cellStyle name="千位分隔 2 7 6 2" xfId="5949"/>
    <cellStyle name="千位分隔 2 7 7" xfId="5950"/>
    <cellStyle name="千位分隔 2 7 7 2" xfId="5951"/>
    <cellStyle name="千位分隔 2 7 8" xfId="5952"/>
    <cellStyle name="千位分隔 2 7 9" xfId="5953"/>
    <cellStyle name="千位分隔 2 8" xfId="5954"/>
    <cellStyle name="千位分隔 2 8 2" xfId="5955"/>
    <cellStyle name="千位分隔 2 8 2 2" xfId="5956"/>
    <cellStyle name="千位分隔 2 8 2 2 2" xfId="5957"/>
    <cellStyle name="千位分隔 2 8 2 3" xfId="5958"/>
    <cellStyle name="千位分隔 2 8 2 3 2" xfId="5959"/>
    <cellStyle name="千位分隔 2 8 2 4" xfId="5960"/>
    <cellStyle name="千位分隔 2 8 2 4 2" xfId="5961"/>
    <cellStyle name="千位分隔 2 8 2 5" xfId="5962"/>
    <cellStyle name="千位分隔 2 8 2 5 2" xfId="5963"/>
    <cellStyle name="千位分隔 2 8 2 6" xfId="5964"/>
    <cellStyle name="千位分隔 2 8 2 6 2" xfId="5965"/>
    <cellStyle name="千位分隔 2 8 2 7" xfId="5966"/>
    <cellStyle name="千位分隔 2 8 3" xfId="5967"/>
    <cellStyle name="千位分隔 2 8 3 2" xfId="5968"/>
    <cellStyle name="千位分隔 2 8 4" xfId="5969"/>
    <cellStyle name="千位分隔 2 8 4 2" xfId="5970"/>
    <cellStyle name="千位分隔 2 8 5" xfId="5971"/>
    <cellStyle name="千位分隔 2 8 5 2" xfId="5972"/>
    <cellStyle name="千位分隔 2 8 6" xfId="5973"/>
    <cellStyle name="千位分隔 2 8 6 2" xfId="5974"/>
    <cellStyle name="千位分隔 2 8 7" xfId="5975"/>
    <cellStyle name="千位分隔 2 8 7 2" xfId="5976"/>
    <cellStyle name="千位分隔 2 8 8" xfId="5977"/>
    <cellStyle name="千位分隔 2 8 9" xfId="5978"/>
    <cellStyle name="千位分隔 2 9" xfId="5979"/>
    <cellStyle name="千位分隔 2 9 2" xfId="5980"/>
    <cellStyle name="千位分隔 2 9 2 2" xfId="5981"/>
    <cellStyle name="千位分隔 2 9 3" xfId="5982"/>
    <cellStyle name="千位分隔 2 9 3 2" xfId="5983"/>
    <cellStyle name="千位分隔 2 9 4" xfId="5984"/>
    <cellStyle name="千位分隔 2 9 4 2" xfId="5985"/>
    <cellStyle name="千位分隔 2 9 5" xfId="5986"/>
    <cellStyle name="千位分隔 2 9 5 2" xfId="5987"/>
    <cellStyle name="千位分隔 2 9 6" xfId="5988"/>
    <cellStyle name="千位分隔 2 9 6 2" xfId="5989"/>
    <cellStyle name="千位分隔 2 9 7" xfId="5990"/>
    <cellStyle name="千位分隔 2 9 8" xfId="5991"/>
    <cellStyle name="千位分隔 2_13.02" xfId="5992"/>
    <cellStyle name="千位分隔 20" xfId="5993"/>
    <cellStyle name="千位分隔 20 2" xfId="5994"/>
    <cellStyle name="千位分隔 20 3" xfId="5995"/>
    <cellStyle name="千位分隔 20 4" xfId="5996"/>
    <cellStyle name="千位分隔 20 5" xfId="5997"/>
    <cellStyle name="千位分隔 20 6" xfId="5998"/>
    <cellStyle name="千位分隔 21" xfId="5999"/>
    <cellStyle name="千位分隔 21 2" xfId="6000"/>
    <cellStyle name="千位分隔 21 3" xfId="6001"/>
    <cellStyle name="千位分隔 21 4" xfId="6002"/>
    <cellStyle name="千位分隔 21 5" xfId="6003"/>
    <cellStyle name="千位分隔 21 6" xfId="6004"/>
    <cellStyle name="千位分隔 22" xfId="6005"/>
    <cellStyle name="千位分隔 22 2" xfId="6006"/>
    <cellStyle name="千位分隔 22 3" xfId="6007"/>
    <cellStyle name="千位分隔 22 4" xfId="6008"/>
    <cellStyle name="千位分隔 22 5" xfId="6009"/>
    <cellStyle name="千位分隔 22 6" xfId="6010"/>
    <cellStyle name="千位分隔 22 7" xfId="6011"/>
    <cellStyle name="千位分隔 23" xfId="6012"/>
    <cellStyle name="千位分隔 23 2" xfId="6013"/>
    <cellStyle name="千位分隔 23 3" xfId="6014"/>
    <cellStyle name="千位分隔 23 4" xfId="6015"/>
    <cellStyle name="千位分隔 23 5" xfId="6016"/>
    <cellStyle name="千位分隔 23 6" xfId="6017"/>
    <cellStyle name="千位分隔 24" xfId="6018"/>
    <cellStyle name="千位分隔 24 2" xfId="6019"/>
    <cellStyle name="千位分隔 24 3" xfId="6020"/>
    <cellStyle name="千位分隔 24 4" xfId="6021"/>
    <cellStyle name="千位分隔 24 5" xfId="6022"/>
    <cellStyle name="千位分隔 24 6" xfId="6023"/>
    <cellStyle name="千位分隔 25" xfId="6024"/>
    <cellStyle name="千位分隔 25 2" xfId="6025"/>
    <cellStyle name="千位分隔 25 3" xfId="6026"/>
    <cellStyle name="千位分隔 25 4" xfId="6027"/>
    <cellStyle name="千位分隔 25 5" xfId="6028"/>
    <cellStyle name="千位分隔 25 6" xfId="6029"/>
    <cellStyle name="千位分隔 26" xfId="6030"/>
    <cellStyle name="千位分隔 26 2" xfId="6031"/>
    <cellStyle name="千位分隔 26 3" xfId="6032"/>
    <cellStyle name="千位分隔 26 4" xfId="6033"/>
    <cellStyle name="千位分隔 26 5" xfId="6034"/>
    <cellStyle name="千位分隔 26 6" xfId="6035"/>
    <cellStyle name="千位分隔 27" xfId="6036"/>
    <cellStyle name="千位分隔 27 2" xfId="6037"/>
    <cellStyle name="千位分隔 27 3" xfId="6038"/>
    <cellStyle name="千位分隔 27 4" xfId="6039"/>
    <cellStyle name="千位分隔 27 5" xfId="6040"/>
    <cellStyle name="千位分隔 27 6" xfId="6041"/>
    <cellStyle name="千位分隔 28" xfId="6042"/>
    <cellStyle name="千位分隔 28 2" xfId="6043"/>
    <cellStyle name="千位分隔 28 3" xfId="6044"/>
    <cellStyle name="千位分隔 28 4" xfId="6045"/>
    <cellStyle name="千位分隔 28 5" xfId="6046"/>
    <cellStyle name="千位分隔 28 6" xfId="6047"/>
    <cellStyle name="千位分隔 29" xfId="6048"/>
    <cellStyle name="千位分隔 29 2" xfId="6049"/>
    <cellStyle name="千位分隔 29 3" xfId="6050"/>
    <cellStyle name="千位分隔 29 4" xfId="6051"/>
    <cellStyle name="千位分隔 29 5" xfId="6052"/>
    <cellStyle name="千位分隔 29 6" xfId="6053"/>
    <cellStyle name="千位分隔 3" xfId="6054"/>
    <cellStyle name="千位分隔 3 10" xfId="6055"/>
    <cellStyle name="千位分隔 3 10 2" xfId="6056"/>
    <cellStyle name="千位分隔 3 10 3" xfId="6057"/>
    <cellStyle name="千位分隔 3 11" xfId="6058"/>
    <cellStyle name="千位分隔 3 11 2" xfId="6059"/>
    <cellStyle name="千位分隔 3 11 3" xfId="6060"/>
    <cellStyle name="千位分隔 3 12" xfId="6061"/>
    <cellStyle name="千位分隔 3 12 2" xfId="6062"/>
    <cellStyle name="千位分隔 3 13" xfId="6063"/>
    <cellStyle name="千位分隔 3 13 2" xfId="6064"/>
    <cellStyle name="千位分隔 3 14" xfId="6065"/>
    <cellStyle name="千位分隔 3 14 2" xfId="6066"/>
    <cellStyle name="千位分隔 3 15" xfId="6067"/>
    <cellStyle name="千位分隔 3 16" xfId="6068"/>
    <cellStyle name="千位分隔 3 17" xfId="6069"/>
    <cellStyle name="千位分隔 3 18" xfId="6070"/>
    <cellStyle name="千位分隔 3 19" xfId="6071"/>
    <cellStyle name="千位分隔 3 2" xfId="6072"/>
    <cellStyle name="千位分隔 3 2 10" xfId="6073"/>
    <cellStyle name="千位分隔 3 2 10 2" xfId="6074"/>
    <cellStyle name="千位分隔 3 2 11" xfId="6075"/>
    <cellStyle name="千位分隔 3 2 11 2" xfId="6076"/>
    <cellStyle name="千位分隔 3 2 2" xfId="6077"/>
    <cellStyle name="千位分隔 3 2 2 2" xfId="6078"/>
    <cellStyle name="千位分隔 3 2 2 2 2" xfId="6079"/>
    <cellStyle name="千位分隔 3 2 2 2 2 2" xfId="6080"/>
    <cellStyle name="千位分隔 3 2 2 2 3" xfId="6081"/>
    <cellStyle name="千位分隔 3 2 2 2 3 2" xfId="6082"/>
    <cellStyle name="千位分隔 3 2 2 2 4" xfId="6083"/>
    <cellStyle name="千位分隔 3 2 2 2 4 2" xfId="6084"/>
    <cellStyle name="千位分隔 3 2 2 2 5" xfId="6085"/>
    <cellStyle name="千位分隔 3 2 2 2 5 2" xfId="6086"/>
    <cellStyle name="千位分隔 3 2 2 2 6" xfId="6087"/>
    <cellStyle name="千位分隔 3 2 2 2 6 2" xfId="6088"/>
    <cellStyle name="千位分隔 3 2 2 2 7" xfId="6089"/>
    <cellStyle name="千位分隔 3 2 2 3" xfId="6090"/>
    <cellStyle name="千位分隔 3 2 2 3 2" xfId="6091"/>
    <cellStyle name="千位分隔 3 2 2 4" xfId="6092"/>
    <cellStyle name="千位分隔 3 2 2 4 2" xfId="6093"/>
    <cellStyle name="千位分隔 3 2 2 5" xfId="6094"/>
    <cellStyle name="千位分隔 3 2 2 5 2" xfId="6095"/>
    <cellStyle name="千位分隔 3 2 2 6" xfId="6096"/>
    <cellStyle name="千位分隔 3 2 2 6 2" xfId="6097"/>
    <cellStyle name="千位分隔 3 2 2 7" xfId="6098"/>
    <cellStyle name="千位分隔 3 2 2 7 2" xfId="6099"/>
    <cellStyle name="千位分隔 3 2 2 8" xfId="6100"/>
    <cellStyle name="千位分隔 3 2 3" xfId="6101"/>
    <cellStyle name="千位分隔 3 2 3 2" xfId="6102"/>
    <cellStyle name="千位分隔 3 2 3 2 2" xfId="6103"/>
    <cellStyle name="千位分隔 3 2 3 3" xfId="6104"/>
    <cellStyle name="千位分隔 3 2 3 3 2" xfId="6105"/>
    <cellStyle name="千位分隔 3 2 3 4" xfId="6106"/>
    <cellStyle name="千位分隔 3 2 3 4 2" xfId="6107"/>
    <cellStyle name="千位分隔 3 2 3 5" xfId="6108"/>
    <cellStyle name="千位分隔 3 2 3 5 2" xfId="6109"/>
    <cellStyle name="千位分隔 3 2 3 6" xfId="6110"/>
    <cellStyle name="千位分隔 3 2 3 6 2" xfId="6111"/>
    <cellStyle name="千位分隔 3 2 3 7" xfId="6112"/>
    <cellStyle name="千位分隔 3 2 4" xfId="6113"/>
    <cellStyle name="千位分隔 3 2 4 2" xfId="6114"/>
    <cellStyle name="千位分隔 3 2 4 3" xfId="6115"/>
    <cellStyle name="千位分隔 3 2 5" xfId="6116"/>
    <cellStyle name="千位分隔 3 2 5 2" xfId="6117"/>
    <cellStyle name="千位分隔 3 2 5 3" xfId="6118"/>
    <cellStyle name="千位分隔 3 2 6" xfId="6119"/>
    <cellStyle name="千位分隔 3 2 6 2" xfId="6120"/>
    <cellStyle name="千位分隔 3 2 6 3" xfId="6121"/>
    <cellStyle name="千位分隔 3 2 7" xfId="6122"/>
    <cellStyle name="千位分隔 3 2 7 2" xfId="6123"/>
    <cellStyle name="千位分隔 3 2 7 3" xfId="6124"/>
    <cellStyle name="千位分隔 3 2 8" xfId="6125"/>
    <cellStyle name="千位分隔 3 2 8 2" xfId="6126"/>
    <cellStyle name="千位分隔 3 2 8 3" xfId="6127"/>
    <cellStyle name="千位分隔 3 2 9" xfId="6128"/>
    <cellStyle name="千位分隔 3 2 9 2" xfId="6129"/>
    <cellStyle name="千位分隔 3 2_销售计划" xfId="6130"/>
    <cellStyle name="千位分隔 3 20" xfId="6131"/>
    <cellStyle name="千位分隔 3 21" xfId="6132"/>
    <cellStyle name="千位分隔 3 22" xfId="6133"/>
    <cellStyle name="千位分隔 3 23" xfId="6134"/>
    <cellStyle name="千位分隔 3 24" xfId="6135"/>
    <cellStyle name="千位分隔 3 25" xfId="6136"/>
    <cellStyle name="千位分隔 3 26" xfId="6137"/>
    <cellStyle name="千位分隔 3 27" xfId="6138"/>
    <cellStyle name="千位分隔 3 28" xfId="6139"/>
    <cellStyle name="千位分隔 3 29" xfId="6140"/>
    <cellStyle name="千位分隔 3 3" xfId="6141"/>
    <cellStyle name="千位分隔 3 3 10" xfId="6142"/>
    <cellStyle name="千位分隔 3 3 11" xfId="6143"/>
    <cellStyle name="千位分隔 3 3 2" xfId="6144"/>
    <cellStyle name="千位分隔 3 3 2 2" xfId="6145"/>
    <cellStyle name="千位分隔 3 3 2 2 2" xfId="6146"/>
    <cellStyle name="千位分隔 3 3 2 2 3" xfId="6147"/>
    <cellStyle name="千位分隔 3 3 2 3" xfId="6148"/>
    <cellStyle name="千位分隔 3 3 2 4" xfId="6149"/>
    <cellStyle name="千位分隔 3 3 3" xfId="6150"/>
    <cellStyle name="千位分隔 3 3 3 2" xfId="6151"/>
    <cellStyle name="千位分隔 3 3 3 3" xfId="6152"/>
    <cellStyle name="千位分隔 3 3 4" xfId="6153"/>
    <cellStyle name="千位分隔 3 3 4 2" xfId="6154"/>
    <cellStyle name="千位分隔 3 3 4 3" xfId="6155"/>
    <cellStyle name="千位分隔 3 3 5" xfId="6156"/>
    <cellStyle name="千位分隔 3 3 5 2" xfId="6157"/>
    <cellStyle name="千位分隔 3 3 5 3" xfId="6158"/>
    <cellStyle name="千位分隔 3 3 6" xfId="6159"/>
    <cellStyle name="千位分隔 3 3 6 2" xfId="6160"/>
    <cellStyle name="千位分隔 3 3 6 3" xfId="6161"/>
    <cellStyle name="千位分隔 3 3 7" xfId="6162"/>
    <cellStyle name="千位分隔 3 3 7 2" xfId="6163"/>
    <cellStyle name="千位分隔 3 3 7 3" xfId="6164"/>
    <cellStyle name="千位分隔 3 3 8" xfId="6165"/>
    <cellStyle name="千位分隔 3 3 8 2" xfId="6166"/>
    <cellStyle name="千位分隔 3 3 8 3" xfId="6167"/>
    <cellStyle name="千位分隔 3 3 9" xfId="6168"/>
    <cellStyle name="千位分隔 3 30" xfId="6169"/>
    <cellStyle name="千位分隔 3 31" xfId="6170"/>
    <cellStyle name="千位分隔 3 32" xfId="6171"/>
    <cellStyle name="千位分隔 3 33" xfId="6172"/>
    <cellStyle name="千位分隔 3 34" xfId="6173"/>
    <cellStyle name="千位分隔 3 35" xfId="6174"/>
    <cellStyle name="千位分隔 3 36" xfId="6175"/>
    <cellStyle name="千位分隔 3 37" xfId="6176"/>
    <cellStyle name="千位分隔 3 38" xfId="6177"/>
    <cellStyle name="千位分隔 3 39" xfId="6178"/>
    <cellStyle name="千位分隔 3 4" xfId="6179"/>
    <cellStyle name="千位分隔 3 4 10" xfId="6180"/>
    <cellStyle name="千位分隔 3 4 11" xfId="6181"/>
    <cellStyle name="千位分隔 3 4 2" xfId="6182"/>
    <cellStyle name="千位分隔 3 4 2 2" xfId="6183"/>
    <cellStyle name="千位分隔 3 4 2 2 2" xfId="6184"/>
    <cellStyle name="千位分隔 3 4 2 2 3" xfId="6185"/>
    <cellStyle name="千位分隔 3 4 2 3" xfId="6186"/>
    <cellStyle name="千位分隔 3 4 2 4" xfId="6187"/>
    <cellStyle name="千位分隔 3 4 3" xfId="6188"/>
    <cellStyle name="千位分隔 3 4 3 2" xfId="6189"/>
    <cellStyle name="千位分隔 3 4 3 3" xfId="6190"/>
    <cellStyle name="千位分隔 3 4 4" xfId="6191"/>
    <cellStyle name="千位分隔 3 4 4 2" xfId="6192"/>
    <cellStyle name="千位分隔 3 4 4 3" xfId="6193"/>
    <cellStyle name="千位分隔 3 4 5" xfId="6194"/>
    <cellStyle name="千位分隔 3 4 5 2" xfId="6195"/>
    <cellStyle name="千位分隔 3 4 5 3" xfId="6196"/>
    <cellStyle name="千位分隔 3 4 6" xfId="6197"/>
    <cellStyle name="千位分隔 3 4 6 2" xfId="6198"/>
    <cellStyle name="千位分隔 3 4 6 3" xfId="6199"/>
    <cellStyle name="千位分隔 3 4 7" xfId="6200"/>
    <cellStyle name="千位分隔 3 4 7 2" xfId="6201"/>
    <cellStyle name="千位分隔 3 4 7 3" xfId="6202"/>
    <cellStyle name="千位分隔 3 4 8" xfId="6203"/>
    <cellStyle name="千位分隔 3 4 8 2" xfId="6204"/>
    <cellStyle name="千位分隔 3 4 8 3" xfId="6205"/>
    <cellStyle name="千位分隔 3 4 9" xfId="6206"/>
    <cellStyle name="千位分隔 3 40" xfId="6207"/>
    <cellStyle name="千位分隔 3 41" xfId="6208"/>
    <cellStyle name="千位分隔 3 42" xfId="6209"/>
    <cellStyle name="千位分隔 3 43" xfId="6210"/>
    <cellStyle name="千位分隔 3 43 2" xfId="6211"/>
    <cellStyle name="千位分隔 3 43 3" xfId="6212"/>
    <cellStyle name="千位分隔 3 43 4" xfId="6213"/>
    <cellStyle name="千位分隔 3 43 5" xfId="6214"/>
    <cellStyle name="千位分隔 3 44" xfId="6215"/>
    <cellStyle name="千位分隔 3 45" xfId="6216"/>
    <cellStyle name="千位分隔 3 46" xfId="6217"/>
    <cellStyle name="千位分隔 3 5" xfId="6218"/>
    <cellStyle name="千位分隔 3 5 2" xfId="6219"/>
    <cellStyle name="千位分隔 3 5 2 2" xfId="6220"/>
    <cellStyle name="千位分隔 3 5 2 3" xfId="6221"/>
    <cellStyle name="千位分隔 3 5 3" xfId="6222"/>
    <cellStyle name="千位分隔 3 5 4" xfId="6223"/>
    <cellStyle name="千位分隔 3 6" xfId="6224"/>
    <cellStyle name="千位分隔 3 6 2" xfId="6225"/>
    <cellStyle name="千位分隔 3 6 3" xfId="6226"/>
    <cellStyle name="千位分隔 3 7" xfId="6227"/>
    <cellStyle name="千位分隔 3 7 2" xfId="6228"/>
    <cellStyle name="千位分隔 3 7 3" xfId="6229"/>
    <cellStyle name="千位分隔 3 8" xfId="6230"/>
    <cellStyle name="千位分隔 3 8 2" xfId="6231"/>
    <cellStyle name="千位分隔 3 8 3" xfId="6232"/>
    <cellStyle name="千位分隔 3 9" xfId="6233"/>
    <cellStyle name="千位分隔 3 9 2" xfId="6234"/>
    <cellStyle name="千位分隔 3 9 3" xfId="6235"/>
    <cellStyle name="千位分隔 3_4月回款计划" xfId="6236"/>
    <cellStyle name="千位分隔 30" xfId="6237"/>
    <cellStyle name="千位分隔 30 2" xfId="6238"/>
    <cellStyle name="千位分隔 30 3" xfId="6239"/>
    <cellStyle name="千位分隔 30 4" xfId="6240"/>
    <cellStyle name="千位分隔 30 5" xfId="6241"/>
    <cellStyle name="千位分隔 30 6" xfId="6242"/>
    <cellStyle name="千位分隔 31" xfId="6243"/>
    <cellStyle name="千位分隔 31 2" xfId="6244"/>
    <cellStyle name="千位分隔 31 3" xfId="6245"/>
    <cellStyle name="千位分隔 31 4" xfId="6246"/>
    <cellStyle name="千位分隔 31 5" xfId="6247"/>
    <cellStyle name="千位分隔 31 6" xfId="6248"/>
    <cellStyle name="千位分隔 32" xfId="6249"/>
    <cellStyle name="千位分隔 32 2" xfId="6250"/>
    <cellStyle name="千位分隔 32 3" xfId="6251"/>
    <cellStyle name="千位分隔 32 4" xfId="6252"/>
    <cellStyle name="千位分隔 32 5" xfId="6253"/>
    <cellStyle name="千位分隔 32 6" xfId="6254"/>
    <cellStyle name="千位分隔 33" xfId="6255"/>
    <cellStyle name="千位分隔 33 2" xfId="6256"/>
    <cellStyle name="千位分隔 33 3" xfId="6257"/>
    <cellStyle name="千位分隔 33 4" xfId="6258"/>
    <cellStyle name="千位分隔 33 5" xfId="6259"/>
    <cellStyle name="千位分隔 33 6" xfId="6260"/>
    <cellStyle name="千位分隔 34" xfId="6261"/>
    <cellStyle name="千位分隔 34 2" xfId="6262"/>
    <cellStyle name="千位分隔 34 3" xfId="6263"/>
    <cellStyle name="千位分隔 34 4" xfId="6264"/>
    <cellStyle name="千位分隔 34 5" xfId="6265"/>
    <cellStyle name="千位分隔 34 6" xfId="6266"/>
    <cellStyle name="千位分隔 35" xfId="6267"/>
    <cellStyle name="千位分隔 35 2" xfId="6268"/>
    <cellStyle name="千位分隔 35 3" xfId="6269"/>
    <cellStyle name="千位分隔 35 4" xfId="6270"/>
    <cellStyle name="千位分隔 35 5" xfId="6271"/>
    <cellStyle name="千位分隔 35 6" xfId="6272"/>
    <cellStyle name="千位分隔 36" xfId="6273"/>
    <cellStyle name="千位分隔 36 2" xfId="6274"/>
    <cellStyle name="千位分隔 36 3" xfId="6275"/>
    <cellStyle name="千位分隔 36 4" xfId="6276"/>
    <cellStyle name="千位分隔 36 5" xfId="6277"/>
    <cellStyle name="千位分隔 36 6" xfId="6278"/>
    <cellStyle name="千位分隔 37" xfId="6279"/>
    <cellStyle name="千位分隔 37 2" xfId="6280"/>
    <cellStyle name="千位分隔 37 3" xfId="6281"/>
    <cellStyle name="千位分隔 37 4" xfId="6282"/>
    <cellStyle name="千位分隔 37 5" xfId="6283"/>
    <cellStyle name="千位分隔 37 6" xfId="6284"/>
    <cellStyle name="千位分隔 38" xfId="6285"/>
    <cellStyle name="千位分隔 38 2" xfId="6286"/>
    <cellStyle name="千位分隔 38 3" xfId="6287"/>
    <cellStyle name="千位分隔 38 4" xfId="6288"/>
    <cellStyle name="千位分隔 38 5" xfId="6289"/>
    <cellStyle name="千位分隔 38 6" xfId="6290"/>
    <cellStyle name="千位分隔 39" xfId="6291"/>
    <cellStyle name="千位分隔 39 2" xfId="6292"/>
    <cellStyle name="千位分隔 39 3" xfId="6293"/>
    <cellStyle name="千位分隔 39 4" xfId="6294"/>
    <cellStyle name="千位分隔 39 5" xfId="6295"/>
    <cellStyle name="千位分隔 39 6" xfId="6296"/>
    <cellStyle name="千位分隔 4" xfId="6297"/>
    <cellStyle name="千位分隔 4 10" xfId="6298"/>
    <cellStyle name="千位分隔 4 11" xfId="6299"/>
    <cellStyle name="千位分隔 4 12" xfId="6300"/>
    <cellStyle name="千位分隔 4 2" xfId="6301"/>
    <cellStyle name="千位分隔 4 2 10" xfId="6302"/>
    <cellStyle name="千位分隔 4 2 11" xfId="6303"/>
    <cellStyle name="千位分隔 4 2 2" xfId="6304"/>
    <cellStyle name="千位分隔 4 2 2 2" xfId="6305"/>
    <cellStyle name="千位分隔 4 2 2 2 2" xfId="6306"/>
    <cellStyle name="千位分隔 4 2 2 2 3" xfId="6307"/>
    <cellStyle name="千位分隔 4 2 2 2 4" xfId="6308"/>
    <cellStyle name="千位分隔 4 2 2 2 5" xfId="6309"/>
    <cellStyle name="千位分隔 4 2 2 2 6" xfId="6310"/>
    <cellStyle name="千位分隔 4 2 2 3" xfId="6311"/>
    <cellStyle name="千位分隔 4 2 2 3 2" xfId="6312"/>
    <cellStyle name="千位分隔 4 2 2 4" xfId="6313"/>
    <cellStyle name="千位分隔 4 2 2 4 2" xfId="6314"/>
    <cellStyle name="千位分隔 4 2 2 5" xfId="6315"/>
    <cellStyle name="千位分隔 4 2 2 5 2" xfId="6316"/>
    <cellStyle name="千位分隔 4 2 2 6" xfId="6317"/>
    <cellStyle name="千位分隔 4 2 2 6 2" xfId="6318"/>
    <cellStyle name="千位分隔 4 2 2 7" xfId="6319"/>
    <cellStyle name="千位分隔 4 2 2 8" xfId="6320"/>
    <cellStyle name="千位分隔 4 2 3" xfId="6321"/>
    <cellStyle name="千位分隔 4 2 3 2" xfId="6322"/>
    <cellStyle name="千位分隔 4 2 3 3" xfId="6323"/>
    <cellStyle name="千位分隔 4 2 4" xfId="6324"/>
    <cellStyle name="千位分隔 4 2 4 2" xfId="6325"/>
    <cellStyle name="千位分隔 4 2 4 3" xfId="6326"/>
    <cellStyle name="千位分隔 4 2 5" xfId="6327"/>
    <cellStyle name="千位分隔 4 2 5 2" xfId="6328"/>
    <cellStyle name="千位分隔 4 2 5 3" xfId="6329"/>
    <cellStyle name="千位分隔 4 2 6" xfId="6330"/>
    <cellStyle name="千位分隔 4 2 6 2" xfId="6331"/>
    <cellStyle name="千位分隔 4 2 6 3" xfId="6332"/>
    <cellStyle name="千位分隔 4 2 7" xfId="6333"/>
    <cellStyle name="千位分隔 4 2 7 2" xfId="6334"/>
    <cellStyle name="千位分隔 4 2 7 3" xfId="6335"/>
    <cellStyle name="千位分隔 4 2 8" xfId="6336"/>
    <cellStyle name="千位分隔 4 2 8 2" xfId="6337"/>
    <cellStyle name="千位分隔 4 2 8 3" xfId="6338"/>
    <cellStyle name="千位分隔 4 2 8 4" xfId="6339"/>
    <cellStyle name="千位分隔 4 2 8 5" xfId="6340"/>
    <cellStyle name="千位分隔 4 2 8 6" xfId="6341"/>
    <cellStyle name="千位分隔 4 2 9" xfId="6342"/>
    <cellStyle name="千位分隔 4 3" xfId="6343"/>
    <cellStyle name="千位分隔 4 3 10" xfId="6344"/>
    <cellStyle name="千位分隔 4 3 2" xfId="6345"/>
    <cellStyle name="千位分隔 4 3 2 2" xfId="6346"/>
    <cellStyle name="千位分隔 4 3 2 3" xfId="6347"/>
    <cellStyle name="千位分隔 4 3 2 4" xfId="6348"/>
    <cellStyle name="千位分隔 4 3 2 5" xfId="6349"/>
    <cellStyle name="千位分隔 4 3 2 6" xfId="6350"/>
    <cellStyle name="千位分隔 4 3 3" xfId="6351"/>
    <cellStyle name="千位分隔 4 3 3 2" xfId="6352"/>
    <cellStyle name="千位分隔 4 3 3 3" xfId="6353"/>
    <cellStyle name="千位分隔 4 3 4" xfId="6354"/>
    <cellStyle name="千位分隔 4 3 4 2" xfId="6355"/>
    <cellStyle name="千位分隔 4 3 4 3" xfId="6356"/>
    <cellStyle name="千位分隔 4 3 5" xfId="6357"/>
    <cellStyle name="千位分隔 4 3 5 2" xfId="6358"/>
    <cellStyle name="千位分隔 4 3 5 3" xfId="6359"/>
    <cellStyle name="千位分隔 4 3 6" xfId="6360"/>
    <cellStyle name="千位分隔 4 3 6 2" xfId="6361"/>
    <cellStyle name="千位分隔 4 3 6 3" xfId="6362"/>
    <cellStyle name="千位分隔 4 3 7" xfId="6363"/>
    <cellStyle name="千位分隔 4 3 7 2" xfId="6364"/>
    <cellStyle name="千位分隔 4 3 7 3" xfId="6365"/>
    <cellStyle name="千位分隔 4 3 8" xfId="6366"/>
    <cellStyle name="千位分隔 4 3 9" xfId="6367"/>
    <cellStyle name="千位分隔 4 4" xfId="6368"/>
    <cellStyle name="千位分隔 4 4 10" xfId="6369"/>
    <cellStyle name="千位分隔 4 4 2" xfId="6370"/>
    <cellStyle name="千位分隔 4 4 2 2" xfId="6371"/>
    <cellStyle name="千位分隔 4 4 2 3" xfId="6372"/>
    <cellStyle name="千位分隔 4 4 3" xfId="6373"/>
    <cellStyle name="千位分隔 4 4 3 2" xfId="6374"/>
    <cellStyle name="千位分隔 4 4 3 3" xfId="6375"/>
    <cellStyle name="千位分隔 4 4 4" xfId="6376"/>
    <cellStyle name="千位分隔 4 4 4 2" xfId="6377"/>
    <cellStyle name="千位分隔 4 4 4 3" xfId="6378"/>
    <cellStyle name="千位分隔 4 4 5" xfId="6379"/>
    <cellStyle name="千位分隔 4 4 5 2" xfId="6380"/>
    <cellStyle name="千位分隔 4 4 5 3" xfId="6381"/>
    <cellStyle name="千位分隔 4 4 6" xfId="6382"/>
    <cellStyle name="千位分隔 4 4 6 2" xfId="6383"/>
    <cellStyle name="千位分隔 4 4 6 3" xfId="6384"/>
    <cellStyle name="千位分隔 4 4 7" xfId="6385"/>
    <cellStyle name="千位分隔 4 4 7 2" xfId="6386"/>
    <cellStyle name="千位分隔 4 4 7 3" xfId="6387"/>
    <cellStyle name="千位分隔 4 4 8" xfId="6388"/>
    <cellStyle name="千位分隔 4 4 9" xfId="6389"/>
    <cellStyle name="千位分隔 4 5" xfId="6390"/>
    <cellStyle name="千位分隔 4 5 2" xfId="6391"/>
    <cellStyle name="千位分隔 4 6" xfId="6392"/>
    <cellStyle name="千位分隔 4 6 2" xfId="6393"/>
    <cellStyle name="千位分隔 4 7" xfId="6394"/>
    <cellStyle name="千位分隔 4 7 2" xfId="6395"/>
    <cellStyle name="千位分隔 4 8" xfId="6396"/>
    <cellStyle name="千位分隔 4 8 2" xfId="6397"/>
    <cellStyle name="千位分隔 4 9" xfId="6398"/>
    <cellStyle name="千位分隔 4 9 2" xfId="6399"/>
    <cellStyle name="千位分隔 4 9 3" xfId="6400"/>
    <cellStyle name="千位分隔 4 9 4" xfId="6401"/>
    <cellStyle name="千位分隔 4 9 5" xfId="6402"/>
    <cellStyle name="千位分隔 40" xfId="6403"/>
    <cellStyle name="千位分隔 40 2" xfId="6404"/>
    <cellStyle name="千位分隔 40 3" xfId="6405"/>
    <cellStyle name="千位分隔 40 4" xfId="6406"/>
    <cellStyle name="千位分隔 40 5" xfId="6407"/>
    <cellStyle name="千位分隔 40 6" xfId="6408"/>
    <cellStyle name="千位分隔 41" xfId="6409"/>
    <cellStyle name="千位分隔 41 2" xfId="6410"/>
    <cellStyle name="千位分隔 41 3" xfId="6411"/>
    <cellStyle name="千位分隔 41 4" xfId="6412"/>
    <cellStyle name="千位分隔 41 5" xfId="6413"/>
    <cellStyle name="千位分隔 41 6" xfId="6414"/>
    <cellStyle name="千位分隔 42" xfId="6415"/>
    <cellStyle name="千位分隔 42 2" xfId="6416"/>
    <cellStyle name="千位分隔 42 3" xfId="6417"/>
    <cellStyle name="千位分隔 42 4" xfId="6418"/>
    <cellStyle name="千位分隔 42 5" xfId="6419"/>
    <cellStyle name="千位分隔 42 6" xfId="6420"/>
    <cellStyle name="千位分隔 43" xfId="6421"/>
    <cellStyle name="千位分隔 44" xfId="6422"/>
    <cellStyle name="千位分隔 44 2" xfId="6423"/>
    <cellStyle name="千位分隔 45" xfId="6424"/>
    <cellStyle name="千位分隔 45 2" xfId="6425"/>
    <cellStyle name="千位分隔 46" xfId="6426"/>
    <cellStyle name="千位分隔 47" xfId="6427"/>
    <cellStyle name="千位分隔 48" xfId="6428"/>
    <cellStyle name="千位分隔 49" xfId="6429"/>
    <cellStyle name="千位分隔 5" xfId="6430"/>
    <cellStyle name="千位分隔 5 10" xfId="6431"/>
    <cellStyle name="千位分隔 5 11" xfId="6432"/>
    <cellStyle name="千位分隔 5 12" xfId="6433"/>
    <cellStyle name="千位分隔 5 2" xfId="6434"/>
    <cellStyle name="千位分隔 5 2 2" xfId="6435"/>
    <cellStyle name="千位分隔 5 2 2 2" xfId="6436"/>
    <cellStyle name="千位分隔 5 2 2 2 2" xfId="6437"/>
    <cellStyle name="千位分隔 5 2 2 2 2 2" xfId="6438"/>
    <cellStyle name="千位分隔 5 2 2 2 3" xfId="6439"/>
    <cellStyle name="千位分隔 5 2 2 2 3 2" xfId="6440"/>
    <cellStyle name="千位分隔 5 2 2 2 4" xfId="6441"/>
    <cellStyle name="千位分隔 5 2 2 2 4 2" xfId="6442"/>
    <cellStyle name="千位分隔 5 2 2 2 5" xfId="6443"/>
    <cellStyle name="千位分隔 5 2 2 2 5 2" xfId="6444"/>
    <cellStyle name="千位分隔 5 2 2 2 6" xfId="6445"/>
    <cellStyle name="千位分隔 5 2 2 2 6 2" xfId="6446"/>
    <cellStyle name="千位分隔 5 2 2 2 7" xfId="6447"/>
    <cellStyle name="千位分隔 5 2 2 3" xfId="6448"/>
    <cellStyle name="千位分隔 5 2 2 3 2" xfId="6449"/>
    <cellStyle name="千位分隔 5 2 2 4" xfId="6450"/>
    <cellStyle name="千位分隔 5 2 2 4 2" xfId="6451"/>
    <cellStyle name="千位分隔 5 2 2 5" xfId="6452"/>
    <cellStyle name="千位分隔 5 2 2 5 2" xfId="6453"/>
    <cellStyle name="千位分隔 5 2 2 6" xfId="6454"/>
    <cellStyle name="千位分隔 5 2 2 6 2" xfId="6455"/>
    <cellStyle name="千位分隔 5 2 2 7" xfId="6456"/>
    <cellStyle name="千位分隔 5 2 2 7 2" xfId="6457"/>
    <cellStyle name="千位分隔 5 2 2 8" xfId="6458"/>
    <cellStyle name="千位分隔 5 2 3" xfId="6459"/>
    <cellStyle name="千位分隔 5 2 3 2" xfId="6460"/>
    <cellStyle name="千位分隔 5 2 3 2 2" xfId="6461"/>
    <cellStyle name="千位分隔 5 2 3 3" xfId="6462"/>
    <cellStyle name="千位分隔 5 2 3 3 2" xfId="6463"/>
    <cellStyle name="千位分隔 5 2 3 4" xfId="6464"/>
    <cellStyle name="千位分隔 5 2 3 4 2" xfId="6465"/>
    <cellStyle name="千位分隔 5 2 3 5" xfId="6466"/>
    <cellStyle name="千位分隔 5 2 3 5 2" xfId="6467"/>
    <cellStyle name="千位分隔 5 2 3 6" xfId="6468"/>
    <cellStyle name="千位分隔 5 2 3 6 2" xfId="6469"/>
    <cellStyle name="千位分隔 5 2 3 7" xfId="6470"/>
    <cellStyle name="千位分隔 5 2 4" xfId="6471"/>
    <cellStyle name="千位分隔 5 2 4 2" xfId="6472"/>
    <cellStyle name="千位分隔 5 2 5" xfId="6473"/>
    <cellStyle name="千位分隔 5 2 5 2" xfId="6474"/>
    <cellStyle name="千位分隔 5 2 6" xfId="6475"/>
    <cellStyle name="千位分隔 5 2 6 2" xfId="6476"/>
    <cellStyle name="千位分隔 5 2 7" xfId="6477"/>
    <cellStyle name="千位分隔 5 2 7 2" xfId="6478"/>
    <cellStyle name="千位分隔 5 2 8" xfId="6479"/>
    <cellStyle name="千位分隔 5 2 8 2" xfId="6480"/>
    <cellStyle name="千位分隔 5 2 9" xfId="6481"/>
    <cellStyle name="千位分隔 5 24" xfId="6482"/>
    <cellStyle name="千位分隔 5 3" xfId="6483"/>
    <cellStyle name="千位分隔 5 3 2" xfId="6484"/>
    <cellStyle name="千位分隔 5 3 2 2" xfId="6485"/>
    <cellStyle name="千位分隔 5 3 2 2 2" xfId="6486"/>
    <cellStyle name="千位分隔 5 3 2 3" xfId="6487"/>
    <cellStyle name="千位分隔 5 3 2 3 2" xfId="6488"/>
    <cellStyle name="千位分隔 5 3 2 4" xfId="6489"/>
    <cellStyle name="千位分隔 5 3 2 4 2" xfId="6490"/>
    <cellStyle name="千位分隔 5 3 2 5" xfId="6491"/>
    <cellStyle name="千位分隔 5 3 2 5 2" xfId="6492"/>
    <cellStyle name="千位分隔 5 3 2 6" xfId="6493"/>
    <cellStyle name="千位分隔 5 3 2 6 2" xfId="6494"/>
    <cellStyle name="千位分隔 5 3 2 7" xfId="6495"/>
    <cellStyle name="千位分隔 5 3 3" xfId="6496"/>
    <cellStyle name="千位分隔 5 3 3 2" xfId="6497"/>
    <cellStyle name="千位分隔 5 3 4" xfId="6498"/>
    <cellStyle name="千位分隔 5 3 4 2" xfId="6499"/>
    <cellStyle name="千位分隔 5 3 5" xfId="6500"/>
    <cellStyle name="千位分隔 5 3 5 2" xfId="6501"/>
    <cellStyle name="千位分隔 5 3 6" xfId="6502"/>
    <cellStyle name="千位分隔 5 3 6 2" xfId="6503"/>
    <cellStyle name="千位分隔 5 3 7" xfId="6504"/>
    <cellStyle name="千位分隔 5 3 7 2" xfId="6505"/>
    <cellStyle name="千位分隔 5 3 8" xfId="6506"/>
    <cellStyle name="千位分隔 5 4" xfId="6507"/>
    <cellStyle name="千位分隔 5 4 2" xfId="6508"/>
    <cellStyle name="千位分隔 5 4 2 2" xfId="6509"/>
    <cellStyle name="千位分隔 5 4 3" xfId="6510"/>
    <cellStyle name="千位分隔 5 4 3 2" xfId="6511"/>
    <cellStyle name="千位分隔 5 4 4" xfId="6512"/>
    <cellStyle name="千位分隔 5 4 4 2" xfId="6513"/>
    <cellStyle name="千位分隔 5 4 5" xfId="6514"/>
    <cellStyle name="千位分隔 5 4 5 2" xfId="6515"/>
    <cellStyle name="千位分隔 5 4 6" xfId="6516"/>
    <cellStyle name="千位分隔 5 4 6 2" xfId="6517"/>
    <cellStyle name="千位分隔 5 4 7" xfId="6518"/>
    <cellStyle name="千位分隔 5 5" xfId="6519"/>
    <cellStyle name="千位分隔 5 5 2" xfId="6520"/>
    <cellStyle name="千位分隔 5 6" xfId="6521"/>
    <cellStyle name="千位分隔 5 6 2" xfId="6522"/>
    <cellStyle name="千位分隔 5 7" xfId="6523"/>
    <cellStyle name="千位分隔 5 7 2" xfId="6524"/>
    <cellStyle name="千位分隔 5 8" xfId="6525"/>
    <cellStyle name="千位分隔 5 8 2" xfId="6526"/>
    <cellStyle name="千位分隔 5 9" xfId="6527"/>
    <cellStyle name="千位分隔 5 9 2" xfId="6528"/>
    <cellStyle name="千位分隔 5 9 3" xfId="6529"/>
    <cellStyle name="千位分隔 5 9 4" xfId="6530"/>
    <cellStyle name="千位分隔 5 9 5" xfId="6531"/>
    <cellStyle name="千位分隔 50" xfId="6532"/>
    <cellStyle name="千位分隔 51" xfId="6533"/>
    <cellStyle name="千位分隔 52" xfId="6534"/>
    <cellStyle name="千位分隔 53" xfId="6535"/>
    <cellStyle name="千位分隔 54" xfId="6536"/>
    <cellStyle name="千位分隔 55" xfId="6537"/>
    <cellStyle name="千位分隔 6" xfId="6538"/>
    <cellStyle name="千位分隔 6 10" xfId="6539"/>
    <cellStyle name="千位分隔 6 10 2" xfId="6540"/>
    <cellStyle name="千位分隔 6 10 3" xfId="6541"/>
    <cellStyle name="千位分隔 6 10 4" xfId="6542"/>
    <cellStyle name="千位分隔 6 10 5" xfId="6543"/>
    <cellStyle name="千位分隔 6 11" xfId="6544"/>
    <cellStyle name="千位分隔 6 12" xfId="6545"/>
    <cellStyle name="千位分隔 6 13" xfId="6546"/>
    <cellStyle name="千位分隔 6 2" xfId="6547"/>
    <cellStyle name="千位分隔 6 2 2" xfId="6548"/>
    <cellStyle name="千位分隔 6 2 2 2" xfId="6549"/>
    <cellStyle name="千位分隔 6 2 2 2 2" xfId="6550"/>
    <cellStyle name="千位分隔 6 2 2 3" xfId="6551"/>
    <cellStyle name="千位分隔 6 2 2 3 2" xfId="6552"/>
    <cellStyle name="千位分隔 6 2 2 4" xfId="6553"/>
    <cellStyle name="千位分隔 6 2 2 4 2" xfId="6554"/>
    <cellStyle name="千位分隔 6 2 2 5" xfId="6555"/>
    <cellStyle name="千位分隔 6 2 2 5 2" xfId="6556"/>
    <cellStyle name="千位分隔 6 2 2 6" xfId="6557"/>
    <cellStyle name="千位分隔 6 2 2 6 2" xfId="6558"/>
    <cellStyle name="千位分隔 6 2 2 7" xfId="6559"/>
    <cellStyle name="千位分隔 6 2 3" xfId="6560"/>
    <cellStyle name="千位分隔 6 2 3 2" xfId="6561"/>
    <cellStyle name="千位分隔 6 2 4" xfId="6562"/>
    <cellStyle name="千位分隔 6 2 4 2" xfId="6563"/>
    <cellStyle name="千位分隔 6 2 5" xfId="6564"/>
    <cellStyle name="千位分隔 6 2 5 2" xfId="6565"/>
    <cellStyle name="千位分隔 6 2 6" xfId="6566"/>
    <cellStyle name="千位分隔 6 2 6 2" xfId="6567"/>
    <cellStyle name="千位分隔 6 2 7" xfId="6568"/>
    <cellStyle name="千位分隔 6 2 7 2" xfId="6569"/>
    <cellStyle name="千位分隔 6 2 8" xfId="6570"/>
    <cellStyle name="千位分隔 6 2 9" xfId="6571"/>
    <cellStyle name="千位分隔 6 3" xfId="6572"/>
    <cellStyle name="千位分隔 6 3 2" xfId="6573"/>
    <cellStyle name="千位分隔 6 3 2 2" xfId="6574"/>
    <cellStyle name="千位分隔 6 3 3" xfId="6575"/>
    <cellStyle name="千位分隔 6 3 3 2" xfId="6576"/>
    <cellStyle name="千位分隔 6 3 4" xfId="6577"/>
    <cellStyle name="千位分隔 6 3 4 2" xfId="6578"/>
    <cellStyle name="千位分隔 6 3 5" xfId="6579"/>
    <cellStyle name="千位分隔 6 3 5 2" xfId="6580"/>
    <cellStyle name="千位分隔 6 3 6" xfId="6581"/>
    <cellStyle name="千位分隔 6 3 6 2" xfId="6582"/>
    <cellStyle name="千位分隔 6 3 7" xfId="6583"/>
    <cellStyle name="千位分隔 6 3 8" xfId="6584"/>
    <cellStyle name="千位分隔 6 4" xfId="6585"/>
    <cellStyle name="千位分隔 6 4 2" xfId="6586"/>
    <cellStyle name="千位分隔 6 4 3" xfId="6587"/>
    <cellStyle name="千位分隔 6 5" xfId="6588"/>
    <cellStyle name="千位分隔 6 5 2" xfId="6589"/>
    <cellStyle name="千位分隔 6 5 3" xfId="6590"/>
    <cellStyle name="千位分隔 6 6" xfId="6591"/>
    <cellStyle name="千位分隔 6 6 2" xfId="6592"/>
    <cellStyle name="千位分隔 6 6 3" xfId="6593"/>
    <cellStyle name="千位分隔 6 7" xfId="6594"/>
    <cellStyle name="千位分隔 6 7 2" xfId="6595"/>
    <cellStyle name="千位分隔 6 8" xfId="6596"/>
    <cellStyle name="千位分隔 6 8 2" xfId="6597"/>
    <cellStyle name="千位分隔 6 8 3" xfId="6598"/>
    <cellStyle name="千位分隔 6 9" xfId="6599"/>
    <cellStyle name="千位分隔 6 9 2" xfId="6600"/>
    <cellStyle name="千位分隔 7" xfId="6601"/>
    <cellStyle name="千位分隔 7 10" xfId="6602"/>
    <cellStyle name="千位分隔 7 10 2" xfId="6603"/>
    <cellStyle name="千位分隔 7 11" xfId="6604"/>
    <cellStyle name="千位分隔 7 11 2" xfId="6605"/>
    <cellStyle name="千位分隔 7 12" xfId="6606"/>
    <cellStyle name="千位分隔 7 13" xfId="6607"/>
    <cellStyle name="千位分隔 7 2" xfId="6608"/>
    <cellStyle name="千位分隔 7 2 2" xfId="6609"/>
    <cellStyle name="千位分隔 7 2 2 2" xfId="6610"/>
    <cellStyle name="千位分隔 7 2 2 2 2" xfId="6611"/>
    <cellStyle name="千位分隔 7 2 2 3" xfId="6612"/>
    <cellStyle name="千位分隔 7 2 2 4" xfId="6613"/>
    <cellStyle name="千位分隔 7 2 2 5" xfId="6614"/>
    <cellStyle name="千位分隔 7 2 2 6" xfId="6615"/>
    <cellStyle name="千位分隔 7 2 2 7" xfId="6616"/>
    <cellStyle name="千位分隔 7 2 3" xfId="6617"/>
    <cellStyle name="千位分隔 7 2 4" xfId="6618"/>
    <cellStyle name="千位分隔 7 2 5" xfId="6619"/>
    <cellStyle name="千位分隔 7 2 6" xfId="6620"/>
    <cellStyle name="千位分隔 7 2 7" xfId="6621"/>
    <cellStyle name="千位分隔 7 3" xfId="6622"/>
    <cellStyle name="千位分隔 7 3 2" xfId="6623"/>
    <cellStyle name="千位分隔 7 3 3" xfId="6624"/>
    <cellStyle name="千位分隔 7 4" xfId="6625"/>
    <cellStyle name="千位分隔 7 4 2" xfId="6626"/>
    <cellStyle name="千位分隔 7 4 3" xfId="6627"/>
    <cellStyle name="千位分隔 7 5" xfId="6628"/>
    <cellStyle name="千位分隔 7 5 2" xfId="6629"/>
    <cellStyle name="千位分隔 7 5 3" xfId="6630"/>
    <cellStyle name="千位分隔 7 6" xfId="6631"/>
    <cellStyle name="千位分隔 7 6 2" xfId="6632"/>
    <cellStyle name="千位分隔 7 6 3" xfId="6633"/>
    <cellStyle name="千位分隔 7 7" xfId="6634"/>
    <cellStyle name="千位分隔 7 7 2" xfId="6635"/>
    <cellStyle name="千位分隔 7 7 3" xfId="6636"/>
    <cellStyle name="千位分隔 7 8" xfId="6637"/>
    <cellStyle name="千位分隔 7 8 2" xfId="6638"/>
    <cellStyle name="千位分隔 7 8 3" xfId="6639"/>
    <cellStyle name="千位分隔 7 8 4" xfId="6640"/>
    <cellStyle name="千位分隔 7 8 5" xfId="6641"/>
    <cellStyle name="千位分隔 7 8 6" xfId="6642"/>
    <cellStyle name="千位分隔 7 9" xfId="6643"/>
    <cellStyle name="千位分隔 7 9 2" xfId="6644"/>
    <cellStyle name="千位分隔 7_管理费用" xfId="6645"/>
    <cellStyle name="千位分隔 8" xfId="6646"/>
    <cellStyle name="千位分隔 8 10" xfId="6647"/>
    <cellStyle name="千位分隔 8 11" xfId="6648"/>
    <cellStyle name="千位分隔 8 2" xfId="6649"/>
    <cellStyle name="千位分隔 8 2 2" xfId="6650"/>
    <cellStyle name="千位分隔 8 2 2 2" xfId="6651"/>
    <cellStyle name="千位分隔 8 2 2 3" xfId="6652"/>
    <cellStyle name="千位分隔 8 2 2 4" xfId="6653"/>
    <cellStyle name="千位分隔 8 2 2 5" xfId="6654"/>
    <cellStyle name="千位分隔 8 2 2 6" xfId="6655"/>
    <cellStyle name="千位分隔 8 2 3" xfId="6656"/>
    <cellStyle name="千位分隔 8 2 3 2" xfId="6657"/>
    <cellStyle name="千位分隔 8 2 4" xfId="6658"/>
    <cellStyle name="千位分隔 8 2 4 2" xfId="6659"/>
    <cellStyle name="千位分隔 8 2 5" xfId="6660"/>
    <cellStyle name="千位分隔 8 2 5 2" xfId="6661"/>
    <cellStyle name="千位分隔 8 2 6" xfId="6662"/>
    <cellStyle name="千位分隔 8 2 6 2" xfId="6663"/>
    <cellStyle name="千位分隔 8 2 7" xfId="6664"/>
    <cellStyle name="千位分隔 8 2 8" xfId="6665"/>
    <cellStyle name="千位分隔 8 3" xfId="6666"/>
    <cellStyle name="千位分隔 8 3 2" xfId="6667"/>
    <cellStyle name="千位分隔 8 3 2 2" xfId="6668"/>
    <cellStyle name="千位分隔 8 3 3" xfId="6669"/>
    <cellStyle name="千位分隔 8 3 4" xfId="6670"/>
    <cellStyle name="千位分隔 8 4" xfId="6671"/>
    <cellStyle name="千位分隔 8 4 2" xfId="6672"/>
    <cellStyle name="千位分隔 8 5" xfId="6673"/>
    <cellStyle name="千位分隔 8 5 2" xfId="6674"/>
    <cellStyle name="千位分隔 8 6" xfId="6675"/>
    <cellStyle name="千位分隔 8 6 2" xfId="6676"/>
    <cellStyle name="千位分隔 8 7" xfId="6677"/>
    <cellStyle name="千位分隔 8 8" xfId="6678"/>
    <cellStyle name="千位分隔 8 8 2" xfId="6679"/>
    <cellStyle name="千位分隔 8 8 3" xfId="6680"/>
    <cellStyle name="千位分隔 8 8 4" xfId="6681"/>
    <cellStyle name="千位分隔 8 8 5" xfId="6682"/>
    <cellStyle name="千位分隔 8 9" xfId="6683"/>
    <cellStyle name="千位分隔 9" xfId="6684"/>
    <cellStyle name="千位分隔 9 10" xfId="6685"/>
    <cellStyle name="千位分隔 9 10 2" xfId="6686"/>
    <cellStyle name="千位分隔 9 11" xfId="6687"/>
    <cellStyle name="千位分隔 9 12" xfId="6688"/>
    <cellStyle name="千位分隔 9 2" xfId="6689"/>
    <cellStyle name="千位分隔 9 2 2" xfId="6690"/>
    <cellStyle name="千位分隔 9 2 2 2" xfId="6691"/>
    <cellStyle name="千位分隔 9 2 2 3" xfId="6692"/>
    <cellStyle name="千位分隔 9 2 2 4" xfId="6693"/>
    <cellStyle name="千位分隔 9 2 2 5" xfId="6694"/>
    <cellStyle name="千位分隔 9 2 3" xfId="6695"/>
    <cellStyle name="千位分隔 9 2 3 2" xfId="6696"/>
    <cellStyle name="千位分隔 9 2 4" xfId="6697"/>
    <cellStyle name="千位分隔 9 2 4 2" xfId="6698"/>
    <cellStyle name="千位分隔 9 2 5" xfId="6699"/>
    <cellStyle name="千位分隔 9 2 5 2" xfId="6700"/>
    <cellStyle name="千位分隔 9 2 6" xfId="6701"/>
    <cellStyle name="千位分隔 9 2 6 2" xfId="6702"/>
    <cellStyle name="千位分隔 9 2 7" xfId="6703"/>
    <cellStyle name="千位分隔 9 2 8" xfId="6704"/>
    <cellStyle name="千位分隔 9 3" xfId="6705"/>
    <cellStyle name="千位分隔 9 3 2" xfId="6706"/>
    <cellStyle name="千位分隔 9 3 3" xfId="6707"/>
    <cellStyle name="千位分隔 9 4" xfId="6708"/>
    <cellStyle name="千位分隔 9 4 2" xfId="6709"/>
    <cellStyle name="千位分隔 9 4 3" xfId="6710"/>
    <cellStyle name="千位分隔 9 5" xfId="6711"/>
    <cellStyle name="千位分隔 9 5 2" xfId="6712"/>
    <cellStyle name="千位分隔 9 5 3" xfId="6713"/>
    <cellStyle name="千位分隔 9 6" xfId="6714"/>
    <cellStyle name="千位分隔 9 6 2" xfId="6715"/>
    <cellStyle name="千位分隔 9 6 3" xfId="6716"/>
    <cellStyle name="千位分隔 9 7" xfId="6717"/>
    <cellStyle name="千位分隔 9 7 2" xfId="6718"/>
    <cellStyle name="千位分隔 9 7 3" xfId="6719"/>
    <cellStyle name="千位分隔 9 8" xfId="6720"/>
    <cellStyle name="千位分隔 9 8 2" xfId="6721"/>
    <cellStyle name="千位分隔 9 8 3" xfId="6722"/>
    <cellStyle name="千位分隔 9 8 4" xfId="6723"/>
    <cellStyle name="千位分隔 9 8 5" xfId="6724"/>
    <cellStyle name="千位分隔 9 8 6" xfId="6725"/>
    <cellStyle name="千位分隔 9 9" xfId="6726"/>
    <cellStyle name="千位分隔 9 9 2" xfId="6727"/>
    <cellStyle name="千位分隔[0] 2" xfId="6728"/>
    <cellStyle name="千位分隔[0] 2 2" xfId="6729"/>
    <cellStyle name="千位分隔[0] 2 3" xfId="6730"/>
    <cellStyle name="千位分隔[0] 3" xfId="6731"/>
    <cellStyle name="千位分隔[0] 4" xfId="6732"/>
    <cellStyle name="千位分隔[0] 5" xfId="6733"/>
    <cellStyle name="钎霖_laroux" xfId="6734"/>
    <cellStyle name="强调文字颜色 1 10" xfId="6735"/>
    <cellStyle name="强调文字颜色 1 10 2" xfId="6736"/>
    <cellStyle name="强调文字颜色 1 11" xfId="6737"/>
    <cellStyle name="强调文字颜色 1 11 2" xfId="6738"/>
    <cellStyle name="强调文字颜色 1 12" xfId="6739"/>
    <cellStyle name="强调文字颜色 1 2" xfId="6740"/>
    <cellStyle name="强调文字颜色 1 2 10" xfId="6741"/>
    <cellStyle name="强调文字颜色 1 2 2" xfId="6742"/>
    <cellStyle name="强调文字颜色 1 2 2 2" xfId="6743"/>
    <cellStyle name="强调文字颜色 1 2 2 2 2" xfId="6744"/>
    <cellStyle name="强调文字颜色 1 2 2 2 3" xfId="6745"/>
    <cellStyle name="强调文字颜色 1 2 2 2 4" xfId="6746"/>
    <cellStyle name="强调文字颜色 1 2 2 3" xfId="6747"/>
    <cellStyle name="强调文字颜色 1 2 2 4" xfId="6748"/>
    <cellStyle name="强调文字颜色 1 2 2 5" xfId="6749"/>
    <cellStyle name="强调文字颜色 1 2 2_样本-每月费用" xfId="6750"/>
    <cellStyle name="强调文字颜色 1 2 3" xfId="6751"/>
    <cellStyle name="强调文字颜色 1 2 3 2" xfId="6752"/>
    <cellStyle name="强调文字颜色 1 2 3 3" xfId="6753"/>
    <cellStyle name="强调文字颜色 1 2 3 4" xfId="6754"/>
    <cellStyle name="强调文字颜色 1 2 4" xfId="6755"/>
    <cellStyle name="强调文字颜色 1 2 4 2" xfId="6756"/>
    <cellStyle name="强调文字颜色 1 2 4 3" xfId="6757"/>
    <cellStyle name="强调文字颜色 1 2 4 4" xfId="6758"/>
    <cellStyle name="强调文字颜色 1 2 5" xfId="6759"/>
    <cellStyle name="强调文字颜色 1 2 5 2" xfId="6760"/>
    <cellStyle name="强调文字颜色 1 2 5 3" xfId="6761"/>
    <cellStyle name="强调文字颜色 1 2 5 4" xfId="6762"/>
    <cellStyle name="强调文字颜色 1 2 6" xfId="6763"/>
    <cellStyle name="强调文字颜色 1 2 6 2" xfId="6764"/>
    <cellStyle name="强调文字颜色 1 2 6 3" xfId="6765"/>
    <cellStyle name="强调文字颜色 1 2 6 4" xfId="6766"/>
    <cellStyle name="强调文字颜色 1 2 7" xfId="6767"/>
    <cellStyle name="强调文字颜色 1 2 7 2" xfId="6768"/>
    <cellStyle name="强调文字颜色 1 2 7 3" xfId="6769"/>
    <cellStyle name="强调文字颜色 1 2 7 4" xfId="6770"/>
    <cellStyle name="强调文字颜色 1 2 8" xfId="6771"/>
    <cellStyle name="强调文字颜色 1 2 8 2" xfId="6772"/>
    <cellStyle name="强调文字颜色 1 2 8 3" xfId="6773"/>
    <cellStyle name="强调文字颜色 1 2 8 4" xfId="6774"/>
    <cellStyle name="强调文字颜色 1 2 9" xfId="6775"/>
    <cellStyle name="强调文字颜色 1 3" xfId="6776"/>
    <cellStyle name="强调文字颜色 1 3 2" xfId="6777"/>
    <cellStyle name="强调文字颜色 1 4" xfId="6778"/>
    <cellStyle name="强调文字颜色 1 4 2" xfId="6779"/>
    <cellStyle name="强调文字颜色 1 5" xfId="6780"/>
    <cellStyle name="强调文字颜色 1 5 2" xfId="6781"/>
    <cellStyle name="强调文字颜色 1 6" xfId="6782"/>
    <cellStyle name="强调文字颜色 1 6 2" xfId="6783"/>
    <cellStyle name="强调文字颜色 1 7" xfId="6784"/>
    <cellStyle name="强调文字颜色 1 7 2" xfId="6785"/>
    <cellStyle name="强调文字颜色 1 8" xfId="6786"/>
    <cellStyle name="强调文字颜色 1 8 2" xfId="6787"/>
    <cellStyle name="强调文字颜色 1 9" xfId="6788"/>
    <cellStyle name="强调文字颜色 1 9 2" xfId="6789"/>
    <cellStyle name="强调文字颜色 2 10" xfId="6790"/>
    <cellStyle name="强调文字颜色 2 10 2" xfId="6791"/>
    <cellStyle name="强调文字颜色 2 11" xfId="6792"/>
    <cellStyle name="强调文字颜色 2 11 2" xfId="6793"/>
    <cellStyle name="强调文字颜色 2 12" xfId="6794"/>
    <cellStyle name="强调文字颜色 2 2" xfId="6795"/>
    <cellStyle name="强调文字颜色 2 2 10" xfId="6796"/>
    <cellStyle name="强调文字颜色 2 2 2" xfId="6797"/>
    <cellStyle name="强调文字颜色 2 2 2 2" xfId="6798"/>
    <cellStyle name="强调文字颜色 2 2 2 2 2" xfId="6799"/>
    <cellStyle name="强调文字颜色 2 2 2 2 3" xfId="6800"/>
    <cellStyle name="强调文字颜色 2 2 2 2 4" xfId="6801"/>
    <cellStyle name="强调文字颜色 2 2 2 3" xfId="6802"/>
    <cellStyle name="强调文字颜色 2 2 2 4" xfId="6803"/>
    <cellStyle name="强调文字颜色 2 2 2 5" xfId="6804"/>
    <cellStyle name="强调文字颜色 2 2 2_样本-每月费用" xfId="6805"/>
    <cellStyle name="强调文字颜色 2 2 3" xfId="6806"/>
    <cellStyle name="强调文字颜色 2 2 3 2" xfId="6807"/>
    <cellStyle name="强调文字颜色 2 2 3 3" xfId="6808"/>
    <cellStyle name="强调文字颜色 2 2 3 4" xfId="6809"/>
    <cellStyle name="强调文字颜色 2 2 4" xfId="6810"/>
    <cellStyle name="强调文字颜色 2 2 4 2" xfId="6811"/>
    <cellStyle name="强调文字颜色 2 2 4 3" xfId="6812"/>
    <cellStyle name="强调文字颜色 2 2 4 4" xfId="6813"/>
    <cellStyle name="强调文字颜色 2 2 5" xfId="6814"/>
    <cellStyle name="强调文字颜色 2 2 5 2" xfId="6815"/>
    <cellStyle name="强调文字颜色 2 2 5 3" xfId="6816"/>
    <cellStyle name="强调文字颜色 2 2 5 4" xfId="6817"/>
    <cellStyle name="强调文字颜色 2 2 6" xfId="6818"/>
    <cellStyle name="强调文字颜色 2 2 6 2" xfId="6819"/>
    <cellStyle name="强调文字颜色 2 2 6 3" xfId="6820"/>
    <cellStyle name="强调文字颜色 2 2 6 4" xfId="6821"/>
    <cellStyle name="强调文字颜色 2 2 7" xfId="6822"/>
    <cellStyle name="强调文字颜色 2 2 7 2" xfId="6823"/>
    <cellStyle name="强调文字颜色 2 2 7 3" xfId="6824"/>
    <cellStyle name="强调文字颜色 2 2 7 4" xfId="6825"/>
    <cellStyle name="强调文字颜色 2 2 8" xfId="6826"/>
    <cellStyle name="强调文字颜色 2 2 8 2" xfId="6827"/>
    <cellStyle name="强调文字颜色 2 2 8 3" xfId="6828"/>
    <cellStyle name="强调文字颜色 2 2 8 4" xfId="6829"/>
    <cellStyle name="强调文字颜色 2 2 9" xfId="6830"/>
    <cellStyle name="强调文字颜色 2 3" xfId="6831"/>
    <cellStyle name="强调文字颜色 2 3 2" xfId="6832"/>
    <cellStyle name="强调文字颜色 2 4" xfId="6833"/>
    <cellStyle name="强调文字颜色 2 4 2" xfId="6834"/>
    <cellStyle name="强调文字颜色 2 5" xfId="6835"/>
    <cellStyle name="强调文字颜色 2 5 2" xfId="6836"/>
    <cellStyle name="强调文字颜色 2 6" xfId="6837"/>
    <cellStyle name="强调文字颜色 2 6 2" xfId="6838"/>
    <cellStyle name="强调文字颜色 2 7" xfId="6839"/>
    <cellStyle name="强调文字颜色 2 7 2" xfId="6840"/>
    <cellStyle name="强调文字颜色 2 8" xfId="6841"/>
    <cellStyle name="强调文字颜色 2 8 2" xfId="6842"/>
    <cellStyle name="强调文字颜色 2 9" xfId="6843"/>
    <cellStyle name="强调文字颜色 2 9 2" xfId="6844"/>
    <cellStyle name="强调文字颜色 3 10" xfId="6845"/>
    <cellStyle name="强调文字颜色 3 10 2" xfId="6846"/>
    <cellStyle name="强调文字颜色 3 11" xfId="6847"/>
    <cellStyle name="强调文字颜色 3 11 2" xfId="6848"/>
    <cellStyle name="强调文字颜色 3 12" xfId="6849"/>
    <cellStyle name="强调文字颜色 3 2" xfId="6850"/>
    <cellStyle name="强调文字颜色 3 2 10" xfId="6851"/>
    <cellStyle name="强调文字颜色 3 2 2" xfId="6852"/>
    <cellStyle name="强调文字颜色 3 2 2 2" xfId="6853"/>
    <cellStyle name="强调文字颜色 3 2 2 2 2" xfId="6854"/>
    <cellStyle name="强调文字颜色 3 2 2 2 3" xfId="6855"/>
    <cellStyle name="强调文字颜色 3 2 2 2 4" xfId="6856"/>
    <cellStyle name="强调文字颜色 3 2 2 3" xfId="6857"/>
    <cellStyle name="强调文字颜色 3 2 2 4" xfId="6858"/>
    <cellStyle name="强调文字颜色 3 2 2 5" xfId="6859"/>
    <cellStyle name="强调文字颜色 3 2 2_样本-每月费用" xfId="6860"/>
    <cellStyle name="强调文字颜色 3 2 3" xfId="6861"/>
    <cellStyle name="强调文字颜色 3 2 3 2" xfId="6862"/>
    <cellStyle name="强调文字颜色 3 2 3 3" xfId="6863"/>
    <cellStyle name="强调文字颜色 3 2 3 4" xfId="6864"/>
    <cellStyle name="强调文字颜色 3 2 4" xfId="6865"/>
    <cellStyle name="强调文字颜色 3 2 4 2" xfId="6866"/>
    <cellStyle name="强调文字颜色 3 2 4 3" xfId="6867"/>
    <cellStyle name="强调文字颜色 3 2 4 4" xfId="6868"/>
    <cellStyle name="强调文字颜色 3 2 5" xfId="6869"/>
    <cellStyle name="强调文字颜色 3 2 5 2" xfId="6870"/>
    <cellStyle name="强调文字颜色 3 2 5 3" xfId="6871"/>
    <cellStyle name="强调文字颜色 3 2 5 4" xfId="6872"/>
    <cellStyle name="强调文字颜色 3 2 6" xfId="6873"/>
    <cellStyle name="强调文字颜色 3 2 6 2" xfId="6874"/>
    <cellStyle name="强调文字颜色 3 2 6 3" xfId="6875"/>
    <cellStyle name="强调文字颜色 3 2 6 4" xfId="6876"/>
    <cellStyle name="强调文字颜色 3 2 7" xfId="6877"/>
    <cellStyle name="强调文字颜色 3 2 7 2" xfId="6878"/>
    <cellStyle name="强调文字颜色 3 2 7 3" xfId="6879"/>
    <cellStyle name="强调文字颜色 3 2 7 4" xfId="6880"/>
    <cellStyle name="强调文字颜色 3 2 8" xfId="6881"/>
    <cellStyle name="强调文字颜色 3 2 8 2" xfId="6882"/>
    <cellStyle name="强调文字颜色 3 2 8 3" xfId="6883"/>
    <cellStyle name="强调文字颜色 3 2 8 4" xfId="6884"/>
    <cellStyle name="强调文字颜色 3 2 9" xfId="6885"/>
    <cellStyle name="强调文字颜色 3 3" xfId="6886"/>
    <cellStyle name="强调文字颜色 3 3 2" xfId="6887"/>
    <cellStyle name="强调文字颜色 3 4" xfId="6888"/>
    <cellStyle name="强调文字颜色 3 4 2" xfId="6889"/>
    <cellStyle name="强调文字颜色 3 5" xfId="6890"/>
    <cellStyle name="强调文字颜色 3 5 2" xfId="6891"/>
    <cellStyle name="强调文字颜色 3 6" xfId="6892"/>
    <cellStyle name="强调文字颜色 3 6 2" xfId="6893"/>
    <cellStyle name="强调文字颜色 3 7" xfId="6894"/>
    <cellStyle name="强调文字颜色 3 7 2" xfId="6895"/>
    <cellStyle name="强调文字颜色 3 8" xfId="6896"/>
    <cellStyle name="强调文字颜色 3 8 2" xfId="6897"/>
    <cellStyle name="强调文字颜色 3 9" xfId="6898"/>
    <cellStyle name="强调文字颜色 3 9 2" xfId="6899"/>
    <cellStyle name="强调文字颜色 4 10" xfId="6900"/>
    <cellStyle name="强调文字颜色 4 10 2" xfId="6901"/>
    <cellStyle name="强调文字颜色 4 11" xfId="6902"/>
    <cellStyle name="强调文字颜色 4 11 2" xfId="6903"/>
    <cellStyle name="强调文字颜色 4 12" xfId="6904"/>
    <cellStyle name="强调文字颜色 4 2" xfId="6905"/>
    <cellStyle name="强调文字颜色 4 2 10" xfId="6906"/>
    <cellStyle name="强调文字颜色 4 2 2" xfId="6907"/>
    <cellStyle name="强调文字颜色 4 2 2 2" xfId="6908"/>
    <cellStyle name="强调文字颜色 4 2 2 2 2" xfId="6909"/>
    <cellStyle name="强调文字颜色 4 2 2 2 3" xfId="6910"/>
    <cellStyle name="强调文字颜色 4 2 2 2 4" xfId="6911"/>
    <cellStyle name="强调文字颜色 4 2 2 3" xfId="6912"/>
    <cellStyle name="强调文字颜色 4 2 2 4" xfId="6913"/>
    <cellStyle name="强调文字颜色 4 2 2 5" xfId="6914"/>
    <cellStyle name="强调文字颜色 4 2 2_样本-每月费用" xfId="6915"/>
    <cellStyle name="强调文字颜色 4 2 3" xfId="6916"/>
    <cellStyle name="强调文字颜色 4 2 3 2" xfId="6917"/>
    <cellStyle name="强调文字颜色 4 2 3 3" xfId="6918"/>
    <cellStyle name="强调文字颜色 4 2 3 4" xfId="6919"/>
    <cellStyle name="强调文字颜色 4 2 4" xfId="6920"/>
    <cellStyle name="强调文字颜色 4 2 4 2" xfId="6921"/>
    <cellStyle name="强调文字颜色 4 2 4 3" xfId="6922"/>
    <cellStyle name="强调文字颜色 4 2 4 4" xfId="6923"/>
    <cellStyle name="强调文字颜色 4 2 5" xfId="6924"/>
    <cellStyle name="强调文字颜色 4 2 5 2" xfId="6925"/>
    <cellStyle name="强调文字颜色 4 2 5 3" xfId="6926"/>
    <cellStyle name="强调文字颜色 4 2 5 4" xfId="6927"/>
    <cellStyle name="强调文字颜色 4 2 6" xfId="6928"/>
    <cellStyle name="强调文字颜色 4 2 6 2" xfId="6929"/>
    <cellStyle name="强调文字颜色 4 2 6 3" xfId="6930"/>
    <cellStyle name="强调文字颜色 4 2 6 4" xfId="6931"/>
    <cellStyle name="强调文字颜色 4 2 7" xfId="6932"/>
    <cellStyle name="强调文字颜色 4 2 7 2" xfId="6933"/>
    <cellStyle name="强调文字颜色 4 2 7 3" xfId="6934"/>
    <cellStyle name="强调文字颜色 4 2 7 4" xfId="6935"/>
    <cellStyle name="强调文字颜色 4 2 8" xfId="6936"/>
    <cellStyle name="强调文字颜色 4 2 8 2" xfId="6937"/>
    <cellStyle name="强调文字颜色 4 2 8 3" xfId="6938"/>
    <cellStyle name="强调文字颜色 4 2 8 4" xfId="6939"/>
    <cellStyle name="强调文字颜色 4 2 9" xfId="6940"/>
    <cellStyle name="强调文字颜色 4 3" xfId="6941"/>
    <cellStyle name="强调文字颜色 4 3 2" xfId="6942"/>
    <cellStyle name="强调文字颜色 4 4" xfId="6943"/>
    <cellStyle name="强调文字颜色 4 4 2" xfId="6944"/>
    <cellStyle name="强调文字颜色 4 5" xfId="6945"/>
    <cellStyle name="强调文字颜色 4 5 2" xfId="6946"/>
    <cellStyle name="强调文字颜色 4 6" xfId="6947"/>
    <cellStyle name="强调文字颜色 4 6 2" xfId="6948"/>
    <cellStyle name="强调文字颜色 4 7" xfId="6949"/>
    <cellStyle name="强调文字颜色 4 7 2" xfId="6950"/>
    <cellStyle name="强调文字颜色 4 8" xfId="6951"/>
    <cellStyle name="强调文字颜色 4 8 2" xfId="6952"/>
    <cellStyle name="强调文字颜色 4 9" xfId="6953"/>
    <cellStyle name="强调文字颜色 4 9 2" xfId="6954"/>
    <cellStyle name="强调文字颜色 5 10" xfId="6955"/>
    <cellStyle name="强调文字颜色 5 10 2" xfId="6956"/>
    <cellStyle name="强调文字颜色 5 11" xfId="6957"/>
    <cellStyle name="强调文字颜色 5 11 2" xfId="6958"/>
    <cellStyle name="强调文字颜色 5 12" xfId="6959"/>
    <cellStyle name="强调文字颜色 5 2" xfId="6960"/>
    <cellStyle name="强调文字颜色 5 2 10" xfId="6961"/>
    <cellStyle name="强调文字颜色 5 2 2" xfId="6962"/>
    <cellStyle name="强调文字颜色 5 2 2 2" xfId="6963"/>
    <cellStyle name="强调文字颜色 5 2 2 2 2" xfId="6964"/>
    <cellStyle name="强调文字颜色 5 2 2 2 3" xfId="6965"/>
    <cellStyle name="强调文字颜色 5 2 2 2 4" xfId="6966"/>
    <cellStyle name="强调文字颜色 5 2 2 3" xfId="6967"/>
    <cellStyle name="强调文字颜色 5 2 2 4" xfId="6968"/>
    <cellStyle name="强调文字颜色 5 2 2 5" xfId="6969"/>
    <cellStyle name="强调文字颜色 5 2 2_样本-每月费用" xfId="6970"/>
    <cellStyle name="强调文字颜色 5 2 3" xfId="6971"/>
    <cellStyle name="强调文字颜色 5 2 3 2" xfId="6972"/>
    <cellStyle name="强调文字颜色 5 2 3 3" xfId="6973"/>
    <cellStyle name="强调文字颜色 5 2 3 4" xfId="6974"/>
    <cellStyle name="强调文字颜色 5 2 4" xfId="6975"/>
    <cellStyle name="强调文字颜色 5 2 4 2" xfId="6976"/>
    <cellStyle name="强调文字颜色 5 2 4 3" xfId="6977"/>
    <cellStyle name="强调文字颜色 5 2 4 4" xfId="6978"/>
    <cellStyle name="强调文字颜色 5 2 5" xfId="6979"/>
    <cellStyle name="强调文字颜色 5 2 5 2" xfId="6980"/>
    <cellStyle name="强调文字颜色 5 2 5 3" xfId="6981"/>
    <cellStyle name="强调文字颜色 5 2 5 4" xfId="6982"/>
    <cellStyle name="强调文字颜色 5 2 6" xfId="6983"/>
    <cellStyle name="强调文字颜色 5 2 6 2" xfId="6984"/>
    <cellStyle name="强调文字颜色 5 2 6 3" xfId="6985"/>
    <cellStyle name="强调文字颜色 5 2 6 4" xfId="6986"/>
    <cellStyle name="强调文字颜色 5 2 7" xfId="6987"/>
    <cellStyle name="强调文字颜色 5 2 7 2" xfId="6988"/>
    <cellStyle name="强调文字颜色 5 2 7 3" xfId="6989"/>
    <cellStyle name="强调文字颜色 5 2 7 4" xfId="6990"/>
    <cellStyle name="强调文字颜色 5 2 8" xfId="6991"/>
    <cellStyle name="强调文字颜色 5 2 8 2" xfId="6992"/>
    <cellStyle name="强调文字颜色 5 2 8 3" xfId="6993"/>
    <cellStyle name="强调文字颜色 5 2 8 4" xfId="6994"/>
    <cellStyle name="强调文字颜色 5 2 9" xfId="6995"/>
    <cellStyle name="强调文字颜色 5 3" xfId="6996"/>
    <cellStyle name="强调文字颜色 5 3 2" xfId="6997"/>
    <cellStyle name="强调文字颜色 5 4" xfId="6998"/>
    <cellStyle name="强调文字颜色 5 4 2" xfId="6999"/>
    <cellStyle name="强调文字颜色 5 5" xfId="7000"/>
    <cellStyle name="强调文字颜色 5 5 2" xfId="7001"/>
    <cellStyle name="强调文字颜色 5 6" xfId="7002"/>
    <cellStyle name="强调文字颜色 5 6 2" xfId="7003"/>
    <cellStyle name="强调文字颜色 5 7" xfId="7004"/>
    <cellStyle name="强调文字颜色 5 7 2" xfId="7005"/>
    <cellStyle name="强调文字颜色 5 8" xfId="7006"/>
    <cellStyle name="强调文字颜色 5 8 2" xfId="7007"/>
    <cellStyle name="强调文字颜色 5 9" xfId="7008"/>
    <cellStyle name="强调文字颜色 5 9 2" xfId="7009"/>
    <cellStyle name="强调文字颜色 6 10" xfId="7010"/>
    <cellStyle name="强调文字颜色 6 10 2" xfId="7011"/>
    <cellStyle name="强调文字颜色 6 11" xfId="7012"/>
    <cellStyle name="强调文字颜色 6 11 2" xfId="7013"/>
    <cellStyle name="强调文字颜色 6 12" xfId="7014"/>
    <cellStyle name="强调文字颜色 6 2" xfId="7015"/>
    <cellStyle name="强调文字颜色 6 2 10" xfId="7016"/>
    <cellStyle name="强调文字颜色 6 2 2" xfId="7017"/>
    <cellStyle name="强调文字颜色 6 2 2 2" xfId="7018"/>
    <cellStyle name="强调文字颜色 6 2 2 2 2" xfId="7019"/>
    <cellStyle name="强调文字颜色 6 2 2 2 3" xfId="7020"/>
    <cellStyle name="强调文字颜色 6 2 2 2 4" xfId="7021"/>
    <cellStyle name="强调文字颜色 6 2 2 3" xfId="7022"/>
    <cellStyle name="强调文字颜色 6 2 2 4" xfId="7023"/>
    <cellStyle name="强调文字颜色 6 2 2 5" xfId="7024"/>
    <cellStyle name="强调文字颜色 6 2 2_样本-每月费用" xfId="7025"/>
    <cellStyle name="强调文字颜色 6 2 3" xfId="7026"/>
    <cellStyle name="强调文字颜色 6 2 3 2" xfId="7027"/>
    <cellStyle name="强调文字颜色 6 2 3 3" xfId="7028"/>
    <cellStyle name="强调文字颜色 6 2 3 4" xfId="7029"/>
    <cellStyle name="强调文字颜色 6 2 4" xfId="7030"/>
    <cellStyle name="强调文字颜色 6 2 4 2" xfId="7031"/>
    <cellStyle name="强调文字颜色 6 2 4 3" xfId="7032"/>
    <cellStyle name="强调文字颜色 6 2 4 4" xfId="7033"/>
    <cellStyle name="强调文字颜色 6 2 5" xfId="7034"/>
    <cellStyle name="强调文字颜色 6 2 5 2" xfId="7035"/>
    <cellStyle name="强调文字颜色 6 2 5 3" xfId="7036"/>
    <cellStyle name="强调文字颜色 6 2 5 4" xfId="7037"/>
    <cellStyle name="强调文字颜色 6 2 6" xfId="7038"/>
    <cellStyle name="强调文字颜色 6 2 6 2" xfId="7039"/>
    <cellStyle name="强调文字颜色 6 2 6 3" xfId="7040"/>
    <cellStyle name="强调文字颜色 6 2 6 4" xfId="7041"/>
    <cellStyle name="强调文字颜色 6 2 7" xfId="7042"/>
    <cellStyle name="强调文字颜色 6 2 7 2" xfId="7043"/>
    <cellStyle name="强调文字颜色 6 2 7 3" xfId="7044"/>
    <cellStyle name="强调文字颜色 6 2 7 4" xfId="7045"/>
    <cellStyle name="强调文字颜色 6 2 8" xfId="7046"/>
    <cellStyle name="强调文字颜色 6 2 8 2" xfId="7047"/>
    <cellStyle name="强调文字颜色 6 2 8 3" xfId="7048"/>
    <cellStyle name="强调文字颜色 6 2 8 4" xfId="7049"/>
    <cellStyle name="强调文字颜色 6 2 9" xfId="7050"/>
    <cellStyle name="强调文字颜色 6 3" xfId="7051"/>
    <cellStyle name="强调文字颜色 6 3 2" xfId="7052"/>
    <cellStyle name="强调文字颜色 6 4" xfId="7053"/>
    <cellStyle name="强调文字颜色 6 4 2" xfId="7054"/>
    <cellStyle name="强调文字颜色 6 5" xfId="7055"/>
    <cellStyle name="强调文字颜色 6 5 2" xfId="7056"/>
    <cellStyle name="强调文字颜色 6 6" xfId="7057"/>
    <cellStyle name="强调文字颜色 6 6 2" xfId="7058"/>
    <cellStyle name="强调文字颜色 6 7" xfId="7059"/>
    <cellStyle name="强调文字颜色 6 7 2" xfId="7060"/>
    <cellStyle name="强调文字颜色 6 8" xfId="7061"/>
    <cellStyle name="强调文字颜色 6 8 2" xfId="7062"/>
    <cellStyle name="强调文字颜色 6 9" xfId="7063"/>
    <cellStyle name="强调文字颜色 6 9 2" xfId="7064"/>
    <cellStyle name="适中 10" xfId="7065"/>
    <cellStyle name="适中 10 2" xfId="7066"/>
    <cellStyle name="适中 11" xfId="7067"/>
    <cellStyle name="适中 11 2" xfId="7068"/>
    <cellStyle name="适中 12" xfId="7069"/>
    <cellStyle name="适中 2" xfId="7070"/>
    <cellStyle name="适中 2 10" xfId="7071"/>
    <cellStyle name="适中 2 2" xfId="7072"/>
    <cellStyle name="适中 2 2 2" xfId="7073"/>
    <cellStyle name="适中 2 2 2 2" xfId="7074"/>
    <cellStyle name="适中 2 2 2 3" xfId="7075"/>
    <cellStyle name="适中 2 2 2 4" xfId="7076"/>
    <cellStyle name="适中 2 2 3" xfId="7077"/>
    <cellStyle name="适中 2 2 3 2" xfId="7078"/>
    <cellStyle name="适中 2 2 4" xfId="7079"/>
    <cellStyle name="适中 2 2 4 2" xfId="7080"/>
    <cellStyle name="适中 2 2 5" xfId="7081"/>
    <cellStyle name="适中 2 2 5 2" xfId="7082"/>
    <cellStyle name="适中 2 2 6" xfId="7083"/>
    <cellStyle name="适中 2 2 6 2" xfId="7084"/>
    <cellStyle name="适中 2 2 7" xfId="7085"/>
    <cellStyle name="适中 2 2_样本-每月费用" xfId="7086"/>
    <cellStyle name="适中 2 3" xfId="7087"/>
    <cellStyle name="适中 2 3 2" xfId="7088"/>
    <cellStyle name="适中 2 3 3" xfId="7089"/>
    <cellStyle name="适中 2 3 4" xfId="7090"/>
    <cellStyle name="适中 2 4" xfId="7091"/>
    <cellStyle name="适中 2 4 2" xfId="7092"/>
    <cellStyle name="适中 2 4 3" xfId="7093"/>
    <cellStyle name="适中 2 4 4" xfId="7094"/>
    <cellStyle name="适中 2 5" xfId="7095"/>
    <cellStyle name="适中 2 5 2" xfId="7096"/>
    <cellStyle name="适中 2 5 3" xfId="7097"/>
    <cellStyle name="适中 2 5 4" xfId="7098"/>
    <cellStyle name="适中 2 6" xfId="7099"/>
    <cellStyle name="适中 2 6 2" xfId="7100"/>
    <cellStyle name="适中 2 6 3" xfId="7101"/>
    <cellStyle name="适中 2 6 4" xfId="7102"/>
    <cellStyle name="适中 2 7" xfId="7103"/>
    <cellStyle name="适中 2 7 2" xfId="7104"/>
    <cellStyle name="适中 2 7 3" xfId="7105"/>
    <cellStyle name="适中 2 7 4" xfId="7106"/>
    <cellStyle name="适中 2 8" xfId="7107"/>
    <cellStyle name="适中 2 8 2" xfId="7108"/>
    <cellStyle name="适中 2 8 3" xfId="7109"/>
    <cellStyle name="适中 2 8 4" xfId="7110"/>
    <cellStyle name="适中 2 9" xfId="7111"/>
    <cellStyle name="适中 3" xfId="7112"/>
    <cellStyle name="适中 3 2" xfId="7113"/>
    <cellStyle name="适中 3 2 2" xfId="7114"/>
    <cellStyle name="适中 3 3" xfId="7115"/>
    <cellStyle name="适中 3 3 2" xfId="7116"/>
    <cellStyle name="适中 3 4" xfId="7117"/>
    <cellStyle name="适中 3 4 2" xfId="7118"/>
    <cellStyle name="适中 3 5" xfId="7119"/>
    <cellStyle name="适中 3 5 2" xfId="7120"/>
    <cellStyle name="适中 3 6" xfId="7121"/>
    <cellStyle name="适中 3 6 2" xfId="7122"/>
    <cellStyle name="适中 3 7" xfId="7123"/>
    <cellStyle name="适中 4" xfId="7124"/>
    <cellStyle name="适中 4 2" xfId="7125"/>
    <cellStyle name="适中 5" xfId="7126"/>
    <cellStyle name="适中 5 2" xfId="7127"/>
    <cellStyle name="适中 6" xfId="7128"/>
    <cellStyle name="适中 6 2" xfId="7129"/>
    <cellStyle name="适中 7" xfId="7130"/>
    <cellStyle name="适中 7 2" xfId="7131"/>
    <cellStyle name="适中 8" xfId="7132"/>
    <cellStyle name="适中 8 2" xfId="7133"/>
    <cellStyle name="适中 9" xfId="7134"/>
    <cellStyle name="适中 9 2" xfId="7135"/>
    <cellStyle name="输出 10" xfId="7136"/>
    <cellStyle name="输出 10 2" xfId="7137"/>
    <cellStyle name="输出 11" xfId="7138"/>
    <cellStyle name="输出 11 2" xfId="7139"/>
    <cellStyle name="输出 12" xfId="7140"/>
    <cellStyle name="输出 2" xfId="7141"/>
    <cellStyle name="输出 2 10" xfId="7142"/>
    <cellStyle name="输出 2 2" xfId="7143"/>
    <cellStyle name="输出 2 2 2" xfId="7144"/>
    <cellStyle name="输出 2 2 2 2" xfId="7145"/>
    <cellStyle name="输出 2 2 2 3" xfId="7146"/>
    <cellStyle name="输出 2 2 2 4" xfId="7147"/>
    <cellStyle name="输出 2 2 3" xfId="7148"/>
    <cellStyle name="输出 2 2 4" xfId="7149"/>
    <cellStyle name="输出 2 2 5" xfId="7150"/>
    <cellStyle name="输出 2 2_样本-每月费用" xfId="7151"/>
    <cellStyle name="输出 2 3" xfId="7152"/>
    <cellStyle name="输出 2 3 2" xfId="7153"/>
    <cellStyle name="输出 2 3 3" xfId="7154"/>
    <cellStyle name="输出 2 3 4" xfId="7155"/>
    <cellStyle name="输出 2 4" xfId="7156"/>
    <cellStyle name="输出 2 4 2" xfId="7157"/>
    <cellStyle name="输出 2 4 3" xfId="7158"/>
    <cellStyle name="输出 2 4 4" xfId="7159"/>
    <cellStyle name="输出 2 5" xfId="7160"/>
    <cellStyle name="输出 2 5 2" xfId="7161"/>
    <cellStyle name="输出 2 5 3" xfId="7162"/>
    <cellStyle name="输出 2 5 4" xfId="7163"/>
    <cellStyle name="输出 2 6" xfId="7164"/>
    <cellStyle name="输出 2 6 2" xfId="7165"/>
    <cellStyle name="输出 2 6 3" xfId="7166"/>
    <cellStyle name="输出 2 6 4" xfId="7167"/>
    <cellStyle name="输出 2 7" xfId="7168"/>
    <cellStyle name="输出 2 7 2" xfId="7169"/>
    <cellStyle name="输出 2 7 3" xfId="7170"/>
    <cellStyle name="输出 2 7 4" xfId="7171"/>
    <cellStyle name="输出 2 8" xfId="7172"/>
    <cellStyle name="输出 2 8 2" xfId="7173"/>
    <cellStyle name="输出 2 8 3" xfId="7174"/>
    <cellStyle name="输出 2 8 4" xfId="7175"/>
    <cellStyle name="输出 2 9" xfId="7176"/>
    <cellStyle name="输出 3" xfId="7177"/>
    <cellStyle name="输出 3 2" xfId="7178"/>
    <cellStyle name="输出 4" xfId="7179"/>
    <cellStyle name="输出 4 2" xfId="7180"/>
    <cellStyle name="输出 5" xfId="7181"/>
    <cellStyle name="输出 5 2" xfId="7182"/>
    <cellStyle name="输出 6" xfId="7183"/>
    <cellStyle name="输出 6 2" xfId="7184"/>
    <cellStyle name="输出 7" xfId="7185"/>
    <cellStyle name="输出 7 2" xfId="7186"/>
    <cellStyle name="输出 8" xfId="7187"/>
    <cellStyle name="输出 8 2" xfId="7188"/>
    <cellStyle name="输出 9" xfId="7189"/>
    <cellStyle name="输出 9 2" xfId="7190"/>
    <cellStyle name="输入 10" xfId="7191"/>
    <cellStyle name="输入 10 2" xfId="7192"/>
    <cellStyle name="输入 11" xfId="7193"/>
    <cellStyle name="输入 11 2" xfId="7194"/>
    <cellStyle name="输入 12" xfId="7195"/>
    <cellStyle name="输入 2" xfId="7196"/>
    <cellStyle name="输入 2 10" xfId="7197"/>
    <cellStyle name="输入 2 2" xfId="7198"/>
    <cellStyle name="输入 2 2 2" xfId="7199"/>
    <cellStyle name="输入 2 2 2 2" xfId="7200"/>
    <cellStyle name="输入 2 2 2 3" xfId="7201"/>
    <cellStyle name="输入 2 2 2 4" xfId="7202"/>
    <cellStyle name="输入 2 2 3" xfId="7203"/>
    <cellStyle name="输入 2 2 4" xfId="7204"/>
    <cellStyle name="输入 2 2 5" xfId="7205"/>
    <cellStyle name="输入 2 2_样本-每月费用" xfId="7206"/>
    <cellStyle name="输入 2 3" xfId="7207"/>
    <cellStyle name="输入 2 3 2" xfId="7208"/>
    <cellStyle name="输入 2 3 3" xfId="7209"/>
    <cellStyle name="输入 2 3 4" xfId="7210"/>
    <cellStyle name="输入 2 4" xfId="7211"/>
    <cellStyle name="输入 2 4 2" xfId="7212"/>
    <cellStyle name="输入 2 4 3" xfId="7213"/>
    <cellStyle name="输入 2 4 4" xfId="7214"/>
    <cellStyle name="输入 2 5" xfId="7215"/>
    <cellStyle name="输入 2 5 2" xfId="7216"/>
    <cellStyle name="输入 2 5 3" xfId="7217"/>
    <cellStyle name="输入 2 5 4" xfId="7218"/>
    <cellStyle name="输入 2 6" xfId="7219"/>
    <cellStyle name="输入 2 6 2" xfId="7220"/>
    <cellStyle name="输入 2 6 3" xfId="7221"/>
    <cellStyle name="输入 2 6 4" xfId="7222"/>
    <cellStyle name="输入 2 7" xfId="7223"/>
    <cellStyle name="输入 2 7 2" xfId="7224"/>
    <cellStyle name="输入 2 7 3" xfId="7225"/>
    <cellStyle name="输入 2 7 4" xfId="7226"/>
    <cellStyle name="输入 2 8" xfId="7227"/>
    <cellStyle name="输入 2 8 2" xfId="7228"/>
    <cellStyle name="输入 2 8 3" xfId="7229"/>
    <cellStyle name="输入 2 8 4" xfId="7230"/>
    <cellStyle name="输入 2 9" xfId="7231"/>
    <cellStyle name="输入 3" xfId="7232"/>
    <cellStyle name="输入 3 2" xfId="7233"/>
    <cellStyle name="输入 4" xfId="7234"/>
    <cellStyle name="输入 4 2" xfId="7235"/>
    <cellStyle name="输入 5" xfId="7236"/>
    <cellStyle name="输入 5 2" xfId="7237"/>
    <cellStyle name="输入 6" xfId="7238"/>
    <cellStyle name="输入 6 2" xfId="7239"/>
    <cellStyle name="输入 7" xfId="7240"/>
    <cellStyle name="输入 7 2" xfId="7241"/>
    <cellStyle name="输入 8" xfId="7242"/>
    <cellStyle name="输入 8 2" xfId="7243"/>
    <cellStyle name="输入 9" xfId="7244"/>
    <cellStyle name="输入 9 2" xfId="7245"/>
    <cellStyle name="样式 1" xfId="7246"/>
    <cellStyle name="样式 1 2" xfId="7247"/>
    <cellStyle name="样式 1 2 2" xfId="7248"/>
    <cellStyle name="样式 1 3" xfId="7249"/>
    <cellStyle name="样式 1 4" xfId="7250"/>
    <cellStyle name="样式 1_1009012010年8月天鹅湖销售费用预算(财务）" xfId="7251"/>
    <cellStyle name="样式 2" xfId="7252"/>
    <cellStyle name="样式 2 2" xfId="7253"/>
    <cellStyle name="样式 3" xfId="7254"/>
    <cellStyle name="样式 4" xfId="7255"/>
    <cellStyle name="样式 5" xfId="7256"/>
    <cellStyle name="样式 6" xfId="7257"/>
    <cellStyle name="样式 7" xfId="7258"/>
    <cellStyle name="一般_3202013" xfId="7259"/>
    <cellStyle name="昗弨_Pacific Region P&amp;L" xfId="7260"/>
    <cellStyle name="寘嬫愗傝 [0.00]_Region Orders (2)" xfId="7261"/>
    <cellStyle name="寘嬫愗傝_Region Orders (2)" xfId="7262"/>
    <cellStyle name="注释 10" xfId="7263"/>
    <cellStyle name="注释 10 2" xfId="7264"/>
    <cellStyle name="注释 11" xfId="7265"/>
    <cellStyle name="注释 11 2" xfId="7266"/>
    <cellStyle name="注释 12" xfId="7267"/>
    <cellStyle name="注释 2" xfId="7268"/>
    <cellStyle name="注释 2 10" xfId="7269"/>
    <cellStyle name="注释 2 2" xfId="7270"/>
    <cellStyle name="注释 2 2 2" xfId="7271"/>
    <cellStyle name="注释 2 2 2 2" xfId="7272"/>
    <cellStyle name="注释 2 2 2 3" xfId="7273"/>
    <cellStyle name="注释 2 2 2 4" xfId="7274"/>
    <cellStyle name="注释 2 2 3" xfId="7275"/>
    <cellStyle name="注释 2 2 3 2" xfId="7276"/>
    <cellStyle name="注释 2 2 4" xfId="7277"/>
    <cellStyle name="注释 2 2 5" xfId="7278"/>
    <cellStyle name="注释 2 2 6" xfId="7279"/>
    <cellStyle name="注释 2 2_样本-每月费用" xfId="7280"/>
    <cellStyle name="注释 2 3" xfId="7281"/>
    <cellStyle name="注释 2 3 2" xfId="7282"/>
    <cellStyle name="注释 2 3 2 2" xfId="7283"/>
    <cellStyle name="注释 2 3 3" xfId="7284"/>
    <cellStyle name="注释 2 3 4" xfId="7285"/>
    <cellStyle name="注释 2 4" xfId="7286"/>
    <cellStyle name="注释 2 4 2" xfId="7287"/>
    <cellStyle name="注释 2 4 2 2" xfId="7288"/>
    <cellStyle name="注释 2 4 3" xfId="7289"/>
    <cellStyle name="注释 2 4 4" xfId="7290"/>
    <cellStyle name="注释 2 5" xfId="7291"/>
    <cellStyle name="注释 2 5 2" xfId="7292"/>
    <cellStyle name="注释 2 5 2 2" xfId="7293"/>
    <cellStyle name="注释 2 5 3" xfId="7294"/>
    <cellStyle name="注释 2 5 4" xfId="7295"/>
    <cellStyle name="注释 2 6" xfId="7296"/>
    <cellStyle name="注释 2 6 2" xfId="7297"/>
    <cellStyle name="注释 2 6 3" xfId="7298"/>
    <cellStyle name="注释 2 6 4" xfId="7299"/>
    <cellStyle name="注释 2 7" xfId="7300"/>
    <cellStyle name="注释 2 7 2" xfId="7301"/>
    <cellStyle name="注释 2 7 3" xfId="7302"/>
    <cellStyle name="注释 2 7 4" xfId="7303"/>
    <cellStyle name="注释 2 8" xfId="7304"/>
    <cellStyle name="注释 2 8 2" xfId="7305"/>
    <cellStyle name="注释 2 8 3" xfId="7306"/>
    <cellStyle name="注释 2 8 4" xfId="7307"/>
    <cellStyle name="注释 2 9" xfId="7308"/>
    <cellStyle name="注释 2 9 2" xfId="7309"/>
    <cellStyle name="注释 3" xfId="7310"/>
    <cellStyle name="注释 3 2" xfId="7311"/>
    <cellStyle name="注释 4" xfId="7312"/>
    <cellStyle name="注释 4 2" xfId="7313"/>
    <cellStyle name="注释 5" xfId="7314"/>
    <cellStyle name="注释 5 2" xfId="7315"/>
    <cellStyle name="注释 6" xfId="7316"/>
    <cellStyle name="注释 6 2" xfId="7317"/>
    <cellStyle name="注释 7" xfId="7318"/>
    <cellStyle name="注释 7 2" xfId="7319"/>
    <cellStyle name="注释 8" xfId="7320"/>
    <cellStyle name="注释 8 2" xfId="7321"/>
    <cellStyle name="注释 9" xfId="7322"/>
    <cellStyle name="注释 9 2" xfId="7323"/>
    <cellStyle name="着色 1" xfId="7324"/>
    <cellStyle name="着色 2" xfId="7325"/>
    <cellStyle name="着色 3" xfId="7326"/>
    <cellStyle name="着色 4" xfId="7327"/>
    <cellStyle name="着色 5" xfId="7328"/>
    <cellStyle name="着色 6" xfId="7329"/>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14</xdr:col>
      <xdr:colOff>457200</xdr:colOff>
      <xdr:row>54</xdr:row>
      <xdr:rowOff>59522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450"/>
          <a:ext cx="10058400" cy="6917522"/>
        </a:xfrm>
        <a:prstGeom prst="rect">
          <a:avLst/>
        </a:prstGeom>
      </xdr:spPr>
    </xdr:pic>
    <xdr:clientData/>
  </xdr:twoCellAnchor>
  <xdr:twoCellAnchor editAs="oneCell">
    <xdr:from>
      <xdr:col>0</xdr:col>
      <xdr:colOff>0</xdr:colOff>
      <xdr:row>56</xdr:row>
      <xdr:rowOff>0</xdr:rowOff>
    </xdr:from>
    <xdr:to>
      <xdr:col>11</xdr:col>
      <xdr:colOff>577344</xdr:colOff>
      <xdr:row>101</xdr:row>
      <xdr:rowOff>95250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658350"/>
          <a:ext cx="8121144" cy="7810500"/>
        </a:xfrm>
        <a:prstGeom prst="rect">
          <a:avLst/>
        </a:prstGeom>
      </xdr:spPr>
    </xdr:pic>
    <xdr:clientData/>
  </xdr:twoCellAnchor>
  <xdr:twoCellAnchor editAs="oneCell">
    <xdr:from>
      <xdr:col>1</xdr:col>
      <xdr:colOff>73800</xdr:colOff>
      <xdr:row>152</xdr:row>
      <xdr:rowOff>64275</xdr:rowOff>
    </xdr:from>
    <xdr:to>
      <xdr:col>12</xdr:col>
      <xdr:colOff>16650</xdr:colOff>
      <xdr:row>200</xdr:row>
      <xdr:rowOff>159525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9600" y="26181825"/>
          <a:ext cx="7486650" cy="8324850"/>
        </a:xfrm>
        <a:prstGeom prst="rect">
          <a:avLst/>
        </a:prstGeom>
      </xdr:spPr>
    </xdr:pic>
    <xdr:clientData/>
  </xdr:twoCellAnchor>
  <xdr:twoCellAnchor editAs="oneCell">
    <xdr:from>
      <xdr:col>1</xdr:col>
      <xdr:colOff>171450</xdr:colOff>
      <xdr:row>102</xdr:row>
      <xdr:rowOff>52350</xdr:rowOff>
    </xdr:from>
    <xdr:to>
      <xdr:col>12</xdr:col>
      <xdr:colOff>161925</xdr:colOff>
      <xdr:row>151</xdr:row>
      <xdr:rowOff>4725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17597400"/>
          <a:ext cx="7534275" cy="8353425"/>
        </a:xfrm>
        <a:prstGeom prst="rect">
          <a:avLst/>
        </a:prstGeom>
      </xdr:spPr>
    </xdr:pic>
    <xdr:clientData/>
  </xdr:twoCellAnchor>
  <xdr:twoCellAnchor editAs="oneCell">
    <xdr:from>
      <xdr:col>15</xdr:col>
      <xdr:colOff>0</xdr:colOff>
      <xdr:row>14</xdr:row>
      <xdr:rowOff>0</xdr:rowOff>
    </xdr:from>
    <xdr:to>
      <xdr:col>29</xdr:col>
      <xdr:colOff>457200</xdr:colOff>
      <xdr:row>51</xdr:row>
      <xdr:rowOff>15854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287000" y="2457450"/>
          <a:ext cx="10058400" cy="63595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95</xdr:row>
      <xdr:rowOff>0</xdr:rowOff>
    </xdr:from>
    <xdr:to>
      <xdr:col>16</xdr:col>
      <xdr:colOff>390525</xdr:colOff>
      <xdr:row>134</xdr:row>
      <xdr:rowOff>123825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4800" y="16287750"/>
          <a:ext cx="7248525" cy="6810375"/>
        </a:xfrm>
        <a:prstGeom prst="rect">
          <a:avLst/>
        </a:prstGeom>
      </xdr:spPr>
    </xdr:pic>
    <xdr:clientData/>
  </xdr:twoCellAnchor>
  <xdr:twoCellAnchor editAs="oneCell">
    <xdr:from>
      <xdr:col>0</xdr:col>
      <xdr:colOff>0</xdr:colOff>
      <xdr:row>0</xdr:row>
      <xdr:rowOff>0</xdr:rowOff>
    </xdr:from>
    <xdr:to>
      <xdr:col>10</xdr:col>
      <xdr:colOff>390525</xdr:colOff>
      <xdr:row>39</xdr:row>
      <xdr:rowOff>123825</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48525" cy="6810375"/>
        </a:xfrm>
        <a:prstGeom prst="rect">
          <a:avLst/>
        </a:prstGeom>
      </xdr:spPr>
    </xdr:pic>
    <xdr:clientData/>
  </xdr:twoCellAnchor>
  <xdr:twoCellAnchor editAs="oneCell">
    <xdr:from>
      <xdr:col>10</xdr:col>
      <xdr:colOff>361950</xdr:colOff>
      <xdr:row>0</xdr:row>
      <xdr:rowOff>0</xdr:rowOff>
    </xdr:from>
    <xdr:to>
      <xdr:col>16</xdr:col>
      <xdr:colOff>495300</xdr:colOff>
      <xdr:row>39</xdr:row>
      <xdr:rowOff>9525</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19950" y="0"/>
          <a:ext cx="4248150" cy="6696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38379;&#24503;&#24544;\&#22823;&#36830;&#21644;&#24179;&#24191;&#22330;\WFW311\TEMP\GP\GP_Ph1\SBB-OIs\Hel-O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ebmail-ent.21cn.com/ry/crland/&#36130;&#21153;/CRLand/2003&#24180;&#39044;&#31639;/&#26631;&#20934;&#26684;&#24335;/&#26376;&#24230;/6s&#25253;&#34920;&#27169;&#29256;-CRLAND&#24635;&#349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38379;&#24503;&#24544;\&#22823;&#36830;&#21644;&#24179;&#24191;&#22330;\WFW311\TEMP\GP\tamer\WINDOWS\GP_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01\develop$\&#21508;&#39033;&#30446;&#27979;&#31639;&#36807;&#31243;&#36164;&#26009;\&#35266;&#23665;&#27700;\&#26149;&#26862;&#24444;&#23736;&#27979;&#31639;&#65288;&#32451;&#20064;&#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ebmail-ent.21cn.com/WINDOWS/TEMP/&#19978;&#28070;&#39044;&#31639;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y\d\LYF\&#23665;&#19996;&#25915;&#31243;\&#38738;&#23707;&#25915;&#31243;\&#38738;&#23707;&#22269;&#31246;\&#25253;&#20215;\&#22825;&#27888;&#24067;&#3244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unco\&#36816;&#33829;&#20849;&#20139;\Documents%20and%20Settings\lenovo\My%20Documents\&#26080;&#38177;&#20844;&#21496;&#26376;&#25253;&#27169;&#26495;\&#19978;&#28023;&#39034;&#39536;&#39033;&#30446;&#22857;&#36132;&#35745;&#21010;&#25104;&#26412;&#39044;&#31639;&#26126;&#324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mail-ent.21cn.com/ry/crland/&#36130;&#21153;/CRLand/2002&#24180;&#39044;&#31639;/&#26631;&#20934;&#26684;&#24335;/&#30707;&#26757;&#28286;-6S&#39044;&#3163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9978;&#28023;&#26494;&#27743;&#34701;&#21019;/&#36164;&#26009;/&#27863;&#27902;&#39033;&#30446;&#27979;&#31639;201805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SUNJIN/EXC/&#23385;&#22806;&#2013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38379;&#24503;&#24544;\&#22823;&#36830;&#21644;&#24179;&#24191;&#22330;\WFW311\TEMP\Spares\FILES\SMCTS2\SMCTSSP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09&#37096;&#38376;&#31649;&#29702;\2007&#39044;&#31639;\PWIN98\TEMP\CRLD990000-BU2005v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ESTIMA~1/LIN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3385;&#24535;&#32418;\026&#27888;&#36798;&#21307;&#38498;\2002&#26041;&#26696;\0325&#20108;&#21313;&#19968;&#19990;&#32426;&#22823;&#21414;\&#21407;&#25991;&#20214;\&#27719;&#24635;\excel\&#19968;&#21345;&#368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iaoxiaojie\&#21271;&#20140;&#20844;&#21496;\&#31532;&#20108;&#29256;\Documents%20and%20Settings\hf0287\Local%20Settings\Temporary%20Internet%20Files\Content.IE5\4HUV89YZ\&#21326;&#28070;&#32622;&#22320;&#22320;&#21306;&#20844;&#21496;&#65288;&#24320;&#21457;&#31995;&#32479;&#65289;&#39044;&#31639;&#27169;&#26495;&#65288;2005&#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38379;&#24503;&#24544;\&#22823;&#36830;&#21644;&#24179;&#24191;&#22330;\&#21457;\2000%20price-&#20013;&#25991;%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NYI\2004&#24180;&#39044;&#31639;\ry\crland\&#36130;&#21153;\CRLand\2003&#24180;&#39044;&#31639;\&#38598;&#22242;&#26032;&#29256;6S\CRLand%202003%20Budget%20(CRC%20Version)-&#26368;&#21518;&#312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TEO"/>
      <sheetName val="Open"/>
      <sheetName val="清单1"/>
      <sheetName val="Sheet2"/>
      <sheetName val="项目指标"/>
      <sheetName val="合同台账"/>
      <sheetName val="动态成本"/>
      <sheetName val="付款台账"/>
      <sheetName val="附表1"/>
      <sheetName val="eqpmad2"/>
      <sheetName val="方案4"/>
      <sheetName val="Sheet1"/>
      <sheetName val="TEMP"/>
      <sheetName val="XL4Poppy"/>
      <sheetName val="KKKKKKKK"/>
      <sheetName val="99CCTV"/>
      <sheetName val="基本设置"/>
      <sheetName val="Sheet9"/>
      <sheetName val="Toolbox"/>
      <sheetName val="G.1R-Shou COP Gf"/>
      <sheetName val="方案1"/>
      <sheetName val="会计毛利"/>
      <sheetName val="销售计划"/>
      <sheetName val="Main"/>
      <sheetName val="成本0601"/>
      <sheetName val="POWER ASSUMPTIONS"/>
      <sheetName val="系数516"/>
      <sheetName val="Financ. Overview"/>
      <sheetName val="钢筋调价汇总表"/>
      <sheetName val="Parameters"/>
      <sheetName val="成本测算"/>
      <sheetName val="安装"/>
      <sheetName val="Mp-team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BS-Dummy"/>
      <sheetName val="打印目录"/>
      <sheetName val="CRL"/>
      <sheetName val="CRLBJ"/>
      <sheetName val="总部费用"/>
      <sheetName val="项目费用"/>
      <sheetName val="Sheet38"/>
      <sheetName val="基础资料（B）"/>
      <sheetName val="单方成本测算(帐面)"/>
      <sheetName val="成本结转表(IFRS)"/>
      <sheetName val="CFS"/>
      <sheetName val="CJA 2006"/>
      <sheetName val="报表项目基本情况表"/>
      <sheetName val="PL 2007"/>
      <sheetName val="PL 2005"/>
      <sheetName val="PL 2006"/>
      <sheetName val="Sheet1"/>
      <sheetName val="eqpmad2"/>
      <sheetName val="Open"/>
      <sheetName val="方案4"/>
      <sheetName val="XL4Poppy"/>
      <sheetName val="成本测算"/>
      <sheetName val="资产品名库"/>
      <sheetName val="资产负债表"/>
      <sheetName val="华房01"/>
      <sheetName val="健翔01"/>
      <sheetName val="京通01"/>
      <sheetName val="面积指标"/>
      <sheetName val="索引表"/>
      <sheetName val="字典(不需输入)"/>
      <sheetName val="写字楼B"/>
      <sheetName val="敏感参数"/>
      <sheetName val="资产负债表汇编"/>
      <sheetName val="投资估算表"/>
      <sheetName val="三分厂04年1-12月销售价 "/>
      <sheetName val="05年1月销售价"/>
      <sheetName val="04年12月销售价"/>
      <sheetName val="选择报表"/>
      <sheetName val="雷梦"/>
      <sheetName val="分产品销售收入、成本分析表"/>
      <sheetName val="旅游地产预算总表"/>
      <sheetName val="5清波"/>
      <sheetName val="Note 1 - Recon Profit"/>
      <sheetName val="Cash Flow Statement"/>
      <sheetName val="银行借款询证"/>
      <sheetName val="Aging Datasheet"/>
      <sheetName val="ECCS_1 DataSheet"/>
      <sheetName val="KPI Datasheet"/>
      <sheetName val="工业"/>
      <sheetName val="W"/>
      <sheetName val="重要参数汇总"/>
      <sheetName val="A翼写字楼"/>
      <sheetName val="盈A030617使用格式"/>
      <sheetName val="链接"/>
      <sheetName val="日报(有预售证的)"/>
    </sheetNames>
    <sheetDataSet>
      <sheetData sheetId="0" refreshError="1">
        <row r="6">
          <cell r="B6" t="str">
            <v>2003-03-01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 val="方案1"/>
      <sheetName val="Sheet2"/>
      <sheetName val="eqpmad2"/>
      <sheetName val="原材料单价分析"/>
      <sheetName val="XL4Poppy"/>
      <sheetName val="Open"/>
      <sheetName val="基本设置"/>
      <sheetName val="POWER ASSUMPTIONS"/>
      <sheetName val="KKKKKKKK"/>
      <sheetName val="系数516"/>
      <sheetName val="年度、月度情况"/>
      <sheetName val="附表1"/>
      <sheetName val="Sheet9"/>
      <sheetName val="项目指标"/>
      <sheetName val="合同台账"/>
      <sheetName val="动态成本"/>
      <sheetName val="付款台账"/>
      <sheetName val="现金流"/>
      <sheetName val="G.1R-Shou COP Gf"/>
      <sheetName val="工程量"/>
      <sheetName val="方案4"/>
      <sheetName val="99CCTV"/>
      <sheetName val="目录"/>
      <sheetName val="Mp-team 1"/>
      <sheetName val="Sheet1"/>
      <sheetName val="清单1"/>
      <sheetName val="成本测算"/>
      <sheetName val="Main"/>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Parameters"/>
      <sheetName val="建筑面积 "/>
      <sheetName val="内围地梁钢筋说明"/>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面积指标"/>
      <sheetName val="单方成本测算(帐面)"/>
      <sheetName val="成本结转表(IFRS)"/>
      <sheetName val="时间设置"/>
      <sheetName val="成本测算"/>
      <sheetName val="Sheet1"/>
      <sheetName val="规划指标"/>
      <sheetName val="墙面工程"/>
      <sheetName val="#REF!"/>
      <sheetName val="21"/>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测算明细表(0+1+1)"/>
      <sheetName val="主要规划指标"/>
      <sheetName val="参数表"/>
      <sheetName val="材料"/>
      <sheetName val="成本汇总"/>
      <sheetName val="工程材料"/>
      <sheetName val="301-6"/>
      <sheetName val="枣园--建安-间接"/>
      <sheetName val="Financial highligts"/>
      <sheetName val="财务费用"/>
      <sheetName val="收入与成本"/>
      <sheetName val="销售比率"/>
      <sheetName val="2、明细表"/>
      <sheetName val="XL4Poppy"/>
      <sheetName val="CFS"/>
      <sheetName val="敏感参数"/>
      <sheetName val="写字楼B"/>
      <sheetName val="土建工程综合单价组价明细表"/>
      <sheetName val="全期规划指标 "/>
      <sheetName val="BS"/>
      <sheetName val="材料费"/>
      <sheetName val="040506利息分摊"/>
      <sheetName val="2006内部公司往来利息及调整（per entity）"/>
      <sheetName val="07利息分摊"/>
      <sheetName val="list"/>
      <sheetName val="NAME"/>
      <sheetName val="XLR_NoRangeSheet"/>
      <sheetName val="梁"/>
    </sheetNames>
    <sheetDataSet>
      <sheetData sheetId="0" refreshError="1"/>
      <sheetData sheetId="1" refreshError="1">
        <row r="1">
          <cell r="A1" t="str">
            <v>科目代码</v>
          </cell>
          <cell r="B1" t="str">
            <v>科目名称</v>
          </cell>
          <cell r="C1" t="str">
            <v>日期</v>
          </cell>
          <cell r="D1" t="str">
            <v>凭证字号</v>
          </cell>
          <cell r="E1" t="str">
            <v>摘要</v>
          </cell>
          <cell r="F1" t="str">
            <v>借方金额</v>
          </cell>
          <cell r="G1" t="str">
            <v>贷方金额</v>
          </cell>
          <cell r="H1" t="str">
            <v>方向</v>
          </cell>
          <cell r="I1" t="str">
            <v>余额</v>
          </cell>
        </row>
        <row r="2">
          <cell r="A2" t="str">
            <v>5501.502</v>
          </cell>
          <cell r="B2" t="str">
            <v>营销推广费用</v>
          </cell>
          <cell r="C2">
            <v>37987</v>
          </cell>
          <cell r="D2">
            <v>0</v>
          </cell>
          <cell r="E2" t="str">
            <v>年初余额</v>
          </cell>
          <cell r="F2">
            <v>0</v>
          </cell>
          <cell r="G2">
            <v>0</v>
          </cell>
          <cell r="H2" t="str">
            <v>平</v>
          </cell>
          <cell r="I2">
            <v>0</v>
          </cell>
        </row>
        <row r="3">
          <cell r="C3">
            <v>38017</v>
          </cell>
          <cell r="D3" t="str">
            <v>转字 - 1</v>
          </cell>
          <cell r="E3" t="str">
            <v>广州地产转来代付名美广告城花策划咨询费</v>
          </cell>
          <cell r="F3">
            <v>100000</v>
          </cell>
          <cell r="G3">
            <v>0</v>
          </cell>
          <cell r="H3" t="str">
            <v>借</v>
          </cell>
          <cell r="I3">
            <v>100000</v>
          </cell>
        </row>
        <row r="4">
          <cell r="C4">
            <v>38257</v>
          </cell>
          <cell r="D4" t="str">
            <v>银付 - 2</v>
          </cell>
          <cell r="E4" t="str">
            <v>付广州市天基广告有限公司 9月1日夹报费用</v>
          </cell>
          <cell r="F4">
            <v>34824</v>
          </cell>
          <cell r="G4">
            <v>0</v>
          </cell>
          <cell r="H4" t="str">
            <v>借</v>
          </cell>
          <cell r="I4">
            <v>134824</v>
          </cell>
        </row>
        <row r="5">
          <cell r="C5">
            <v>38257</v>
          </cell>
          <cell r="D5" t="str">
            <v>银付 - 4</v>
          </cell>
          <cell r="E5" t="str">
            <v>付广州市点彩广告有限公司 黄埔3人篮球赛-1</v>
          </cell>
          <cell r="F5">
            <v>94698</v>
          </cell>
          <cell r="G5">
            <v>0</v>
          </cell>
          <cell r="H5" t="str">
            <v>借</v>
          </cell>
          <cell r="I5">
            <v>229522</v>
          </cell>
        </row>
        <row r="6">
          <cell r="C6">
            <v>38260</v>
          </cell>
          <cell r="D6" t="str">
            <v>转字 - 5</v>
          </cell>
          <cell r="E6" t="str">
            <v>佛山代付南方都市报城花参展场地费</v>
          </cell>
          <cell r="F6">
            <v>2700</v>
          </cell>
          <cell r="G6">
            <v>0</v>
          </cell>
          <cell r="H6" t="str">
            <v>借</v>
          </cell>
          <cell r="I6">
            <v>232222</v>
          </cell>
        </row>
        <row r="7">
          <cell r="C7">
            <v>38260</v>
          </cell>
          <cell r="D7" t="str">
            <v>转字 - 5</v>
          </cell>
          <cell r="E7" t="str">
            <v>佛山代付天基城花9.16夹报费</v>
          </cell>
          <cell r="F7">
            <v>32896</v>
          </cell>
          <cell r="G7">
            <v>0</v>
          </cell>
          <cell r="H7" t="str">
            <v>借</v>
          </cell>
          <cell r="I7">
            <v>265118</v>
          </cell>
        </row>
        <row r="8">
          <cell r="C8">
            <v>38260</v>
          </cell>
          <cell r="D8" t="str">
            <v>转字 - 5</v>
          </cell>
          <cell r="E8" t="str">
            <v>佛山代付伟丰城花利丰大厦停车位租费</v>
          </cell>
          <cell r="F8">
            <v>1600</v>
          </cell>
          <cell r="G8">
            <v>0</v>
          </cell>
          <cell r="H8" t="str">
            <v>借</v>
          </cell>
          <cell r="I8">
            <v>266718</v>
          </cell>
        </row>
        <row r="9">
          <cell r="C9">
            <v>38260</v>
          </cell>
          <cell r="D9" t="str">
            <v>转字 - 5</v>
          </cell>
          <cell r="E9" t="str">
            <v>佛山代付黑弧城花04.8-05.8广告代理费首期</v>
          </cell>
          <cell r="F9">
            <v>140000</v>
          </cell>
          <cell r="G9">
            <v>0</v>
          </cell>
          <cell r="H9" t="str">
            <v>借</v>
          </cell>
          <cell r="I9">
            <v>406718</v>
          </cell>
        </row>
        <row r="10">
          <cell r="C10">
            <v>38291</v>
          </cell>
          <cell r="D10" t="str">
            <v>银付 - 8</v>
          </cell>
          <cell r="E10" t="str">
            <v>付点彩广告公司黄埔三人篮球赛尾款</v>
          </cell>
          <cell r="F10">
            <v>142049</v>
          </cell>
          <cell r="G10">
            <v>0</v>
          </cell>
          <cell r="H10" t="str">
            <v>借</v>
          </cell>
          <cell r="I10">
            <v>548767</v>
          </cell>
        </row>
        <row r="11">
          <cell r="C11">
            <v>38291</v>
          </cell>
          <cell r="D11" t="str">
            <v>银付 - 17</v>
          </cell>
          <cell r="E11" t="str">
            <v>付点彩公司黄埔区石化影剧院前广场中秋活动执行费用</v>
          </cell>
          <cell r="F11">
            <v>29291</v>
          </cell>
          <cell r="G11">
            <v>0</v>
          </cell>
          <cell r="H11" t="str">
            <v>借</v>
          </cell>
          <cell r="I11">
            <v>578058</v>
          </cell>
        </row>
        <row r="12">
          <cell r="C12">
            <v>38291</v>
          </cell>
          <cell r="D12" t="str">
            <v>银付 - 18</v>
          </cell>
          <cell r="E12" t="str">
            <v>付诚和广告公司十一看楼巴士标识制作费</v>
          </cell>
          <cell r="F12">
            <v>1500</v>
          </cell>
          <cell r="G12">
            <v>0</v>
          </cell>
          <cell r="H12" t="str">
            <v>借</v>
          </cell>
          <cell r="I12">
            <v>579558</v>
          </cell>
        </row>
        <row r="13">
          <cell r="C13">
            <v>38291</v>
          </cell>
          <cell r="D13" t="str">
            <v>银付 - 40</v>
          </cell>
          <cell r="E13" t="str">
            <v>付天基广告公司 城花圆领T恤加印付款</v>
          </cell>
          <cell r="F13">
            <v>5000</v>
          </cell>
          <cell r="G13">
            <v>0</v>
          </cell>
          <cell r="H13" t="str">
            <v>借</v>
          </cell>
          <cell r="I13">
            <v>584558</v>
          </cell>
        </row>
        <row r="14">
          <cell r="C14">
            <v>38291</v>
          </cell>
          <cell r="D14" t="str">
            <v>银付 - 40</v>
          </cell>
          <cell r="E14" t="str">
            <v>付天基广告公司 9月29、30广州日报夹报宣传单张费用</v>
          </cell>
          <cell r="F14">
            <v>86278</v>
          </cell>
          <cell r="G14">
            <v>0</v>
          </cell>
          <cell r="H14" t="str">
            <v>借</v>
          </cell>
          <cell r="I14">
            <v>670836</v>
          </cell>
        </row>
        <row r="15">
          <cell r="C15">
            <v>38291</v>
          </cell>
          <cell r="D15" t="str">
            <v>银付 - 40</v>
          </cell>
          <cell r="E15" t="str">
            <v>付天基广告公司 10月1日广州日报夹报宣传单张费用</v>
          </cell>
          <cell r="F15">
            <v>43050</v>
          </cell>
          <cell r="G15">
            <v>0</v>
          </cell>
          <cell r="H15" t="str">
            <v>借</v>
          </cell>
          <cell r="I15">
            <v>713886</v>
          </cell>
        </row>
        <row r="16">
          <cell r="C16">
            <v>38291</v>
          </cell>
          <cell r="D16" t="str">
            <v>银付 - 41</v>
          </cell>
          <cell r="E16" t="str">
            <v>付海珠天衡展示制作中心 城花巡展制作、布置费用</v>
          </cell>
          <cell r="F16">
            <v>76960</v>
          </cell>
          <cell r="G16">
            <v>0</v>
          </cell>
          <cell r="H16" t="str">
            <v>借</v>
          </cell>
          <cell r="I16">
            <v>790846</v>
          </cell>
        </row>
        <row r="17">
          <cell r="C17">
            <v>38291</v>
          </cell>
          <cell r="D17" t="str">
            <v>银付 - 42</v>
          </cell>
          <cell r="E17" t="str">
            <v>付保税区凤凰国际公关传播公司 十一开放系列活动承办费用</v>
          </cell>
          <cell r="F17">
            <v>137528</v>
          </cell>
          <cell r="G17">
            <v>0</v>
          </cell>
          <cell r="H17" t="str">
            <v>借</v>
          </cell>
          <cell r="I17">
            <v>928374</v>
          </cell>
        </row>
        <row r="18">
          <cell r="C18">
            <v>38291</v>
          </cell>
          <cell r="D18" t="str">
            <v>银付 - 43</v>
          </cell>
          <cell r="E18" t="str">
            <v>付车之友 9月城花客户花城行大巴租用费</v>
          </cell>
          <cell r="F18">
            <v>5400</v>
          </cell>
          <cell r="G18">
            <v>0</v>
          </cell>
          <cell r="H18" t="str">
            <v>借</v>
          </cell>
          <cell r="I18">
            <v>933774</v>
          </cell>
        </row>
        <row r="19">
          <cell r="C19">
            <v>38291</v>
          </cell>
          <cell r="D19" t="str">
            <v>银付 - 44</v>
          </cell>
          <cell r="E19" t="str">
            <v>付员村天之龙电脑装饰部 看楼车移动不锈钢指示牌制作安装费</v>
          </cell>
          <cell r="F19">
            <v>4000</v>
          </cell>
          <cell r="G19">
            <v>0</v>
          </cell>
          <cell r="H19" t="str">
            <v>借</v>
          </cell>
          <cell r="I19">
            <v>937774</v>
          </cell>
        </row>
        <row r="20">
          <cell r="C20">
            <v>38291</v>
          </cell>
          <cell r="D20" t="str">
            <v>银付 - 51</v>
          </cell>
          <cell r="E20" t="str">
            <v>付点彩广告公司 黄埔地区运动会开幕式系列活动费用</v>
          </cell>
          <cell r="F20">
            <v>88970</v>
          </cell>
          <cell r="G20">
            <v>0</v>
          </cell>
          <cell r="H20" t="str">
            <v>借</v>
          </cell>
          <cell r="I20">
            <v>1026744</v>
          </cell>
        </row>
        <row r="21">
          <cell r="C21">
            <v>38291</v>
          </cell>
          <cell r="D21" t="str">
            <v>转字 - 5</v>
          </cell>
          <cell r="E21" t="str">
            <v>佛山代付 城花10.1医疗咨询服务费</v>
          </cell>
          <cell r="F21">
            <v>2800</v>
          </cell>
          <cell r="G21">
            <v>0</v>
          </cell>
          <cell r="H21" t="str">
            <v>借</v>
          </cell>
          <cell r="I21">
            <v>1029544</v>
          </cell>
        </row>
        <row r="22">
          <cell r="C22">
            <v>38291</v>
          </cell>
          <cell r="D22" t="str">
            <v>转字 - 5</v>
          </cell>
          <cell r="E22" t="str">
            <v>佛山代付 城花开放用桌子运费</v>
          </cell>
          <cell r="F22">
            <v>450</v>
          </cell>
          <cell r="G22">
            <v>0</v>
          </cell>
          <cell r="H22" t="str">
            <v>借</v>
          </cell>
          <cell r="I22">
            <v>1029994</v>
          </cell>
        </row>
        <row r="23">
          <cell r="C23">
            <v>38291</v>
          </cell>
          <cell r="D23" t="str">
            <v>转字 - 5</v>
          </cell>
          <cell r="E23" t="str">
            <v>佛山代付 城花10.1活动费</v>
          </cell>
          <cell r="F23">
            <v>20913</v>
          </cell>
          <cell r="G23">
            <v>0</v>
          </cell>
          <cell r="H23" t="str">
            <v>借</v>
          </cell>
          <cell r="I23">
            <v>1050907</v>
          </cell>
        </row>
        <row r="24">
          <cell r="C24">
            <v>38291</v>
          </cell>
          <cell r="D24" t="str">
            <v>转字 - 5</v>
          </cell>
          <cell r="E24" t="str">
            <v>佛山代付 城花销售现场费用</v>
          </cell>
          <cell r="F24">
            <v>5960</v>
          </cell>
          <cell r="G24">
            <v>0</v>
          </cell>
          <cell r="H24" t="str">
            <v>借</v>
          </cell>
          <cell r="I24">
            <v>1056867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 val="5201.2004"/>
      <sheetName val="Parameters"/>
      <sheetName val="面积指标"/>
      <sheetName val="写字楼B"/>
      <sheetName val="Note 1 - Recon Profit"/>
      <sheetName val="Cash Flow Statement"/>
      <sheetName val="合同台账"/>
      <sheetName val="Toolbox"/>
      <sheetName val="Sheet2"/>
      <sheetName val="XL4Poppy"/>
      <sheetName val="Sheet1"/>
      <sheetName val="敏感参数"/>
      <sheetName val="CFS"/>
      <sheetName val="成本测算"/>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MSL1"/>
      <sheetName val="MSL2"/>
      <sheetName val="MSL3"/>
      <sheetName val="MSL4"/>
      <sheetName val="MSL5"/>
      <sheetName val="MSL6"/>
      <sheetName val="MSL7"/>
      <sheetName val="MSL8"/>
      <sheetName val="MSL9"/>
      <sheetName val="MSL10"/>
      <sheetName val="MSL11"/>
      <sheetName val="现金流量表DEC-JUN00"/>
      <sheetName val="华房01"/>
      <sheetName val="健翔01"/>
      <sheetName val="京通01"/>
      <sheetName val="基本设置"/>
      <sheetName val="040506利息分摊"/>
      <sheetName val="2006内部公司往来利息及调整（per entity）"/>
      <sheetName val="07利息分摊"/>
      <sheetName val="Sheet2"/>
      <sheetName val="基础资料（B）"/>
      <sheetName val="5201.2004"/>
      <sheetName val="附表1"/>
      <sheetName val="项目指标"/>
      <sheetName val="合同台账"/>
      <sheetName val="动态成本"/>
      <sheetName val="付款台账"/>
      <sheetName val="Name list"/>
      <sheetName val="99CCTV"/>
      <sheetName val="General"/>
      <sheetName val="Mp-team 1"/>
      <sheetName val="成本测算"/>
      <sheetName val="2004年"/>
      <sheetName val="2006年"/>
      <sheetName val="2005年"/>
      <sheetName val="资本化利息分配表"/>
      <sheetName val="时间设置"/>
      <sheetName val="基础数据测算"/>
      <sheetName val="Inv_days #5"/>
      <sheetName val="报表项目名称序列"/>
      <sheetName val="面积指标"/>
      <sheetName val="CJA 2006"/>
      <sheetName val="Aging Datasheet"/>
      <sheetName val="ECCS_1 DataSheet"/>
      <sheetName val="KPI Datasheet"/>
      <sheetName val="索引表"/>
      <sheetName val="三分厂04年1-12月销售价 "/>
      <sheetName val="05年1月销售价"/>
      <sheetName val="04年12月销售价"/>
      <sheetName val="敏感参数"/>
      <sheetName val="雷梦"/>
      <sheetName val="A翼写字楼"/>
      <sheetName val="分产品销售收入、成本分析表"/>
      <sheetName val="银行借款询证"/>
      <sheetName val="资产品名库"/>
      <sheetName val="字典(不需输入)"/>
      <sheetName val="资产负债表"/>
      <sheetName val="写字楼B"/>
      <sheetName val="选择报表"/>
      <sheetName val="敏感详细分析"/>
      <sheetName val="CFS"/>
      <sheetName val="PL 2007"/>
      <sheetName val="PL 2005"/>
      <sheetName val="PL 2006"/>
      <sheetName val="投资估算表"/>
      <sheetName val="物业服务收入"/>
      <sheetName val="重要参数汇总"/>
      <sheetName val="Note 1 - Recon Profit"/>
      <sheetName val="Cash Flow Statement"/>
      <sheetName val="资产负债表汇编"/>
      <sheetName val="1-1基本信息"/>
      <sheetName val="W"/>
      <sheetName val="2011年立项"/>
      <sheetName val="list"/>
      <sheetName val="NAME"/>
      <sheetName val="封面"/>
      <sheetName val="本期报表"/>
      <sheetName val="主要规划指标"/>
      <sheetName val="商业综合成本"/>
      <sheetName val="G"/>
      <sheetName val="G3"/>
      <sheetName val="试算平衡表"/>
      <sheetName val="扶梯"/>
    </sheetNames>
    <sheetDataSet>
      <sheetData sheetId="0" refreshError="1">
        <row r="2">
          <cell r="B2" t="str">
            <v>上润公司(331)</v>
          </cell>
        </row>
        <row r="3">
          <cell r="B3" t="str">
            <v>2001-01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设置"/>
      <sheetName val="数据"/>
      <sheetName val="水平区"/>
      <sheetName val="子管理区"/>
      <sheetName val="干线区"/>
      <sheetName val="主管理区"/>
      <sheetName val="材料报价单"/>
      <sheetName val="辅助材料报价单"/>
      <sheetName val="总报价单"/>
      <sheetName val="自用材料报价单"/>
      <sheetName val="Sheet15"/>
      <sheetName val="Sheet16"/>
      <sheetName val="Macro1"/>
      <sheetName val="项目指标"/>
      <sheetName val="合同台账"/>
      <sheetName val="动态成本"/>
      <sheetName val="付款台账"/>
      <sheetName val="附表1"/>
      <sheetName val="节奏成本"/>
      <sheetName val="SW-TEO"/>
      <sheetName val="清单1"/>
      <sheetName val="B&amp;P"/>
      <sheetName val="Main"/>
      <sheetName val="XL4Poppy"/>
      <sheetName val="方案4"/>
      <sheetName val="Open"/>
      <sheetName val="系数516"/>
      <sheetName val="KKKKKKKK"/>
      <sheetName val="原材料单价分析"/>
      <sheetName val="99CCTV"/>
      <sheetName val="eqpmad2"/>
      <sheetName val="POWER ASSUMPTIONS"/>
      <sheetName val="现金流"/>
      <sheetName val="每日C02年费用"/>
      <sheetName val="Mp-team 1"/>
      <sheetName val="Financ. Overview"/>
      <sheetName val="Toolbox"/>
      <sheetName val="天泰布线"/>
      <sheetName val="Sheet9"/>
      <sheetName val="普查库示例"/>
      <sheetName val="企业表一"/>
      <sheetName val="M-5C"/>
      <sheetName val="M-5A"/>
      <sheetName val="方案1"/>
      <sheetName val="TRIAL3"/>
      <sheetName val="G-PROF1"/>
      <sheetName val="Sheet1"/>
      <sheetName val="Sheet2"/>
      <sheetName val="G.1R-Shou COP Gf"/>
      <sheetName val="Parameters"/>
      <sheetName val="dpi"/>
      <sheetName val="点表"/>
      <sheetName val="时间设置"/>
      <sheetName val="基础资料（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算明细"/>
      <sheetName val="Sheet1"/>
      <sheetName val="Sheet2"/>
      <sheetName val="Sheet3"/>
      <sheetName val="#REF"/>
      <sheetName val="基本设置"/>
      <sheetName val="#REF!"/>
      <sheetName val="项目指标"/>
      <sheetName val="合同台账"/>
      <sheetName val="动态成本"/>
      <sheetName val="付款台账"/>
      <sheetName val="附表1"/>
      <sheetName val="清单1"/>
      <sheetName val="dpi"/>
      <sheetName val="Toolbox"/>
      <sheetName val="POWER ASSUMPTION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092-1"/>
      <sheetName val="092-2"/>
      <sheetName val="092-3"/>
      <sheetName val="092-4"/>
      <sheetName val="092-5"/>
      <sheetName val="092-6"/>
      <sheetName val="092-7"/>
      <sheetName val="注解-1"/>
      <sheetName val="注解-2"/>
      <sheetName val="Aging Datasheet"/>
      <sheetName val="ECCS_1 DataSheet"/>
      <sheetName val="KPI Datasheet"/>
      <sheetName val="5201.2004"/>
      <sheetName val="基础资料（B）"/>
      <sheetName val="Sheet2"/>
      <sheetName val="PL 2007"/>
      <sheetName val="PL 2005"/>
      <sheetName val="PL 2006"/>
      <sheetName val="成本测算"/>
      <sheetName val="Inv_days #5"/>
      <sheetName val="报表项目基本情况表"/>
      <sheetName val="基本设置"/>
      <sheetName val="项目指标"/>
      <sheetName val="合同台账"/>
      <sheetName val="动态成本"/>
      <sheetName val="付款台账"/>
      <sheetName val="附表1"/>
      <sheetName val="石梅湾-6S预算"/>
      <sheetName val="General"/>
      <sheetName val="非建安成本"/>
      <sheetName val="2004年"/>
      <sheetName val="2006年"/>
      <sheetName val="2005年"/>
      <sheetName val="资本化利息分配表"/>
      <sheetName val="华房01"/>
      <sheetName val="健翔01"/>
      <sheetName val="京通01"/>
      <sheetName val="单方成本测算(帐面)"/>
      <sheetName val="成本结转表(IFRS)"/>
      <sheetName val="5清波"/>
      <sheetName val="资产负债表汇编"/>
      <sheetName val="面积指标"/>
      <sheetName val="敏感参数"/>
      <sheetName val="物业服务收入"/>
      <sheetName val="CJA 2006"/>
      <sheetName val="分产品销售收入、成本分析表"/>
      <sheetName val="雷梦"/>
      <sheetName val="敏感详细分析"/>
      <sheetName val="投资估算表"/>
      <sheetName val="写字楼B"/>
      <sheetName val="CFS"/>
      <sheetName val="旅游地产预算总表"/>
      <sheetName val="A翼写字楼"/>
      <sheetName val="三分厂04年1-12月销售价 "/>
      <sheetName val="05年1月销售价"/>
      <sheetName val="资产负债表"/>
      <sheetName val="2011年立项"/>
      <sheetName val="资产品名库"/>
      <sheetName val="字典(不需输入)"/>
      <sheetName val="1-分类简介"/>
      <sheetName val="重要参数汇总"/>
      <sheetName val="04年12月销售价"/>
      <sheetName val="索引表"/>
      <sheetName val="选择报表"/>
      <sheetName val="合并"/>
      <sheetName val="成本项目"/>
      <sheetName val="链接"/>
      <sheetName val="基本信息"/>
      <sheetName val="资产负债表-海中国"/>
      <sheetName val="资产负债表-物业"/>
      <sheetName val="营业费用截止"/>
      <sheetName val="凤一"/>
      <sheetName val="基础信息"/>
      <sheetName val="4结算明细"/>
      <sheetName val="6签约明细"/>
      <sheetName val="8未结转信息"/>
      <sheetName val="7项目成本表"/>
      <sheetName val="5项目签约"/>
    </sheetNames>
    <sheetDataSet>
      <sheetData sheetId="0" refreshError="1">
        <row r="3">
          <cell r="B3" t="str">
            <v>2002</v>
          </cell>
        </row>
        <row r="4">
          <cell r="B4" t="str">
            <v>2001-11-18</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技术指标"/>
      <sheetName val="开发计划表"/>
      <sheetName val="总投表"/>
      <sheetName val="贷款计划表"/>
      <sheetName val="销售测算"/>
      <sheetName val="投资测算"/>
      <sheetName val="现金流"/>
      <sheetName val="户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v>76697.34</v>
          </cell>
        </row>
        <row r="4">
          <cell r="D4">
            <v>4023.76</v>
          </cell>
        </row>
        <row r="6">
          <cell r="F6">
            <v>875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系数516"/>
      <sheetName val="POWER ASSUMPTIONS"/>
      <sheetName val="项目指标"/>
      <sheetName val="合同台账"/>
      <sheetName val="动态成本"/>
      <sheetName val="付款台账"/>
      <sheetName val="附表1"/>
      <sheetName val="G.1R-Shou COP Gf"/>
      <sheetName val="Toolbox"/>
      <sheetName val="Sheet2"/>
      <sheetName val="方案1"/>
      <sheetName val="Financ. Overview"/>
      <sheetName val="eqpmad2"/>
      <sheetName val="2经济测算"/>
      <sheetName val="SW-TE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2">
          <cell r="C2">
            <v>2</v>
          </cell>
        </row>
        <row r="3">
          <cell r="C3">
            <v>1.5</v>
          </cell>
        </row>
        <row r="4">
          <cell r="C4">
            <v>3</v>
          </cell>
        </row>
        <row r="5">
          <cell r="C5">
            <v>2</v>
          </cell>
        </row>
        <row r="9">
          <cell r="C9">
            <v>1.5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会计利润"/>
      <sheetName val="Mp-team 1"/>
      <sheetName val="Sheet1"/>
      <sheetName val="1-6月客戶數"/>
      <sheetName val="預算目標"/>
      <sheetName val="基本设置"/>
      <sheetName val="SW-TEO"/>
      <sheetName val="Financ. Overview"/>
      <sheetName val="Toolbox"/>
      <sheetName val="清单1"/>
      <sheetName val="Sheet9"/>
      <sheetName val="Open"/>
      <sheetName val="方案1"/>
      <sheetName val="Sheet2"/>
      <sheetName val="系数516"/>
      <sheetName val="XL4Poppy"/>
      <sheetName val="99CCTV"/>
      <sheetName val="开发节凑"/>
      <sheetName val="纳税调整"/>
      <sheetName val="POWER ASSUMPTIONS"/>
      <sheetName val="项目指标"/>
      <sheetName val="合同台账"/>
      <sheetName val="动态成本"/>
      <sheetName val="付款台账"/>
      <sheetName val="附表1"/>
      <sheetName val="Parameters"/>
      <sheetName val="建造目标成本审批表"/>
      <sheetName val="一期住宅成本明细表"/>
      <sheetName val="一期车库成本明细表"/>
      <sheetName val="一期商业建安费 "/>
      <sheetName val="基础资料（B）"/>
      <sheetName val="G2TempSheet"/>
      <sheetName val="原材料单价分析"/>
      <sheetName val="总成本、总收入、租赁收入、资产估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经营利润表-明细-5-1-CRLD650000"/>
      <sheetName val="经营利润表-明细-5-1-CRLD660000"/>
      <sheetName val="经营利润表-明细-5-1-CRLD670000"/>
      <sheetName val="一般及行政费用-明细-11-1"/>
      <sheetName val="一般及行政费用分析表-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资本性支出表-35"/>
      <sheetName val="资本性支出表-明细-35-1"/>
      <sheetName val="关联交易"/>
      <sheetName val="重要指标表-47"/>
      <sheetName val="员工人数表-113"/>
      <sheetName val="现金流量表-45"/>
      <sheetName val="现金流量表(直接法)-50"/>
      <sheetName val="三年综述表-115"/>
      <sheetName val="FS"/>
      <sheetName val="Aging"/>
      <sheetName val="Validation"/>
      <sheetName val="KPI"/>
      <sheetName val="Cash Flow"/>
      <sheetName val="DataSheetIndex_1"/>
      <sheetName val="DataSheetIndex"/>
      <sheetName val="Cell Copy"/>
    </sheetNames>
    <sheetDataSet>
      <sheetData sheetId="0"/>
      <sheetData sheetId="1" refreshError="1">
        <row r="4">
          <cell r="B4" t="str">
            <v>CRLD990000 华润置地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9"/>
      <sheetName val="Sheet1"/>
      <sheetName val="Sheet2"/>
      <sheetName val="Sheet3"/>
      <sheetName val="XL4Poppy"/>
      <sheetName val="方案4"/>
      <sheetName val="KKKKKKKK"/>
      <sheetName val="POWER ASSUMPTIONS"/>
      <sheetName val="G.1R-Shou COP Gf"/>
      <sheetName val="Drop Down"/>
      <sheetName val="_REF!"/>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核算项目余额表"/>
      <sheetName val="*REF!"/>
      <sheetName val="说明"/>
      <sheetName val="销量"/>
      <sheetName val="共享"/>
      <sheetName val="促销活动"/>
      <sheetName val="活动"/>
      <sheetName val="总表"/>
      <sheetName val="Toolbox"/>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o???????¨®¨¤??¡À¨ª"/>
      <sheetName val="B"/>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o_______¨®¨¤__¡À¨ª"/>
      <sheetName val="22号"/>
      <sheetName val="gvl"/>
      <sheetName val="SW-TEO"/>
      <sheetName val="所得税凭证抽查"/>
      <sheetName val="POWERASSUMPTIONS"/>
      <sheetName val="方案1"/>
      <sheetName val="Mp-team 1"/>
      <sheetName val="项目指标"/>
      <sheetName val="合同台账"/>
      <sheetName val="动态成本"/>
      <sheetName val="付款台账"/>
      <sheetName val="附表1"/>
      <sheetName val="Financ. Overview"/>
      <sheetName val="序列表"/>
      <sheetName val="BA-Pl"/>
      <sheetName val="Main"/>
      <sheetName val="基本设置"/>
      <sheetName val="Open"/>
      <sheetName val="会计利润"/>
      <sheetName val="付款计划"/>
      <sheetName val="销售费用"/>
      <sheetName val="管理费用"/>
      <sheetName val="税款"/>
      <sheetName val="eqpmad2"/>
      <sheetName val="系数516"/>
      <sheetName val="利息资本化"/>
      <sheetName val="清单1"/>
      <sheetName val="普查库示例"/>
      <sheetName val="99CCTV"/>
      <sheetName val="TEMP"/>
      <sheetName val="成本测算"/>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L4Poppy"/>
      <sheetName val="Sheet9"/>
      <sheetName val="系数516"/>
      <sheetName val="99CCTV"/>
      <sheetName val="Open"/>
      <sheetName val="Sheet1"/>
      <sheetName val="Toolbox"/>
      <sheetName val="项目指标"/>
      <sheetName val="合同台账"/>
      <sheetName val="动态成本"/>
      <sheetName val="付款台账"/>
      <sheetName val="附表1"/>
      <sheetName val="Financ. Overview"/>
      <sheetName val="基本设置"/>
      <sheetName val="Mp-team 1"/>
      <sheetName val="1-6月客戶數"/>
      <sheetName val="預算目標"/>
      <sheetName val="KKKKKKKK"/>
      <sheetName val="POWER ASSUMPTIONS"/>
      <sheetName val="eqpmad2"/>
      <sheetName val="G.1R-Shou COP Gf"/>
      <sheetName val="沈阳"/>
      <sheetName val="重庆"/>
      <sheetName val="杭州调"/>
      <sheetName val="方案1"/>
      <sheetName val="Main"/>
      <sheetName val="Parameters"/>
      <sheetName val="目录"/>
      <sheetName val="软景价格分类"/>
      <sheetName val="硬景价格分类"/>
      <sheetName val="Aging Datasheet"/>
      <sheetName val="ECCS_1 DataSheet"/>
      <sheetName val="KPI Datasheet"/>
      <sheetName val="清单1"/>
    </sheetNames>
    <sheetDataSet>
      <sheetData sheetId="0" refreshError="1"/>
      <sheetData sheetId="1" refreshError="1">
        <row r="9">
          <cell r="C9" t="b">
            <v>1</v>
          </cell>
        </row>
        <row r="31">
          <cell r="C31" t="b">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汇总表"/>
      <sheetName val="现金流汇总表"/>
      <sheetName val="项目损益表"/>
      <sheetName val="项目费用分析表"/>
      <sheetName val="项目现金流量分析表"/>
      <sheetName val="成本汇总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产负债表"/>
      <sheetName val="资金情况表"/>
      <sheetName val="资本性支出预算表"/>
      <sheetName val="关联交易表"/>
      <sheetName val="XL4Poppy"/>
      <sheetName val="方案4"/>
      <sheetName val="物业服务收入"/>
      <sheetName val="面积指标"/>
      <sheetName val="A翼写字楼"/>
      <sheetName val="选择报表"/>
      <sheetName val="5清波"/>
    </sheetNames>
    <sheetDataSet>
      <sheetData sheetId="0" refreshError="1">
        <row r="7">
          <cell r="B7" t="str">
            <v>2005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价格变化的品种"/>
      <sheetName val="2000CCTV"/>
      <sheetName val="2000PA"/>
      <sheetName val="2000DCN"/>
      <sheetName val="2000INTERCOM"/>
      <sheetName val="99CCTV"/>
      <sheetName val="99CCTV SUP"/>
      <sheetName val="99PA"/>
      <sheetName val="99Paging"/>
      <sheetName val="99Inter"/>
      <sheetName val="99DCN"/>
      <sheetName val="XL4Poppy"/>
      <sheetName val="KKKKKKKK"/>
      <sheetName val="基本设置"/>
      <sheetName val="SW-TEO"/>
      <sheetName val="系数516"/>
      <sheetName val="Financ. Overview"/>
      <sheetName val="Toolbox"/>
      <sheetName val="Open"/>
      <sheetName val="清单1"/>
      <sheetName val="项目指标"/>
      <sheetName val="合同台账"/>
      <sheetName val="动态成本"/>
      <sheetName val="付款台账"/>
      <sheetName val="附表1"/>
      <sheetName val="eqpmad2"/>
      <sheetName val="Sheet2"/>
      <sheetName val="方案4"/>
      <sheetName val="Sheet1"/>
      <sheetName val="G.1R-Shou COP Gf"/>
      <sheetName val="TEMP"/>
      <sheetName val="Sheet9"/>
      <sheetName val="方案1"/>
      <sheetName val="Main"/>
      <sheetName val="会计毛利"/>
      <sheetName val="销售计划"/>
      <sheetName val="成本0601"/>
      <sheetName val="POWER ASSUMPTIONS"/>
      <sheetName val="Mp-team 1"/>
      <sheetName val="Parameters"/>
      <sheetName val="成本测算"/>
    </sheetNames>
    <sheetDataSet>
      <sheetData sheetId="0" refreshError="1"/>
      <sheetData sheetId="1" refreshError="1"/>
      <sheetData sheetId="2" refreshError="1"/>
      <sheetData sheetId="3" refreshError="1"/>
      <sheetData sheetId="4" refreshError="1"/>
      <sheetData sheetId="5" refreshError="1">
        <row r="6">
          <cell r="A6" t="str">
            <v>配件</v>
          </cell>
        </row>
        <row r="7">
          <cell r="A7" t="str">
            <v>LDH4463/11</v>
          </cell>
          <cell r="B7" t="str">
            <v xml:space="preserve">電源 </v>
          </cell>
          <cell r="C7">
            <v>31</v>
          </cell>
        </row>
        <row r="8">
          <cell r="A8" t="str">
            <v>LDH4465/10</v>
          </cell>
          <cell r="B8" t="str">
            <v xml:space="preserve">電源 </v>
          </cell>
          <cell r="C8">
            <v>51</v>
          </cell>
        </row>
        <row r="9">
          <cell r="A9" t="str">
            <v>LDH4466/11</v>
          </cell>
          <cell r="B9" t="str">
            <v xml:space="preserve">18 VAC 電源功應器 </v>
          </cell>
          <cell r="C9">
            <v>27</v>
          </cell>
        </row>
        <row r="10">
          <cell r="A10" t="str">
            <v>LDH6368/00</v>
          </cell>
          <cell r="B10" t="str">
            <v xml:space="preserve">安裝架  </v>
          </cell>
          <cell r="C10">
            <v>54</v>
          </cell>
        </row>
        <row r="11">
          <cell r="A11" t="str">
            <v>LDH6370/00</v>
          </cell>
          <cell r="B11" t="str">
            <v xml:space="preserve">安裝架  </v>
          </cell>
          <cell r="C11">
            <v>22</v>
          </cell>
        </row>
        <row r="12">
          <cell r="A12" t="str">
            <v>LDH6372/00</v>
          </cell>
          <cell r="B12" t="str">
            <v xml:space="preserve">安裝架 </v>
          </cell>
          <cell r="C12">
            <v>22</v>
          </cell>
        </row>
        <row r="13">
          <cell r="A13" t="str">
            <v>LDH6387/01</v>
          </cell>
          <cell r="B13" t="str">
            <v xml:space="preserve">安裝架 </v>
          </cell>
          <cell r="C13">
            <v>67</v>
          </cell>
        </row>
        <row r="14">
          <cell r="A14" t="str">
            <v>LDH6670/00</v>
          </cell>
          <cell r="B14" t="str">
            <v xml:space="preserve">鏡頭蓋  </v>
          </cell>
          <cell r="C14">
            <v>34</v>
          </cell>
        </row>
        <row r="15">
          <cell r="A15" t="str">
            <v>S1384</v>
          </cell>
          <cell r="B15" t="str">
            <v>調整工具</v>
          </cell>
          <cell r="C15">
            <v>219</v>
          </cell>
        </row>
        <row r="16">
          <cell r="A16" t="str">
            <v>TC220PS</v>
          </cell>
          <cell r="B16" t="str">
            <v xml:space="preserve">電源供應器 220-240VAC/15VDC </v>
          </cell>
          <cell r="C16">
            <v>35</v>
          </cell>
        </row>
        <row r="17">
          <cell r="A17" t="str">
            <v>TC220PSX-24</v>
          </cell>
          <cell r="B17" t="str">
            <v xml:space="preserve">電源供應器 220-240VAC/24VAC </v>
          </cell>
          <cell r="C17">
            <v>36</v>
          </cell>
        </row>
        <row r="19">
          <cell r="A19" t="str">
            <v>球型攝像機</v>
          </cell>
        </row>
        <row r="20">
          <cell r="A20" t="str">
            <v>球型攝像機單元</v>
          </cell>
        </row>
        <row r="21">
          <cell r="A21" t="str">
            <v>TC750X-4-1</v>
          </cell>
          <cell r="B21" t="str">
            <v>黑白球型攝像機, 1/3", 580TVL, 4-40mm, 雙相</v>
          </cell>
          <cell r="C21">
            <v>2168</v>
          </cell>
        </row>
        <row r="22">
          <cell r="A22" t="str">
            <v>TC750X-4-2</v>
          </cell>
          <cell r="B22" t="str">
            <v>黑白球型攝像機, 1/3", 580TVL, 4-40mm, RS32</v>
          </cell>
          <cell r="C22">
            <v>2168</v>
          </cell>
        </row>
        <row r="23">
          <cell r="A23" t="str">
            <v>TC750X-6-1</v>
          </cell>
          <cell r="B23" t="str">
            <v>黑白球型攝像機, 1/3", 580TVL, 5.8-58mm, 雙相</v>
          </cell>
          <cell r="C23">
            <v>2054</v>
          </cell>
        </row>
        <row r="24">
          <cell r="A24" t="str">
            <v>TC750X-6-2</v>
          </cell>
          <cell r="B24" t="str">
            <v>黑白球型攝像機, 1/3", 580TVL, 5.8-58mm, RS32</v>
          </cell>
          <cell r="C24">
            <v>2054</v>
          </cell>
        </row>
        <row r="25">
          <cell r="A25" t="str">
            <v>TC750X-9-1</v>
          </cell>
          <cell r="B25" t="str">
            <v>黑白球型攝像機, 1/3", 580TVL, 8.7-87mm, 雙相</v>
          </cell>
          <cell r="C25">
            <v>2229</v>
          </cell>
        </row>
        <row r="26">
          <cell r="A26" t="str">
            <v>TC750X-9-2</v>
          </cell>
          <cell r="B26" t="str">
            <v>黑白球型攝像機, 1/3", 580TVL, 8.7-87mm, RS32</v>
          </cell>
          <cell r="C26">
            <v>2229</v>
          </cell>
        </row>
        <row r="27">
          <cell r="A27" t="str">
            <v>TC770X-4-1</v>
          </cell>
          <cell r="B27" t="str">
            <v>彩色球型攝像機, 1/3", 330TVL, 4-40mm, 雙相</v>
          </cell>
          <cell r="C27">
            <v>2338</v>
          </cell>
        </row>
        <row r="28">
          <cell r="A28" t="str">
            <v>TC770X-4-2</v>
          </cell>
          <cell r="B28" t="str">
            <v>彩色球型攝像機, 1/3", 330TVL, 4-40mm, RS32</v>
          </cell>
          <cell r="C28">
            <v>2338</v>
          </cell>
        </row>
        <row r="29">
          <cell r="A29" t="str">
            <v>TC770X-6-1</v>
          </cell>
          <cell r="B29" t="str">
            <v>彩色球型攝像機, 1/3", 330TVL, 5.8-58mm, 雙相</v>
          </cell>
          <cell r="C29">
            <v>2229</v>
          </cell>
        </row>
        <row r="30">
          <cell r="A30" t="str">
            <v>TC770X-6-2</v>
          </cell>
          <cell r="B30" t="str">
            <v>彩色球型攝像機, 1/3", 330TVL, 5.8-58mm, RS32</v>
          </cell>
          <cell r="C30">
            <v>2229</v>
          </cell>
        </row>
        <row r="31">
          <cell r="A31" t="str">
            <v>TC770X-9-1</v>
          </cell>
          <cell r="B31" t="str">
            <v>彩色球型攝像機, 1/3", 330TVL, 8.7-87mm, 雙相</v>
          </cell>
          <cell r="C31">
            <v>2404</v>
          </cell>
        </row>
        <row r="32">
          <cell r="A32" t="str">
            <v>TC770X-9-2</v>
          </cell>
          <cell r="B32" t="str">
            <v>彩色球型攝像機, 1/3", 330TVL, 8.7-87mm, RS32</v>
          </cell>
          <cell r="C32">
            <v>2404</v>
          </cell>
        </row>
        <row r="33">
          <cell r="A33" t="str">
            <v>TC790X-4-1</v>
          </cell>
          <cell r="B33" t="str">
            <v>彩色球型攝像機, 1/3", 460TVL, 4-40mm, 雙相</v>
          </cell>
          <cell r="C33">
            <v>2448</v>
          </cell>
        </row>
        <row r="34">
          <cell r="A34" t="str">
            <v>TC790X-4-2</v>
          </cell>
          <cell r="B34" t="str">
            <v>彩色球型攝像機, 1/3", 460TVL, 4-40mm, RS32</v>
          </cell>
          <cell r="C34">
            <v>2448</v>
          </cell>
        </row>
        <row r="35">
          <cell r="A35" t="str">
            <v>TC790X-6-1</v>
          </cell>
          <cell r="B35" t="str">
            <v>彩色球型攝像機, 1/3", 460TVL, 5.8-58mm, 雙相</v>
          </cell>
          <cell r="C35">
            <v>2360</v>
          </cell>
        </row>
        <row r="36">
          <cell r="A36" t="str">
            <v>TC790X-6-2</v>
          </cell>
          <cell r="B36" t="str">
            <v>彩色球型攝像機, 1/3", 460TVL, 5.8-58mm, RS32</v>
          </cell>
          <cell r="C36">
            <v>2360</v>
          </cell>
        </row>
        <row r="37">
          <cell r="A37" t="str">
            <v>TC790X-9-1</v>
          </cell>
          <cell r="B37" t="str">
            <v>彩色球型攝像機, 1/3", 460TVL, 8.7-87mm, 雙相</v>
          </cell>
          <cell r="C37">
            <v>2535</v>
          </cell>
        </row>
        <row r="38">
          <cell r="A38" t="str">
            <v>TC790X-9-2</v>
          </cell>
          <cell r="B38" t="str">
            <v>彩色球型攝像機, 1/3", 460TVL, 8.7-87mm, RS32</v>
          </cell>
          <cell r="C38">
            <v>2535</v>
          </cell>
        </row>
        <row r="39">
          <cell r="A39" t="str">
            <v>LTC0809/10</v>
          </cell>
          <cell r="B39" t="str">
            <v>彩色球型攝像機, 1/3", 440TVL, 4.5-72mm, 雙相</v>
          </cell>
          <cell r="C39">
            <v>2251</v>
          </cell>
        </row>
        <row r="41">
          <cell r="A41" t="str">
            <v>球型攝像機機箱</v>
          </cell>
        </row>
        <row r="42">
          <cell r="A42" t="str">
            <v>TC7412</v>
          </cell>
          <cell r="B42" t="str">
            <v>機箱, 24Vac (室內)</v>
          </cell>
          <cell r="C42">
            <v>460</v>
          </cell>
        </row>
        <row r="43">
          <cell r="A43" t="str">
            <v>TC7414</v>
          </cell>
          <cell r="B43" t="str">
            <v xml:space="preserve">機箱, 230Vac (室內) </v>
          </cell>
          <cell r="C43">
            <v>460</v>
          </cell>
        </row>
        <row r="44">
          <cell r="A44" t="str">
            <v>TC7422A</v>
          </cell>
          <cell r="B44" t="str">
            <v>機箱, 24Vac (室內)</v>
          </cell>
          <cell r="C44">
            <v>568</v>
          </cell>
        </row>
        <row r="45">
          <cell r="A45" t="str">
            <v>TC7422A-B</v>
          </cell>
          <cell r="B45" t="str">
            <v>機箱, 24Vac (室內)</v>
          </cell>
          <cell r="C45">
            <v>666</v>
          </cell>
        </row>
        <row r="46">
          <cell r="A46" t="str">
            <v>TC7424A</v>
          </cell>
          <cell r="B46" t="str">
            <v xml:space="preserve">機箱, 230Vac (室內) </v>
          </cell>
          <cell r="C46">
            <v>568</v>
          </cell>
        </row>
        <row r="47">
          <cell r="A47" t="str">
            <v>TC7432</v>
          </cell>
          <cell r="B47" t="str">
            <v>機箱, 24Vac (室內)</v>
          </cell>
          <cell r="C47">
            <v>568</v>
          </cell>
        </row>
        <row r="48">
          <cell r="A48" t="str">
            <v>TC7432-E</v>
          </cell>
          <cell r="B48" t="str">
            <v>機箱, 24Vac (室外)</v>
          </cell>
          <cell r="C48">
            <v>701</v>
          </cell>
        </row>
        <row r="49">
          <cell r="A49" t="str">
            <v>TC7434</v>
          </cell>
          <cell r="B49" t="str">
            <v xml:space="preserve">機箱, 230Vac (室內) </v>
          </cell>
          <cell r="C49">
            <v>568</v>
          </cell>
        </row>
        <row r="50">
          <cell r="A50" t="str">
            <v>TC7434-E</v>
          </cell>
          <cell r="B50" t="str">
            <v xml:space="preserve">機箱, 230Vac (室外) </v>
          </cell>
          <cell r="C50">
            <v>701</v>
          </cell>
        </row>
        <row r="51">
          <cell r="A51" t="str">
            <v>TC7442A</v>
          </cell>
          <cell r="B51" t="str">
            <v>機箱, 24Vac (室外)</v>
          </cell>
          <cell r="C51">
            <v>701</v>
          </cell>
        </row>
        <row r="52">
          <cell r="A52" t="str">
            <v>TC7444A</v>
          </cell>
          <cell r="B52" t="str">
            <v xml:space="preserve">機箱, 230Vac (室外) </v>
          </cell>
          <cell r="C52">
            <v>612</v>
          </cell>
        </row>
        <row r="53">
          <cell r="A53" t="str">
            <v>TC7452</v>
          </cell>
          <cell r="B53" t="str">
            <v>機箱, 24Vac (室內)</v>
          </cell>
          <cell r="C53">
            <v>634</v>
          </cell>
        </row>
        <row r="54">
          <cell r="A54" t="str">
            <v>TC7454</v>
          </cell>
          <cell r="B54" t="str">
            <v xml:space="preserve">機箱, 230Vac (室內) </v>
          </cell>
          <cell r="C54">
            <v>634</v>
          </cell>
        </row>
        <row r="55">
          <cell r="A55" t="str">
            <v>LTC7460/20</v>
          </cell>
          <cell r="B55" t="str">
            <v xml:space="preserve">機箱, 230Vac (室內) </v>
          </cell>
          <cell r="C55">
            <v>459</v>
          </cell>
        </row>
        <row r="56">
          <cell r="A56" t="str">
            <v>LTC7460/50</v>
          </cell>
          <cell r="B56" t="str">
            <v xml:space="preserve">機箱, 230Vac (室內) </v>
          </cell>
          <cell r="C56">
            <v>459</v>
          </cell>
        </row>
        <row r="57">
          <cell r="A57" t="str">
            <v>LTC7471/50</v>
          </cell>
          <cell r="B57" t="str">
            <v xml:space="preserve">機箱, 230Vac (室內) </v>
          </cell>
          <cell r="C57">
            <v>667</v>
          </cell>
        </row>
        <row r="58">
          <cell r="A58" t="str">
            <v>LTC7471/20</v>
          </cell>
          <cell r="B58" t="str">
            <v xml:space="preserve">機箱, 230Vac (室內) </v>
          </cell>
          <cell r="C58">
            <v>667</v>
          </cell>
        </row>
        <row r="59">
          <cell r="A59" t="str">
            <v>LTC7473/50</v>
          </cell>
          <cell r="B59" t="str">
            <v xml:space="preserve">機箱, 230Vac (室外) </v>
          </cell>
          <cell r="C59">
            <v>699</v>
          </cell>
        </row>
        <row r="60">
          <cell r="A60" t="str">
            <v>LTC7473/20</v>
          </cell>
          <cell r="B60" t="str">
            <v xml:space="preserve">機箱, 230Vac (室外) </v>
          </cell>
          <cell r="C60">
            <v>699</v>
          </cell>
        </row>
        <row r="62">
          <cell r="A62" t="str">
            <v>球型防護罩</v>
          </cell>
        </row>
        <row r="63">
          <cell r="A63" t="str">
            <v>吸頂式 (室內)</v>
          </cell>
        </row>
        <row r="64">
          <cell r="A64" t="str">
            <v>TC7401-10</v>
          </cell>
          <cell r="B64" t="str">
            <v xml:space="preserve">球型防護罩 (淡灰色) </v>
          </cell>
          <cell r="C64">
            <v>131</v>
          </cell>
        </row>
        <row r="65">
          <cell r="A65" t="str">
            <v>TC7401-12</v>
          </cell>
          <cell r="B65" t="str">
            <v xml:space="preserve">球型防護罩 (深灰色) </v>
          </cell>
          <cell r="C65">
            <v>131</v>
          </cell>
        </row>
        <row r="66">
          <cell r="A66" t="str">
            <v>TC7402-10</v>
          </cell>
          <cell r="B66" t="str">
            <v xml:space="preserve">球型防護罩 (無色) </v>
          </cell>
          <cell r="C66">
            <v>109</v>
          </cell>
        </row>
        <row r="67">
          <cell r="A67" t="str">
            <v>TC7403-10</v>
          </cell>
          <cell r="B67" t="str">
            <v xml:space="preserve">球型防護罩 (鉻黃色) </v>
          </cell>
          <cell r="C67">
            <v>262</v>
          </cell>
        </row>
        <row r="68">
          <cell r="A68" t="str">
            <v>TC7404-10</v>
          </cell>
          <cell r="B68" t="str">
            <v xml:space="preserve">球型防護罩 (金色)   </v>
          </cell>
          <cell r="C68">
            <v>293</v>
          </cell>
        </row>
        <row r="70">
          <cell r="A70" t="str">
            <v>懸吊式防護罩</v>
          </cell>
        </row>
        <row r="71">
          <cell r="A71" t="str">
            <v>TC7401-20</v>
          </cell>
          <cell r="B71" t="str">
            <v xml:space="preserve">球型防護罩 (淡灰色) </v>
          </cell>
          <cell r="C71">
            <v>131</v>
          </cell>
        </row>
        <row r="72">
          <cell r="A72" t="str">
            <v>TC7401-22</v>
          </cell>
          <cell r="B72" t="str">
            <v xml:space="preserve">球型防護罩 (深灰色) </v>
          </cell>
          <cell r="C72">
            <v>131</v>
          </cell>
        </row>
        <row r="73">
          <cell r="A73" t="str">
            <v>TC7402-20</v>
          </cell>
          <cell r="B73" t="str">
            <v xml:space="preserve">球型防護罩 (無色) </v>
          </cell>
          <cell r="C73">
            <v>109</v>
          </cell>
        </row>
        <row r="74">
          <cell r="A74" t="str">
            <v>TC7403-20</v>
          </cell>
          <cell r="B74" t="str">
            <v xml:space="preserve">球型防護罩 (鉻黃色) </v>
          </cell>
          <cell r="C74">
            <v>262</v>
          </cell>
        </row>
        <row r="75">
          <cell r="A75" t="str">
            <v>TC7404-20</v>
          </cell>
          <cell r="B75" t="str">
            <v xml:space="preserve">球型防護罩 (金色)   </v>
          </cell>
          <cell r="C75">
            <v>293</v>
          </cell>
        </row>
        <row r="77">
          <cell r="A77" t="str">
            <v>吸頂式 (室內)</v>
          </cell>
        </row>
        <row r="78">
          <cell r="A78" t="str">
            <v>TC7401-50</v>
          </cell>
          <cell r="B78" t="str">
            <v xml:space="preserve">球型防護罩 (淡灰色) </v>
          </cell>
          <cell r="C78">
            <v>131</v>
          </cell>
        </row>
        <row r="79">
          <cell r="A79" t="str">
            <v>TC7401-52</v>
          </cell>
          <cell r="B79" t="str">
            <v xml:space="preserve">球型防護罩 (深灰色) </v>
          </cell>
          <cell r="C79">
            <v>131</v>
          </cell>
        </row>
        <row r="80">
          <cell r="A80" t="str">
            <v>TC7402-50</v>
          </cell>
          <cell r="B80" t="str">
            <v xml:space="preserve">球型防護罩 (無色) </v>
          </cell>
          <cell r="C80">
            <v>109</v>
          </cell>
        </row>
        <row r="81">
          <cell r="A81" t="str">
            <v>TC7403-50</v>
          </cell>
          <cell r="B81" t="str">
            <v xml:space="preserve">球型防護罩 (鉻黃色) </v>
          </cell>
          <cell r="C81">
            <v>262</v>
          </cell>
        </row>
        <row r="82">
          <cell r="A82" t="str">
            <v>TC7404-50</v>
          </cell>
          <cell r="B82" t="str">
            <v xml:space="preserve">球型防護罩 (金色)   </v>
          </cell>
          <cell r="C82">
            <v>293</v>
          </cell>
        </row>
        <row r="84">
          <cell r="A84" t="str">
            <v>LTC0809系列, 吸頂式防護罩</v>
          </cell>
        </row>
        <row r="85">
          <cell r="A85" t="str">
            <v>LTC7461/00</v>
          </cell>
          <cell r="B85" t="str">
            <v xml:space="preserve">球型防護罩 (淡灰色) </v>
          </cell>
          <cell r="C85">
            <v>66</v>
          </cell>
        </row>
        <row r="86">
          <cell r="A86" t="str">
            <v>LTC7461/02</v>
          </cell>
          <cell r="B86" t="str">
            <v xml:space="preserve">球型防護罩 (深灰色) </v>
          </cell>
          <cell r="C86">
            <v>66</v>
          </cell>
        </row>
        <row r="87">
          <cell r="A87" t="str">
            <v>LTC7462/00</v>
          </cell>
          <cell r="B87" t="str">
            <v xml:space="preserve">球型防護罩 (無色) </v>
          </cell>
          <cell r="C87">
            <v>66</v>
          </cell>
        </row>
        <row r="88">
          <cell r="A88" t="str">
            <v>LTC7463/00</v>
          </cell>
          <cell r="B88" t="str">
            <v xml:space="preserve">球型防護罩 (鉻黃色) </v>
          </cell>
          <cell r="C88">
            <v>66</v>
          </cell>
        </row>
        <row r="89">
          <cell r="A89" t="str">
            <v>LTC7464/00</v>
          </cell>
          <cell r="B89" t="str">
            <v xml:space="preserve">球型防護罩 (金色)   </v>
          </cell>
          <cell r="C89">
            <v>66</v>
          </cell>
        </row>
        <row r="90">
          <cell r="A90" t="str">
            <v>LTC7465/00</v>
          </cell>
          <cell r="B90" t="str">
            <v>配件</v>
          </cell>
          <cell r="C90">
            <v>87</v>
          </cell>
        </row>
        <row r="92">
          <cell r="A92" t="str">
            <v xml:space="preserve">球型攝像機配件 </v>
          </cell>
        </row>
        <row r="93">
          <cell r="A93" t="str">
            <v>TC7409A</v>
          </cell>
          <cell r="B93" t="str">
            <v xml:space="preserve">黑色攝像機外觀罩 </v>
          </cell>
          <cell r="C93">
            <v>74</v>
          </cell>
        </row>
        <row r="94">
          <cell r="A94" t="str">
            <v>TC7410MK</v>
          </cell>
          <cell r="B94" t="str">
            <v xml:space="preserve">球型攝像機安裝配件 </v>
          </cell>
          <cell r="C94">
            <v>85</v>
          </cell>
        </row>
        <row r="95">
          <cell r="A95" t="str">
            <v>TC7440LT-2</v>
          </cell>
          <cell r="B95" t="str">
            <v xml:space="preserve">加熱器套件  </v>
          </cell>
          <cell r="C95">
            <v>44</v>
          </cell>
        </row>
        <row r="96">
          <cell r="A96" t="str">
            <v>TC7440MB</v>
          </cell>
          <cell r="B96" t="str">
            <v xml:space="preserve">球型攝像機安裝配件 </v>
          </cell>
          <cell r="C96">
            <v>44</v>
          </cell>
        </row>
        <row r="97">
          <cell r="A97" t="str">
            <v>LTC9441/00</v>
          </cell>
          <cell r="B97" t="str">
            <v>全天候安裝配件</v>
          </cell>
          <cell r="C97">
            <v>92</v>
          </cell>
        </row>
        <row r="98">
          <cell r="A98" t="str">
            <v>LTC9440/00</v>
          </cell>
          <cell r="B98" t="str">
            <v>懸吊式安牆支架</v>
          </cell>
          <cell r="C98">
            <v>92</v>
          </cell>
        </row>
        <row r="99">
          <cell r="A99" t="str">
            <v>LTC9226/00</v>
          </cell>
          <cell r="B99" t="str">
            <v>角落安裝支架</v>
          </cell>
          <cell r="C99">
            <v>98</v>
          </cell>
        </row>
        <row r="100">
          <cell r="A100" t="str">
            <v>LTC9225/00</v>
          </cell>
          <cell r="B100" t="str">
            <v>安裝支架</v>
          </cell>
          <cell r="C100">
            <v>85</v>
          </cell>
        </row>
        <row r="103">
          <cell r="A103" t="str">
            <v>攝像機</v>
          </cell>
        </row>
        <row r="104">
          <cell r="A104" t="str">
            <v>LDH0701/10</v>
          </cell>
          <cell r="B104" t="str">
            <v>CCD黑白攝像機 (1/2", CCIR, 230Vac)</v>
          </cell>
          <cell r="C104">
            <v>671</v>
          </cell>
        </row>
        <row r="105">
          <cell r="A105" t="str">
            <v>LDH0703/30</v>
          </cell>
          <cell r="B105" t="str">
            <v xml:space="preserve">CCD黑白攝像機 (1/2", CCIR, 230Vac) </v>
          </cell>
          <cell r="C105">
            <v>1119</v>
          </cell>
        </row>
        <row r="106">
          <cell r="A106" t="str">
            <v>LDH1370/10</v>
          </cell>
          <cell r="B106" t="str">
            <v>黑白室外攝像機 (CCIR)</v>
          </cell>
          <cell r="C106">
            <v>758</v>
          </cell>
        </row>
        <row r="107">
          <cell r="A107" t="str">
            <v>LTC0140/10</v>
          </cell>
          <cell r="B107" t="str">
            <v xml:space="preserve">CCD黑白攝像機 (1/4", CCIR) </v>
          </cell>
          <cell r="C107">
            <v>198</v>
          </cell>
        </row>
        <row r="108">
          <cell r="A108" t="str">
            <v>LTC0140/50</v>
          </cell>
          <cell r="B108" t="str">
            <v xml:space="preserve">CCD黑白攝像機 (1/4", CCIR, 230Vac) </v>
          </cell>
          <cell r="C108">
            <v>198</v>
          </cell>
        </row>
        <row r="109">
          <cell r="A109" t="str">
            <v>LTC0142/10</v>
          </cell>
          <cell r="B109" t="str">
            <v xml:space="preserve">CCD黑白攝像機 (1/4", CCIR, 有3MM鏡頭) </v>
          </cell>
          <cell r="C109">
            <v>198</v>
          </cell>
        </row>
        <row r="110">
          <cell r="A110" t="str">
            <v>LTC0142/50</v>
          </cell>
          <cell r="B110" t="str">
            <v xml:space="preserve">CCD黑白攝像機 (1/4", CCIR, 有3MM鏡頭, 230Vac) </v>
          </cell>
          <cell r="C110">
            <v>198</v>
          </cell>
        </row>
        <row r="111">
          <cell r="A111" t="str">
            <v>LTC0143/10</v>
          </cell>
          <cell r="B111" t="str">
            <v xml:space="preserve">CCD黑白攝像機 (1/4", CCIR, 有6MM鏡頭) </v>
          </cell>
          <cell r="C111">
            <v>198</v>
          </cell>
        </row>
        <row r="112">
          <cell r="A112" t="str">
            <v>LTC0143/50</v>
          </cell>
          <cell r="B112" t="str">
            <v xml:space="preserve">CCD黑白攝像機 (1/4", CCIR, 有6MM鏡頭, 230Vac) </v>
          </cell>
          <cell r="C112">
            <v>198</v>
          </cell>
        </row>
        <row r="113">
          <cell r="A113" t="str">
            <v>LTC0330/10</v>
          </cell>
          <cell r="B113" t="str">
            <v xml:space="preserve">CCD黑白攝像機 (1/3", CCIR) </v>
          </cell>
          <cell r="C113">
            <v>174</v>
          </cell>
        </row>
        <row r="114">
          <cell r="A114" t="str">
            <v>LTC0330/51</v>
          </cell>
          <cell r="B114" t="str">
            <v xml:space="preserve">CCD黑白攝像機 (1/3", CCIR, 有6MM鏡頭, 230Vac) </v>
          </cell>
          <cell r="C114">
            <v>174</v>
          </cell>
        </row>
        <row r="115">
          <cell r="A115" t="str">
            <v>TC352AX</v>
          </cell>
          <cell r="B115" t="str">
            <v xml:space="preserve">1/2吋黑白攝像機 (24V) </v>
          </cell>
          <cell r="C115">
            <v>549</v>
          </cell>
        </row>
        <row r="116">
          <cell r="A116" t="str">
            <v>TC354AX</v>
          </cell>
          <cell r="B116" t="str">
            <v xml:space="preserve">1/2吋黑白攝像機 (220V) </v>
          </cell>
          <cell r="C116">
            <v>549</v>
          </cell>
        </row>
        <row r="117">
          <cell r="A117" t="str">
            <v>TC552AX</v>
          </cell>
          <cell r="B117" t="str">
            <v xml:space="preserve">1/3吋黑白攝像機24VAC CCIR  </v>
          </cell>
          <cell r="C117">
            <v>206</v>
          </cell>
        </row>
        <row r="118">
          <cell r="A118" t="str">
            <v>TC592X</v>
          </cell>
          <cell r="B118" t="str">
            <v xml:space="preserve">1/3吋黑白攝像機24VAC CCIR  </v>
          </cell>
          <cell r="C118">
            <v>298</v>
          </cell>
        </row>
        <row r="119">
          <cell r="A119" t="str">
            <v>TC595X</v>
          </cell>
          <cell r="B119" t="str">
            <v xml:space="preserve">1/3吋黑白攝像機12VDC CCIR  </v>
          </cell>
          <cell r="C119">
            <v>298</v>
          </cell>
        </row>
        <row r="120">
          <cell r="A120" t="str">
            <v>TC652BX</v>
          </cell>
          <cell r="B120" t="str">
            <v xml:space="preserve">1/2吋黑白攝像機 24VAC CCIR </v>
          </cell>
          <cell r="C120">
            <v>366</v>
          </cell>
        </row>
        <row r="121">
          <cell r="A121" t="str">
            <v>TC654BX</v>
          </cell>
          <cell r="B121" t="str">
            <v xml:space="preserve">1/2吋黑白攝像機 24VAC CCIR </v>
          </cell>
          <cell r="C121">
            <v>366</v>
          </cell>
        </row>
        <row r="122">
          <cell r="A122" t="str">
            <v>TC952X</v>
          </cell>
          <cell r="B122" t="str">
            <v xml:space="preserve">1/3"黑白攝像機 </v>
          </cell>
          <cell r="C122">
            <v>206</v>
          </cell>
        </row>
        <row r="123">
          <cell r="A123" t="str">
            <v>TC652BTX</v>
          </cell>
          <cell r="B123" t="str">
            <v xml:space="preserve">1/2吋黑白攝像機 24VAC CCIR </v>
          </cell>
          <cell r="C123">
            <v>366</v>
          </cell>
        </row>
        <row r="124">
          <cell r="A124" t="str">
            <v>TC591X</v>
          </cell>
          <cell r="B124" t="str">
            <v>1/3吋黑白攝像機 120VAC</v>
          </cell>
          <cell r="C124">
            <v>366</v>
          </cell>
        </row>
        <row r="125">
          <cell r="A125" t="str">
            <v>TC972X</v>
          </cell>
          <cell r="B125" t="str">
            <v xml:space="preserve">1/3吋黑白攝像機 24VAC </v>
          </cell>
          <cell r="C125">
            <v>252</v>
          </cell>
        </row>
        <row r="127">
          <cell r="A127" t="str">
            <v>彩色攝像機</v>
          </cell>
        </row>
        <row r="128">
          <cell r="A128" t="str">
            <v>LDH0801/20</v>
          </cell>
          <cell r="B128" t="str">
            <v>CCD彩色攝像機 (230VAC), 1/2", PAL</v>
          </cell>
          <cell r="C128">
            <v>1019</v>
          </cell>
        </row>
        <row r="129">
          <cell r="A129" t="str">
            <v>LDH0803/30</v>
          </cell>
          <cell r="B129" t="str">
            <v>CCD彩色攝像機 (230VAC), 1/2", PAL</v>
          </cell>
          <cell r="C129">
            <v>1307</v>
          </cell>
        </row>
        <row r="130">
          <cell r="A130" t="str">
            <v>LDH0805/30</v>
          </cell>
          <cell r="B130" t="str">
            <v>CCD彩色攝像機 (230VAC), 1/2", PAL</v>
          </cell>
          <cell r="C130">
            <v>1621</v>
          </cell>
        </row>
        <row r="131">
          <cell r="A131" t="str">
            <v>LDH0805/35</v>
          </cell>
          <cell r="B131" t="str">
            <v>CCD彩色攝像機 (230VAC), 1/2", PAL</v>
          </cell>
          <cell r="C131">
            <v>1621</v>
          </cell>
        </row>
        <row r="132">
          <cell r="A132" t="str">
            <v>LDH0805/36</v>
          </cell>
          <cell r="B132" t="str">
            <v>CCD彩色攝像機 (230VAC), 1/2", PAL</v>
          </cell>
          <cell r="C132">
            <v>1621</v>
          </cell>
        </row>
        <row r="133">
          <cell r="A133" t="str">
            <v>LDH0805/37</v>
          </cell>
          <cell r="B133" t="str">
            <v>CCD彩色攝像機 (230VAC), 1/2", PAL</v>
          </cell>
          <cell r="C133">
            <v>1621</v>
          </cell>
        </row>
        <row r="134">
          <cell r="A134" t="str">
            <v>LDH0805/38</v>
          </cell>
          <cell r="B134" t="str">
            <v>CCD彩色攝像機 (230VAC), 1/2", PAL</v>
          </cell>
          <cell r="C134">
            <v>1621</v>
          </cell>
        </row>
        <row r="135">
          <cell r="A135" t="str">
            <v>LDH0805/39</v>
          </cell>
          <cell r="B135" t="str">
            <v>CCD彩色攝像機 (230VAC), 1/2", PAL</v>
          </cell>
          <cell r="C135">
            <v>1621</v>
          </cell>
        </row>
        <row r="136">
          <cell r="A136" t="str">
            <v>LDH1380/10</v>
          </cell>
          <cell r="B136" t="str">
            <v>彩色室外攝像機 (PAL)</v>
          </cell>
          <cell r="C136">
            <v>955</v>
          </cell>
        </row>
        <row r="137">
          <cell r="A137" t="str">
            <v>LTC0240/10</v>
          </cell>
          <cell r="B137" t="str">
            <v>彩色室外攝像機 (PAL)</v>
          </cell>
          <cell r="C137">
            <v>286</v>
          </cell>
        </row>
        <row r="138">
          <cell r="A138" t="str">
            <v>LTC0240/50</v>
          </cell>
          <cell r="B138" t="str">
            <v>彩色室外攝像機 (PAL)</v>
          </cell>
          <cell r="C138">
            <v>286</v>
          </cell>
        </row>
        <row r="139">
          <cell r="A139" t="str">
            <v>LTC0242/10</v>
          </cell>
          <cell r="B139" t="str">
            <v xml:space="preserve">1/4"彩色攝像機 (PAL) </v>
          </cell>
          <cell r="C139">
            <v>286</v>
          </cell>
        </row>
        <row r="140">
          <cell r="A140" t="str">
            <v>LTC0242/50</v>
          </cell>
          <cell r="B140" t="str">
            <v xml:space="preserve">1/4"彩色攝像機 (PAL) </v>
          </cell>
          <cell r="C140">
            <v>286</v>
          </cell>
        </row>
        <row r="141">
          <cell r="A141" t="str">
            <v>LTC0243/10</v>
          </cell>
          <cell r="B141" t="str">
            <v xml:space="preserve">1/4"彩色攝像機 (PAL) </v>
          </cell>
          <cell r="C141">
            <v>286</v>
          </cell>
        </row>
        <row r="142">
          <cell r="A142" t="str">
            <v>LTC0243/50</v>
          </cell>
          <cell r="B142" t="str">
            <v xml:space="preserve">1/4"彩色攝像機 (PAL) </v>
          </cell>
          <cell r="C142">
            <v>286</v>
          </cell>
        </row>
        <row r="143">
          <cell r="A143" t="str">
            <v>LTC0430/10</v>
          </cell>
          <cell r="B143" t="str">
            <v xml:space="preserve">1/3"彩色攝像機 (PAL) </v>
          </cell>
          <cell r="C143">
            <v>343</v>
          </cell>
        </row>
        <row r="144">
          <cell r="A144" t="str">
            <v>LTC0430/51</v>
          </cell>
          <cell r="B144" t="str">
            <v xml:space="preserve">1/3"彩色攝像機 (PAL) </v>
          </cell>
          <cell r="C144">
            <v>343</v>
          </cell>
        </row>
        <row r="145">
          <cell r="A145" t="str">
            <v>LTC0450/10</v>
          </cell>
          <cell r="B145" t="str">
            <v xml:space="preserve">1/3"彩色攝像機 (PAL) </v>
          </cell>
          <cell r="C145">
            <v>481</v>
          </cell>
        </row>
        <row r="146">
          <cell r="A146" t="str">
            <v>LTC0450/51</v>
          </cell>
          <cell r="B146" t="str">
            <v xml:space="preserve">1/3"彩色攝像機 (PAL) </v>
          </cell>
          <cell r="C146">
            <v>481</v>
          </cell>
        </row>
        <row r="147">
          <cell r="A147" t="str">
            <v>TC362X</v>
          </cell>
          <cell r="B147" t="str">
            <v>1/2"彩色攝像機 (PALB, 24VAC)</v>
          </cell>
          <cell r="C147">
            <v>618</v>
          </cell>
        </row>
        <row r="148">
          <cell r="A148" t="str">
            <v>TC364X</v>
          </cell>
          <cell r="B148" t="str">
            <v>1/2"彩色攝像機 (PALB, 230VAC)</v>
          </cell>
          <cell r="C148">
            <v>618</v>
          </cell>
        </row>
        <row r="149">
          <cell r="A149" t="str">
            <v>TC365X</v>
          </cell>
          <cell r="B149" t="str">
            <v>1/2"彩色攝像機 (PALB, 24VDC)</v>
          </cell>
          <cell r="C149">
            <v>618</v>
          </cell>
        </row>
        <row r="150">
          <cell r="A150" t="str">
            <v>TC372X</v>
          </cell>
          <cell r="B150" t="str">
            <v>1/3"彩色攝像機 (PALB, 24VAC)</v>
          </cell>
          <cell r="C150">
            <v>458</v>
          </cell>
        </row>
        <row r="151">
          <cell r="A151" t="str">
            <v>TC375X</v>
          </cell>
          <cell r="B151" t="str">
            <v>1/3"彩色攝像機 (PAL, 12VDC)</v>
          </cell>
          <cell r="C151">
            <v>458</v>
          </cell>
        </row>
        <row r="152">
          <cell r="A152" t="str">
            <v>TC392X</v>
          </cell>
          <cell r="B152" t="str">
            <v>1/3"彩色攝像機 (PALB, 24VAC)</v>
          </cell>
          <cell r="C152">
            <v>641</v>
          </cell>
        </row>
        <row r="153">
          <cell r="A153" t="str">
            <v>TC384X</v>
          </cell>
          <cell r="B153" t="str">
            <v>1/2"彩色攝像機 (PALB, 230VAC)</v>
          </cell>
          <cell r="C153">
            <v>893</v>
          </cell>
        </row>
        <row r="154">
          <cell r="A154" t="str">
            <v>TC382X</v>
          </cell>
          <cell r="B154" t="str">
            <v>1/2"彩色攝像機 (PALB, 24VAC)</v>
          </cell>
          <cell r="C154">
            <v>893</v>
          </cell>
        </row>
        <row r="155">
          <cell r="A155" t="str">
            <v>TC385X</v>
          </cell>
          <cell r="B155" t="str">
            <v>1/2"彩色攝像機 (PALB, 12VDC)</v>
          </cell>
          <cell r="C155">
            <v>893</v>
          </cell>
        </row>
        <row r="156">
          <cell r="A156" t="str">
            <v>TC395X</v>
          </cell>
          <cell r="B156" t="str">
            <v>1/3"彩色攝像機 (PALB, 230VDC)</v>
          </cell>
          <cell r="C156">
            <v>641</v>
          </cell>
        </row>
        <row r="158">
          <cell r="A158" t="str">
            <v>攝像機副件</v>
          </cell>
        </row>
        <row r="159">
          <cell r="A159" t="str">
            <v>TC652D</v>
          </cell>
          <cell r="B159" t="str">
            <v xml:space="preserve">仿1/2吋攝像機 </v>
          </cell>
          <cell r="C159">
            <v>137</v>
          </cell>
        </row>
        <row r="161">
          <cell r="A161" t="str">
            <v>控制類別</v>
          </cell>
        </row>
        <row r="162">
          <cell r="A162" t="str">
            <v>雲台及鏡頭控制</v>
          </cell>
        </row>
        <row r="163">
          <cell r="A163" t="str">
            <v>LTC5133/50</v>
          </cell>
          <cell r="B163" t="str">
            <v>雲台控制器</v>
          </cell>
          <cell r="C163">
            <v>444</v>
          </cell>
        </row>
        <row r="164">
          <cell r="A164" t="str">
            <v>LTC5134/50</v>
          </cell>
          <cell r="B164" t="str">
            <v>雲台控制器</v>
          </cell>
          <cell r="C164">
            <v>524</v>
          </cell>
        </row>
        <row r="165">
          <cell r="A165" t="str">
            <v>LTC5135/50</v>
          </cell>
          <cell r="B165" t="str">
            <v>雲台控制器</v>
          </cell>
          <cell r="C165">
            <v>481</v>
          </cell>
        </row>
        <row r="167">
          <cell r="A167" t="str">
            <v xml:space="preserve">球型攝像機控制 </v>
          </cell>
        </row>
        <row r="168">
          <cell r="A168" t="str">
            <v>LTC5136/50</v>
          </cell>
          <cell r="B168" t="str">
            <v xml:space="preserve">半球攝像機控制器 230VAC </v>
          </cell>
          <cell r="C168">
            <v>765</v>
          </cell>
        </row>
        <row r="170">
          <cell r="A170" t="str">
            <v xml:space="preserve">控制器 </v>
          </cell>
        </row>
        <row r="171">
          <cell r="A171" t="str">
            <v>TC6105SC-24X</v>
          </cell>
          <cell r="B171" t="str">
            <v xml:space="preserve">控制器 </v>
          </cell>
          <cell r="C171">
            <v>208</v>
          </cell>
        </row>
        <row r="173">
          <cell r="A173" t="str">
            <v>記錄系統</v>
          </cell>
        </row>
        <row r="174">
          <cell r="A174" t="str">
            <v>LDH5810/00</v>
          </cell>
          <cell r="B174" t="str">
            <v xml:space="preserve">黑白數字視頻記錄系統 </v>
          </cell>
          <cell r="C174">
            <v>671</v>
          </cell>
        </row>
        <row r="175">
          <cell r="A175" t="str">
            <v>LDH5820/00</v>
          </cell>
          <cell r="B175" t="str">
            <v xml:space="preserve">ICU 套件 </v>
          </cell>
          <cell r="C175">
            <v>1119</v>
          </cell>
        </row>
        <row r="176">
          <cell r="A176" t="str">
            <v>TC3922X</v>
          </cell>
          <cell r="B176" t="str">
            <v xml:space="preserve">VCR鎖櫃 </v>
          </cell>
          <cell r="C176">
            <v>319</v>
          </cell>
        </row>
        <row r="177">
          <cell r="A177" t="str">
            <v>LTC3905/50</v>
          </cell>
          <cell r="B177" t="str">
            <v xml:space="preserve">960小時錄像機 (PAL) </v>
          </cell>
          <cell r="C177">
            <v>626</v>
          </cell>
        </row>
        <row r="178">
          <cell r="A178" t="str">
            <v>LTC3906/50</v>
          </cell>
          <cell r="B178" t="str">
            <v xml:space="preserve">24小時錄像機 (PAL) </v>
          </cell>
          <cell r="C178">
            <v>805</v>
          </cell>
        </row>
        <row r="179">
          <cell r="A179" t="str">
            <v>LTC3924/50</v>
          </cell>
          <cell r="B179" t="str">
            <v xml:space="preserve">24小時實時錄像機 (PAL) </v>
          </cell>
          <cell r="C179">
            <v>940</v>
          </cell>
        </row>
        <row r="180">
          <cell r="A180" t="str">
            <v>LTC3960/50</v>
          </cell>
          <cell r="B180" t="str">
            <v xml:space="preserve">720小時實時錄像機 (PAL)  </v>
          </cell>
          <cell r="C180">
            <v>1208</v>
          </cell>
        </row>
        <row r="181">
          <cell r="A181" t="str">
            <v>LTC3962/50</v>
          </cell>
          <cell r="B181" t="str">
            <v xml:space="preserve">720小時錄像機 (PAL) </v>
          </cell>
          <cell r="C181">
            <v>1298</v>
          </cell>
        </row>
        <row r="182">
          <cell r="A182" t="str">
            <v>LTC3963/50</v>
          </cell>
          <cell r="B182" t="str">
            <v xml:space="preserve">240小時錄像機 (PAL) </v>
          </cell>
          <cell r="C182">
            <v>1298</v>
          </cell>
        </row>
        <row r="183">
          <cell r="A183" t="str">
            <v>LTC3990/50</v>
          </cell>
          <cell r="B183" t="str">
            <v xml:space="preserve">S-VHS 錄像機 (PAL) </v>
          </cell>
          <cell r="C183">
            <v>1745</v>
          </cell>
        </row>
        <row r="185">
          <cell r="A185" t="str">
            <v>防護罩</v>
          </cell>
        </row>
        <row r="186">
          <cell r="A186" t="str">
            <v xml:space="preserve">室內 </v>
          </cell>
        </row>
        <row r="187">
          <cell r="A187" t="str">
            <v xml:space="preserve">室內防護罩 </v>
          </cell>
        </row>
        <row r="188">
          <cell r="A188" t="str">
            <v>LTC9352/00</v>
          </cell>
          <cell r="B188" t="str">
            <v xml:space="preserve">11" 室內防護罩 </v>
          </cell>
          <cell r="C188">
            <v>74</v>
          </cell>
        </row>
        <row r="189">
          <cell r="A189" t="str">
            <v>LTC9352/01</v>
          </cell>
          <cell r="B189" t="str">
            <v>13" 室內防護罩 (24Vac)</v>
          </cell>
          <cell r="C189">
            <v>66</v>
          </cell>
        </row>
        <row r="190">
          <cell r="A190" t="str">
            <v>LTC9353/00</v>
          </cell>
          <cell r="B190" t="str">
            <v xml:space="preserve">13" 室內防護罩 </v>
          </cell>
          <cell r="C190">
            <v>74</v>
          </cell>
        </row>
        <row r="191">
          <cell r="A191" t="str">
            <v>LTC9358/00</v>
          </cell>
          <cell r="B191" t="str">
            <v xml:space="preserve">17" 室內防護罩 </v>
          </cell>
          <cell r="C191">
            <v>109</v>
          </cell>
        </row>
        <row r="193">
          <cell r="A193" t="str">
            <v>天花防護罩</v>
          </cell>
        </row>
        <row r="194">
          <cell r="A194" t="str">
            <v>LTC9369/00</v>
          </cell>
          <cell r="B194" t="str">
            <v xml:space="preserve">室內防護罩 </v>
          </cell>
          <cell r="C194">
            <v>109</v>
          </cell>
        </row>
        <row r="195">
          <cell r="A195" t="str">
            <v>LTC9069/00</v>
          </cell>
          <cell r="B195" t="str">
            <v xml:space="preserve">室內防護罩 </v>
          </cell>
          <cell r="C195">
            <v>44</v>
          </cell>
        </row>
        <row r="196">
          <cell r="A196" t="str">
            <v>LTC9069/01</v>
          </cell>
          <cell r="B196" t="str">
            <v xml:space="preserve">室內防護罩 </v>
          </cell>
          <cell r="C196">
            <v>44</v>
          </cell>
        </row>
        <row r="197">
          <cell r="A197" t="str">
            <v>TC9375</v>
          </cell>
          <cell r="B197" t="str">
            <v xml:space="preserve">室內防護罩 </v>
          </cell>
          <cell r="C197">
            <v>116</v>
          </cell>
        </row>
        <row r="198">
          <cell r="A198" t="str">
            <v>TC9376H</v>
          </cell>
          <cell r="B198" t="str">
            <v xml:space="preserve">室內防護罩 </v>
          </cell>
          <cell r="C198">
            <v>168</v>
          </cell>
        </row>
        <row r="200">
          <cell r="A200" t="str">
            <v>角落安裝防護罩</v>
          </cell>
        </row>
        <row r="201">
          <cell r="A201" t="str">
            <v>TC2073</v>
          </cell>
          <cell r="B201" t="str">
            <v xml:space="preserve">室內角落安裝防護罩 </v>
          </cell>
          <cell r="C201">
            <v>234</v>
          </cell>
        </row>
        <row r="202">
          <cell r="A202" t="str">
            <v>TC2073T</v>
          </cell>
          <cell r="B202" t="str">
            <v xml:space="preserve">室內角落安裝防護罩 </v>
          </cell>
          <cell r="C202">
            <v>249</v>
          </cell>
        </row>
        <row r="203">
          <cell r="A203" t="str">
            <v>TC2075HL</v>
          </cell>
          <cell r="B203" t="str">
            <v xml:space="preserve">室內角落安裝防護罩 </v>
          </cell>
          <cell r="C203">
            <v>599</v>
          </cell>
        </row>
        <row r="205">
          <cell r="A205" t="str">
            <v xml:space="preserve">防碰角裝護罩 </v>
          </cell>
        </row>
        <row r="206">
          <cell r="A206" t="str">
            <v>TC9302SH-LC</v>
          </cell>
          <cell r="B206" t="str">
            <v xml:space="preserve">防碰角裝護罩 </v>
          </cell>
          <cell r="C206">
            <v>852</v>
          </cell>
        </row>
        <row r="207">
          <cell r="A207" t="str">
            <v>TC9302SH-ST</v>
          </cell>
          <cell r="B207" t="str">
            <v xml:space="preserve">防碰角裝護罩 </v>
          </cell>
          <cell r="C207">
            <v>946</v>
          </cell>
        </row>
        <row r="208">
          <cell r="A208" t="str">
            <v>LTC9303/00</v>
          </cell>
          <cell r="B208" t="str">
            <v xml:space="preserve">防碰角裝護罩 </v>
          </cell>
          <cell r="C208">
            <v>328</v>
          </cell>
        </row>
        <row r="209">
          <cell r="A209" t="str">
            <v>LTC9303/01</v>
          </cell>
          <cell r="B209" t="str">
            <v xml:space="preserve">防碰角裝護罩 </v>
          </cell>
          <cell r="C209">
            <v>365</v>
          </cell>
        </row>
        <row r="210">
          <cell r="A210" t="str">
            <v>LTC9303/02</v>
          </cell>
          <cell r="B210" t="str">
            <v xml:space="preserve">防碰角裝護罩 </v>
          </cell>
          <cell r="C210">
            <v>343</v>
          </cell>
        </row>
        <row r="211">
          <cell r="A211" t="str">
            <v>LTC9303/03</v>
          </cell>
          <cell r="B211" t="str">
            <v xml:space="preserve">防碰角裝護罩 </v>
          </cell>
          <cell r="C211">
            <v>337</v>
          </cell>
        </row>
        <row r="213">
          <cell r="A213" t="str">
            <v>防碰頂裝護罩</v>
          </cell>
        </row>
        <row r="214">
          <cell r="A214" t="str">
            <v>TC9304SH-CM2</v>
          </cell>
          <cell r="B214" t="str">
            <v>防碰頂裝護罩</v>
          </cell>
          <cell r="C214">
            <v>597</v>
          </cell>
        </row>
        <row r="215">
          <cell r="A215" t="str">
            <v>TC9304SH-CM6</v>
          </cell>
          <cell r="B215" t="str">
            <v>防碰頂裝護罩</v>
          </cell>
          <cell r="C215">
            <v>642</v>
          </cell>
        </row>
        <row r="216">
          <cell r="A216" t="str">
            <v>LTC9305/00</v>
          </cell>
          <cell r="B216" t="str">
            <v>防碰頂裝護罩</v>
          </cell>
          <cell r="C216">
            <v>306</v>
          </cell>
        </row>
        <row r="217">
          <cell r="A217" t="str">
            <v>LTC9305/01</v>
          </cell>
          <cell r="B217" t="str">
            <v>防碰頂裝護罩</v>
          </cell>
          <cell r="C217">
            <v>350</v>
          </cell>
        </row>
        <row r="218">
          <cell r="A218" t="str">
            <v>LTC9305/02</v>
          </cell>
          <cell r="B218" t="str">
            <v>防碰頂裝護罩</v>
          </cell>
          <cell r="C218">
            <v>321</v>
          </cell>
        </row>
        <row r="219">
          <cell r="A219" t="str">
            <v>LTC9305/03</v>
          </cell>
          <cell r="B219" t="str">
            <v>防碰頂裝護罩</v>
          </cell>
          <cell r="C219">
            <v>312</v>
          </cell>
        </row>
        <row r="221">
          <cell r="A221" t="str">
            <v>防護罩配件</v>
          </cell>
        </row>
        <row r="222">
          <cell r="A222" t="str">
            <v>LTC9313/00</v>
          </cell>
          <cell r="B222" t="str">
            <v>面板</v>
          </cell>
          <cell r="C222">
            <v>59</v>
          </cell>
        </row>
        <row r="223">
          <cell r="A223" t="str">
            <v>LTC9313/20</v>
          </cell>
          <cell r="B223" t="str">
            <v>防霧器套件</v>
          </cell>
          <cell r="C223">
            <v>74</v>
          </cell>
        </row>
        <row r="224">
          <cell r="A224" t="str">
            <v>LTC9313/50</v>
          </cell>
          <cell r="B224" t="str">
            <v>防霧器套件</v>
          </cell>
          <cell r="C224">
            <v>74</v>
          </cell>
        </row>
        <row r="225">
          <cell r="A225" t="str">
            <v>LTC9315/20</v>
          </cell>
          <cell r="B225" t="str">
            <v>防霧器套件及恆溫器</v>
          </cell>
          <cell r="C225">
            <v>74</v>
          </cell>
        </row>
        <row r="226">
          <cell r="A226" t="str">
            <v>LTC9315/50</v>
          </cell>
          <cell r="B226" t="str">
            <v>防霧器套件及恆溫器</v>
          </cell>
          <cell r="C226">
            <v>74</v>
          </cell>
        </row>
        <row r="228">
          <cell r="A228" t="str">
            <v>室內球型護罩(固定式攝像機)</v>
          </cell>
        </row>
        <row r="229">
          <cell r="A229" t="str">
            <v>TC9341</v>
          </cell>
          <cell r="B229" t="str">
            <v xml:space="preserve">球型護罩 </v>
          </cell>
          <cell r="C229">
            <v>131</v>
          </cell>
        </row>
        <row r="230">
          <cell r="A230" t="str">
            <v>TC9343</v>
          </cell>
          <cell r="B230" t="str">
            <v xml:space="preserve">球型護罩 </v>
          </cell>
          <cell r="C230">
            <v>212</v>
          </cell>
        </row>
        <row r="231">
          <cell r="A231" t="str">
            <v>LTC9348/00</v>
          </cell>
          <cell r="B231" t="str">
            <v xml:space="preserve">7"防護罩 </v>
          </cell>
          <cell r="C231">
            <v>175</v>
          </cell>
        </row>
        <row r="232">
          <cell r="A232" t="str">
            <v>TC9348MK</v>
          </cell>
          <cell r="B232" t="str">
            <v xml:space="preserve">安裝片 </v>
          </cell>
          <cell r="C232">
            <v>76</v>
          </cell>
        </row>
        <row r="234">
          <cell r="A234" t="str">
            <v>室外護罩</v>
          </cell>
        </row>
        <row r="235">
          <cell r="A235" t="str">
            <v>LTC9686/00</v>
          </cell>
          <cell r="B235" t="str">
            <v>室外護罩</v>
          </cell>
          <cell r="C235">
            <v>130</v>
          </cell>
        </row>
        <row r="236">
          <cell r="A236" t="str">
            <v>LTC9687/90</v>
          </cell>
          <cell r="B236" t="str">
            <v>室外護罩(帶恆溫器)</v>
          </cell>
          <cell r="C236">
            <v>159</v>
          </cell>
        </row>
        <row r="237">
          <cell r="A237" t="str">
            <v>LTC9689/90</v>
          </cell>
          <cell r="B237" t="str">
            <v>室外護罩(帶系統連線)</v>
          </cell>
          <cell r="C237">
            <v>190</v>
          </cell>
        </row>
        <row r="238">
          <cell r="A238" t="str">
            <v>LTC9688/50</v>
          </cell>
          <cell r="B238" t="str">
            <v>室外護罩(帶18VAC電源)</v>
          </cell>
          <cell r="C238">
            <v>235</v>
          </cell>
        </row>
        <row r="239">
          <cell r="A239" t="str">
            <v>LDH0691/01</v>
          </cell>
          <cell r="B239" t="str">
            <v>室外護罩(35CM)</v>
          </cell>
          <cell r="C239">
            <v>716</v>
          </cell>
        </row>
        <row r="240">
          <cell r="A240" t="str">
            <v>LDH0691/11</v>
          </cell>
          <cell r="B240" t="str">
            <v>室外護罩(35CM及電源)</v>
          </cell>
          <cell r="C240">
            <v>940</v>
          </cell>
        </row>
        <row r="241">
          <cell r="A241" t="str">
            <v>LDH0692/11</v>
          </cell>
          <cell r="B241" t="str">
            <v>室外護罩(45CM及電源)</v>
          </cell>
          <cell r="C241">
            <v>1007</v>
          </cell>
        </row>
        <row r="243">
          <cell r="A243" t="str">
            <v xml:space="preserve">全天候標準防護罩 </v>
          </cell>
        </row>
        <row r="244">
          <cell r="A244" t="str">
            <v>LTC9383/20</v>
          </cell>
          <cell r="B244" t="str">
            <v>15" 全天候標準防護罩</v>
          </cell>
          <cell r="C244">
            <v>186</v>
          </cell>
        </row>
        <row r="245">
          <cell r="A245" t="str">
            <v>LTC9383/10</v>
          </cell>
          <cell r="B245" t="str">
            <v>15" 全天候標準防護罩</v>
          </cell>
          <cell r="C245">
            <v>186</v>
          </cell>
        </row>
        <row r="246">
          <cell r="A246" t="str">
            <v>LTC9383/50</v>
          </cell>
          <cell r="B246" t="str">
            <v>15" 全天候標準防護罩</v>
          </cell>
          <cell r="C246">
            <v>186</v>
          </cell>
        </row>
        <row r="247">
          <cell r="A247" t="str">
            <v>LTC9385/20</v>
          </cell>
          <cell r="B247" t="str">
            <v>全天候標準防護罩, 24Vac</v>
          </cell>
          <cell r="C247">
            <v>216</v>
          </cell>
        </row>
        <row r="248">
          <cell r="A248" t="str">
            <v>LTC9385/50</v>
          </cell>
          <cell r="B248" t="str">
            <v>全天候標準防護罩, 220Vac</v>
          </cell>
          <cell r="C248">
            <v>249</v>
          </cell>
        </row>
        <row r="249">
          <cell r="A249" t="str">
            <v>LTC9388/10</v>
          </cell>
          <cell r="B249" t="str">
            <v>19" 全天候標準防護罩</v>
          </cell>
          <cell r="C249">
            <v>225</v>
          </cell>
        </row>
        <row r="250">
          <cell r="A250" t="str">
            <v>LTC9388/20</v>
          </cell>
          <cell r="B250" t="str">
            <v>19" 全天候標準防護罩</v>
          </cell>
          <cell r="C250">
            <v>208</v>
          </cell>
        </row>
        <row r="251">
          <cell r="A251" t="str">
            <v>LTC9388/50</v>
          </cell>
          <cell r="B251" t="str">
            <v>19" 全天候標準防護罩</v>
          </cell>
          <cell r="C251">
            <v>208</v>
          </cell>
        </row>
        <row r="253">
          <cell r="A253" t="str">
            <v xml:space="preserve">全天候工業型防護罩 </v>
          </cell>
        </row>
        <row r="254">
          <cell r="A254" t="str">
            <v>TC9340A</v>
          </cell>
          <cell r="B254" t="str">
            <v xml:space="preserve">全天候防護罩 </v>
          </cell>
          <cell r="C254">
            <v>153</v>
          </cell>
        </row>
        <row r="255">
          <cell r="A255" t="str">
            <v>TC9346A</v>
          </cell>
          <cell r="B255" t="str">
            <v xml:space="preserve">室外護罩 </v>
          </cell>
          <cell r="C255">
            <v>278</v>
          </cell>
        </row>
        <row r="257">
          <cell r="A257" t="str">
            <v>室外防護罩</v>
          </cell>
        </row>
        <row r="258">
          <cell r="A258" t="str">
            <v>TC9340A-2</v>
          </cell>
          <cell r="B258" t="str">
            <v xml:space="preserve">室外護罩 </v>
          </cell>
          <cell r="C258">
            <v>299</v>
          </cell>
        </row>
        <row r="259">
          <cell r="A259" t="str">
            <v>TC9340A-3</v>
          </cell>
          <cell r="B259" t="str">
            <v xml:space="preserve">室外護罩 </v>
          </cell>
          <cell r="C259">
            <v>284</v>
          </cell>
        </row>
        <row r="260">
          <cell r="A260" t="str">
            <v>TC9346A-2</v>
          </cell>
          <cell r="B260" t="str">
            <v xml:space="preserve">室外護罩 </v>
          </cell>
          <cell r="C260">
            <v>437</v>
          </cell>
        </row>
        <row r="261">
          <cell r="A261" t="str">
            <v>TC9346A-3</v>
          </cell>
          <cell r="B261" t="str">
            <v xml:space="preserve">室外護罩 </v>
          </cell>
          <cell r="C261">
            <v>422</v>
          </cell>
        </row>
        <row r="263">
          <cell r="A263" t="str">
            <v>防爆型防護罩</v>
          </cell>
        </row>
        <row r="264">
          <cell r="A264" t="str">
            <v>EHX8E</v>
          </cell>
          <cell r="B264" t="str">
            <v>防爆型防護罩</v>
          </cell>
          <cell r="C264">
            <v>1420</v>
          </cell>
        </row>
        <row r="266">
          <cell r="A266" t="str">
            <v>室外球型謢罩</v>
          </cell>
        </row>
        <row r="267">
          <cell r="A267" t="str">
            <v>TC9318</v>
          </cell>
          <cell r="B267" t="str">
            <v>18"室外球型謢罩</v>
          </cell>
          <cell r="C267">
            <v>387</v>
          </cell>
        </row>
        <row r="268">
          <cell r="A268" t="str">
            <v>TC9318T</v>
          </cell>
          <cell r="B268" t="str">
            <v>18"室外球型謢罩</v>
          </cell>
          <cell r="C268">
            <v>387</v>
          </cell>
        </row>
        <row r="269">
          <cell r="A269" t="str">
            <v>TC9322T</v>
          </cell>
          <cell r="B269" t="str">
            <v xml:space="preserve">球形防護罩 </v>
          </cell>
          <cell r="C269">
            <v>465</v>
          </cell>
        </row>
        <row r="271">
          <cell r="A271" t="str">
            <v>球形防護罩</v>
          </cell>
        </row>
        <row r="272">
          <cell r="A272" t="str">
            <v>TC9320</v>
          </cell>
          <cell r="B272" t="str">
            <v>球形防護罩</v>
          </cell>
          <cell r="C272">
            <v>496</v>
          </cell>
        </row>
        <row r="273">
          <cell r="A273" t="str">
            <v>TC9320C</v>
          </cell>
          <cell r="B273" t="str">
            <v>裝牆式護罩</v>
          </cell>
          <cell r="C273">
            <v>496</v>
          </cell>
        </row>
        <row r="274">
          <cell r="A274" t="str">
            <v>TC9320L</v>
          </cell>
          <cell r="B274" t="str">
            <v>室外球罩</v>
          </cell>
          <cell r="C274">
            <v>546</v>
          </cell>
        </row>
        <row r="276">
          <cell r="A276" t="str">
            <v>護罩配件</v>
          </cell>
        </row>
        <row r="277">
          <cell r="A277" t="str">
            <v>加熱器及恆溫器</v>
          </cell>
        </row>
        <row r="278">
          <cell r="A278" t="str">
            <v>HK47-2</v>
          </cell>
          <cell r="B278" t="str">
            <v>加熱器</v>
          </cell>
          <cell r="C278">
            <v>44</v>
          </cell>
        </row>
        <row r="279">
          <cell r="A279" t="str">
            <v>HK47-3</v>
          </cell>
          <cell r="B279" t="str">
            <v>加熱器</v>
          </cell>
          <cell r="C279">
            <v>37</v>
          </cell>
        </row>
        <row r="280">
          <cell r="A280" t="str">
            <v>HK57-2</v>
          </cell>
          <cell r="B280" t="str">
            <v>加熱器</v>
          </cell>
          <cell r="C280">
            <v>37</v>
          </cell>
        </row>
        <row r="281">
          <cell r="A281" t="str">
            <v>HK57-3</v>
          </cell>
          <cell r="B281" t="str">
            <v>加熱器</v>
          </cell>
          <cell r="C281">
            <v>37</v>
          </cell>
        </row>
        <row r="282">
          <cell r="A282" t="str">
            <v>HKX8/10-2</v>
          </cell>
          <cell r="B282" t="str">
            <v>加熱器</v>
          </cell>
          <cell r="C282">
            <v>109</v>
          </cell>
        </row>
        <row r="283">
          <cell r="A283" t="str">
            <v>HKX8/10-3</v>
          </cell>
          <cell r="B283" t="str">
            <v>加熱器</v>
          </cell>
          <cell r="C283">
            <v>109</v>
          </cell>
        </row>
        <row r="284">
          <cell r="A284" t="str">
            <v>TC9311H24</v>
          </cell>
          <cell r="B284" t="str">
            <v>加熱器</v>
          </cell>
          <cell r="C284">
            <v>72</v>
          </cell>
        </row>
        <row r="285">
          <cell r="A285" t="str">
            <v>TC9320H24</v>
          </cell>
          <cell r="B285" t="str">
            <v>吹風機/恆溫器組件</v>
          </cell>
          <cell r="C285">
            <v>72</v>
          </cell>
        </row>
        <row r="286">
          <cell r="A286" t="str">
            <v>TC9320H240</v>
          </cell>
          <cell r="B286" t="str">
            <v>吹風機/恆溫器組件</v>
          </cell>
          <cell r="C286">
            <v>72</v>
          </cell>
        </row>
        <row r="288">
          <cell r="A288" t="str">
            <v>吹風器及恆溫器</v>
          </cell>
        </row>
        <row r="289">
          <cell r="A289" t="str">
            <v>BK47-2</v>
          </cell>
          <cell r="B289" t="str">
            <v>吹風器</v>
          </cell>
          <cell r="C289">
            <v>44</v>
          </cell>
        </row>
        <row r="290">
          <cell r="A290" t="str">
            <v>BK47-3</v>
          </cell>
          <cell r="B290" t="str">
            <v>吹風器</v>
          </cell>
          <cell r="C290">
            <v>37</v>
          </cell>
        </row>
        <row r="291">
          <cell r="A291" t="str">
            <v>BK57-2</v>
          </cell>
          <cell r="B291" t="str">
            <v>吹風器</v>
          </cell>
          <cell r="C291">
            <v>50</v>
          </cell>
        </row>
        <row r="292">
          <cell r="A292" t="str">
            <v>BK57-3</v>
          </cell>
          <cell r="B292" t="str">
            <v>吹風器</v>
          </cell>
          <cell r="C292">
            <v>37</v>
          </cell>
        </row>
        <row r="293">
          <cell r="A293" t="str">
            <v>BKX6000-220</v>
          </cell>
          <cell r="B293" t="str">
            <v>吹風器, 230Vac</v>
          </cell>
          <cell r="C293">
            <v>66</v>
          </cell>
        </row>
        <row r="294">
          <cell r="A294" t="str">
            <v>BKX6024</v>
          </cell>
          <cell r="B294" t="str">
            <v>吹風器, 24Vac</v>
          </cell>
          <cell r="C294">
            <v>81</v>
          </cell>
        </row>
        <row r="295">
          <cell r="A295" t="str">
            <v>TC9320B24</v>
          </cell>
          <cell r="B295" t="str">
            <v>吹風機/恆溫器</v>
          </cell>
          <cell r="C295">
            <v>87</v>
          </cell>
        </row>
        <row r="297">
          <cell r="A297" t="str">
            <v>遮陽罩</v>
          </cell>
        </row>
        <row r="298">
          <cell r="A298" t="str">
            <v>E708S</v>
          </cell>
          <cell r="B298" t="str">
            <v>遮陽罩</v>
          </cell>
          <cell r="C298">
            <v>103</v>
          </cell>
        </row>
        <row r="299">
          <cell r="A299" t="str">
            <v>SS5729</v>
          </cell>
          <cell r="B299" t="str">
            <v xml:space="preserve">遮陽罩 </v>
          </cell>
          <cell r="C299">
            <v>81</v>
          </cell>
        </row>
        <row r="300">
          <cell r="A300" t="str">
            <v>TC1366</v>
          </cell>
          <cell r="B300" t="str">
            <v xml:space="preserve">遮陽器 </v>
          </cell>
          <cell r="C300">
            <v>131</v>
          </cell>
        </row>
        <row r="301">
          <cell r="A301" t="str">
            <v>TC1366-21</v>
          </cell>
          <cell r="B301" t="str">
            <v xml:space="preserve">遮陽器 </v>
          </cell>
          <cell r="C301">
            <v>125</v>
          </cell>
        </row>
        <row r="302">
          <cell r="A302" t="str">
            <v>TC9340AS</v>
          </cell>
          <cell r="B302" t="str">
            <v xml:space="preserve">遮陽罩 </v>
          </cell>
          <cell r="C302">
            <v>50</v>
          </cell>
        </row>
        <row r="303">
          <cell r="A303" t="str">
            <v>LTC9383/00</v>
          </cell>
          <cell r="B303" t="str">
            <v xml:space="preserve">遮陽罩 </v>
          </cell>
          <cell r="C303">
            <v>50</v>
          </cell>
        </row>
        <row r="304">
          <cell r="A304" t="str">
            <v>LTC9385/00</v>
          </cell>
          <cell r="B304" t="str">
            <v xml:space="preserve">遮陽罩 </v>
          </cell>
          <cell r="C304">
            <v>59</v>
          </cell>
        </row>
        <row r="305">
          <cell r="A305" t="str">
            <v>LTC9388/00</v>
          </cell>
          <cell r="B305" t="str">
            <v xml:space="preserve">遮陽罩 </v>
          </cell>
          <cell r="C305">
            <v>59</v>
          </cell>
        </row>
        <row r="307">
          <cell r="A307" t="str">
            <v>雨拔器</v>
          </cell>
        </row>
        <row r="308">
          <cell r="A308" t="str">
            <v>WW5729-2</v>
          </cell>
          <cell r="B308" t="str">
            <v>雨拔器</v>
          </cell>
          <cell r="C308">
            <v>328</v>
          </cell>
        </row>
        <row r="309">
          <cell r="A309" t="str">
            <v>WW5729-3</v>
          </cell>
          <cell r="B309" t="str">
            <v>雨拔器</v>
          </cell>
          <cell r="C309">
            <v>328</v>
          </cell>
        </row>
        <row r="311">
          <cell r="A311" t="str">
            <v>除霧器</v>
          </cell>
        </row>
        <row r="312">
          <cell r="A312" t="str">
            <v>WD47-2</v>
          </cell>
          <cell r="B312" t="str">
            <v>除霧器</v>
          </cell>
          <cell r="C312">
            <v>37</v>
          </cell>
        </row>
        <row r="313">
          <cell r="A313" t="str">
            <v>WD47-3</v>
          </cell>
          <cell r="B313" t="str">
            <v>除霧器</v>
          </cell>
          <cell r="C313">
            <v>37</v>
          </cell>
        </row>
        <row r="314">
          <cell r="A314" t="str">
            <v>WD57-2</v>
          </cell>
          <cell r="B314" t="str">
            <v>除霧器</v>
          </cell>
          <cell r="C314">
            <v>37</v>
          </cell>
        </row>
        <row r="315">
          <cell r="A315" t="str">
            <v>WD57-3</v>
          </cell>
          <cell r="B315" t="str">
            <v>除霧器</v>
          </cell>
          <cell r="C315">
            <v>37</v>
          </cell>
        </row>
        <row r="317">
          <cell r="A317" t="str">
            <v>低溫套件</v>
          </cell>
        </row>
        <row r="318">
          <cell r="A318" t="str">
            <v>TI47</v>
          </cell>
          <cell r="B318" t="str">
            <v>低溫套件</v>
          </cell>
          <cell r="C318">
            <v>31</v>
          </cell>
        </row>
        <row r="319">
          <cell r="A319" t="str">
            <v>TI57</v>
          </cell>
          <cell r="B319" t="str">
            <v>低溫套件</v>
          </cell>
          <cell r="C319">
            <v>33</v>
          </cell>
        </row>
        <row r="321">
          <cell r="A321" t="str">
            <v>護罩套件</v>
          </cell>
        </row>
        <row r="322">
          <cell r="A322" t="str">
            <v>LTC9350/00</v>
          </cell>
          <cell r="B322" t="str">
            <v>護罩套件</v>
          </cell>
          <cell r="C322">
            <v>22</v>
          </cell>
        </row>
        <row r="323">
          <cell r="A323" t="str">
            <v>LTC9380/00</v>
          </cell>
          <cell r="B323" t="str">
            <v>護罩套件</v>
          </cell>
          <cell r="C323">
            <v>22</v>
          </cell>
        </row>
        <row r="324">
          <cell r="A324" t="str">
            <v>LTC9380/01</v>
          </cell>
          <cell r="B324" t="str">
            <v>護罩套件</v>
          </cell>
          <cell r="C324">
            <v>22</v>
          </cell>
        </row>
        <row r="326">
          <cell r="A326" t="str">
            <v>其他</v>
          </cell>
        </row>
        <row r="327">
          <cell r="A327" t="str">
            <v>O/I-PCB</v>
          </cell>
          <cell r="B327" t="str">
            <v>防護罩安裝支架</v>
          </cell>
          <cell r="C327">
            <v>81</v>
          </cell>
        </row>
        <row r="328">
          <cell r="A328" t="str">
            <v>LTC9381/00</v>
          </cell>
          <cell r="B328" t="str">
            <v xml:space="preserve">配套轉接口 </v>
          </cell>
          <cell r="C328">
            <v>31</v>
          </cell>
        </row>
        <row r="329">
          <cell r="A329" t="str">
            <v>LTC9381/01</v>
          </cell>
          <cell r="B329" t="str">
            <v xml:space="preserve">配套轉接口 </v>
          </cell>
          <cell r="C329">
            <v>37</v>
          </cell>
        </row>
        <row r="331">
          <cell r="A331" t="str">
            <v>球型護罩配件</v>
          </cell>
        </row>
        <row r="332">
          <cell r="A332" t="str">
            <v>TC9311CA2</v>
          </cell>
          <cell r="B332" t="str">
            <v>角落安裝支架</v>
          </cell>
          <cell r="C332">
            <v>52</v>
          </cell>
        </row>
        <row r="333">
          <cell r="A333" t="str">
            <v>TC9311PA2</v>
          </cell>
          <cell r="B333" t="str">
            <v>安裝支架配件</v>
          </cell>
          <cell r="C333">
            <v>249</v>
          </cell>
        </row>
        <row r="334">
          <cell r="A334" t="str">
            <v>TC9311PM3</v>
          </cell>
          <cell r="B334" t="str">
            <v>杆裝轉接器</v>
          </cell>
          <cell r="C334">
            <v>81</v>
          </cell>
        </row>
        <row r="335">
          <cell r="A335" t="str">
            <v>TC9311PM3T</v>
          </cell>
          <cell r="B335" t="str">
            <v>安裝工具</v>
          </cell>
          <cell r="C335">
            <v>142</v>
          </cell>
        </row>
        <row r="336">
          <cell r="A336" t="str">
            <v>TC9311VC3</v>
          </cell>
          <cell r="B336" t="str">
            <v>螺旋形電纜 (6尺)</v>
          </cell>
          <cell r="C336">
            <v>26</v>
          </cell>
        </row>
        <row r="337">
          <cell r="A337" t="str">
            <v>TC9311VC5</v>
          </cell>
          <cell r="B337" t="str">
            <v>螺旋形11根線 (6尺)</v>
          </cell>
          <cell r="C337">
            <v>85</v>
          </cell>
        </row>
        <row r="338">
          <cell r="A338" t="str">
            <v>TC9311VC4</v>
          </cell>
          <cell r="B338" t="str">
            <v>螺旋形電纜 (7尺)</v>
          </cell>
          <cell r="C338">
            <v>70</v>
          </cell>
        </row>
        <row r="339">
          <cell r="A339" t="str">
            <v>TC9315SRM</v>
          </cell>
          <cell r="B339" t="str">
            <v>角落安裝支架</v>
          </cell>
          <cell r="C339">
            <v>509</v>
          </cell>
        </row>
        <row r="340">
          <cell r="A340" t="str">
            <v>TC9315SMW</v>
          </cell>
          <cell r="B340" t="str">
            <v>牆面安裝轉接器</v>
          </cell>
          <cell r="C340">
            <v>94</v>
          </cell>
        </row>
        <row r="341">
          <cell r="A341" t="str">
            <v>TC9316PRM</v>
          </cell>
          <cell r="B341" t="str">
            <v>牆頂部安裝支架</v>
          </cell>
          <cell r="C341">
            <v>363</v>
          </cell>
        </row>
        <row r="342">
          <cell r="A342" t="str">
            <v>TC9320WM</v>
          </cell>
          <cell r="B342" t="str">
            <v xml:space="preserve">牆裝支架 </v>
          </cell>
          <cell r="C342">
            <v>90</v>
          </cell>
        </row>
        <row r="343">
          <cell r="A343" t="str">
            <v>TC9329WM</v>
          </cell>
          <cell r="B343" t="str">
            <v xml:space="preserve">L形牆裝支架 </v>
          </cell>
          <cell r="C343">
            <v>116</v>
          </cell>
        </row>
        <row r="344">
          <cell r="A344" t="str">
            <v>TC9315P</v>
          </cell>
          <cell r="B344" t="str">
            <v>安裝支杆</v>
          </cell>
          <cell r="C344">
            <v>844</v>
          </cell>
        </row>
        <row r="345">
          <cell r="A345" t="str">
            <v>FM1</v>
          </cell>
          <cell r="B345" t="str">
            <v>攝像機安裝配件</v>
          </cell>
          <cell r="C345">
            <v>24</v>
          </cell>
        </row>
        <row r="347">
          <cell r="A347" t="str">
            <v>鏡頭</v>
          </cell>
        </row>
        <row r="348">
          <cell r="A348" t="str">
            <v>LTC3214/20</v>
          </cell>
          <cell r="B348" t="str">
            <v>1/2" 固定焦點, 自動光圈, 3.7mm F/1.6</v>
          </cell>
          <cell r="C348">
            <v>168</v>
          </cell>
        </row>
        <row r="349">
          <cell r="A349" t="str">
            <v>LTC3234/20</v>
          </cell>
          <cell r="B349" t="str">
            <v>1/2" 固定焦點, 自動光圈, 6.0mm F/1.4</v>
          </cell>
          <cell r="C349">
            <v>134</v>
          </cell>
        </row>
        <row r="350">
          <cell r="A350" t="str">
            <v>LTC3244/20</v>
          </cell>
          <cell r="B350" t="str">
            <v>1/2" 固定焦點, 自動光圈, 12mm F/1.4</v>
          </cell>
          <cell r="C350">
            <v>98</v>
          </cell>
        </row>
        <row r="351">
          <cell r="A351" t="str">
            <v>LDH6710/01</v>
          </cell>
          <cell r="B351" t="str">
            <v xml:space="preserve">1/2" 視頻光圈鏡頭, 12mm F/1.68 </v>
          </cell>
          <cell r="C351">
            <v>264</v>
          </cell>
        </row>
        <row r="352">
          <cell r="A352" t="str">
            <v>LDH6711/01</v>
          </cell>
          <cell r="B352" t="str">
            <v xml:space="preserve">1/2" 視頻光圈鏡頭, 6mm F/1.2 </v>
          </cell>
          <cell r="C352">
            <v>264</v>
          </cell>
        </row>
        <row r="353">
          <cell r="A353" t="str">
            <v>LDH6712/01</v>
          </cell>
          <cell r="B353" t="str">
            <v xml:space="preserve">1/2" 視頻光圈鏡頭, 12mm F/1.2 </v>
          </cell>
          <cell r="C353">
            <v>264</v>
          </cell>
        </row>
        <row r="354">
          <cell r="A354" t="str">
            <v>LDH6713/01</v>
          </cell>
          <cell r="B354" t="str">
            <v xml:space="preserve">1/2" 視頻光圈鏡頭, 28mm F/1.8 </v>
          </cell>
          <cell r="C354">
            <v>264</v>
          </cell>
        </row>
        <row r="355">
          <cell r="A355" t="str">
            <v>LDH6720/01</v>
          </cell>
          <cell r="B355" t="str">
            <v xml:space="preserve">2/3" 視頻光圈鏡頭, 4.8mm F/1.8 </v>
          </cell>
          <cell r="C355">
            <v>264</v>
          </cell>
        </row>
        <row r="356">
          <cell r="A356" t="str">
            <v>LDH6721/01</v>
          </cell>
          <cell r="B356" t="str">
            <v xml:space="preserve">2/3" 視頻光圈鏡頭, 8mm F/1.4 </v>
          </cell>
          <cell r="C356">
            <v>264</v>
          </cell>
        </row>
        <row r="357">
          <cell r="A357" t="str">
            <v>LDH6722/01</v>
          </cell>
          <cell r="B357" t="str">
            <v xml:space="preserve">2/3" 視頻光圈鏡頭, 16mm F/1.4 </v>
          </cell>
          <cell r="C357">
            <v>264</v>
          </cell>
        </row>
        <row r="358">
          <cell r="A358" t="str">
            <v>LDH6723/01</v>
          </cell>
          <cell r="B358" t="str">
            <v xml:space="preserve">2/3" 視頻光圈鏡頭, 35mm F/1.4 </v>
          </cell>
          <cell r="C358">
            <v>264</v>
          </cell>
        </row>
        <row r="359">
          <cell r="A359" t="str">
            <v>LTC3314/20</v>
          </cell>
          <cell r="B359" t="str">
            <v>1/3" 固定焦點, 自動光圈, 2.8mm F/1.3</v>
          </cell>
          <cell r="C359">
            <v>110</v>
          </cell>
        </row>
        <row r="360">
          <cell r="A360" t="str">
            <v>LTC3334/20</v>
          </cell>
          <cell r="B360" t="str">
            <v>1/3" 固定焦點, 自動光圈, 4.0mm F/1.2</v>
          </cell>
          <cell r="C360">
            <v>87</v>
          </cell>
        </row>
        <row r="361">
          <cell r="A361" t="str">
            <v>LTC3344/20</v>
          </cell>
          <cell r="B361" t="str">
            <v>1/3" 固定焦點, 自動光圈, 8.0mm F/1.2</v>
          </cell>
          <cell r="C361">
            <v>76</v>
          </cell>
        </row>
        <row r="362">
          <cell r="A362" t="str">
            <v>LDH6750/00</v>
          </cell>
          <cell r="B362" t="str">
            <v xml:space="preserve">1/2"變焦鏡頭 X6, 8.5-51mm, F/1.2T400 </v>
          </cell>
          <cell r="C362">
            <v>1208</v>
          </cell>
        </row>
        <row r="363">
          <cell r="A363" t="str">
            <v>LDH6751/00</v>
          </cell>
          <cell r="B363" t="str">
            <v xml:space="preserve">1/2"變焦鏡頭 X6, 8.5-51mm, F/1.2T360 </v>
          </cell>
          <cell r="C363">
            <v>1231</v>
          </cell>
        </row>
        <row r="364">
          <cell r="A364" t="str">
            <v>LDH6752/00</v>
          </cell>
          <cell r="B364" t="str">
            <v xml:space="preserve">1/2"變焦鏡頭 X6, 6-48mm, F/1.4T36060 </v>
          </cell>
          <cell r="C364">
            <v>546</v>
          </cell>
        </row>
        <row r="365">
          <cell r="A365" t="str">
            <v>LDH6753/00</v>
          </cell>
          <cell r="B365" t="str">
            <v xml:space="preserve">1/3"變焦鏡頭 X6, 6-48mm, F/1.4T36060 </v>
          </cell>
          <cell r="C365">
            <v>579</v>
          </cell>
        </row>
        <row r="366">
          <cell r="A366" t="str">
            <v>LDH6761/00</v>
          </cell>
          <cell r="B366" t="str">
            <v xml:space="preserve">1/2"變焦鏡頭 X12, 7.5-90mm, F/1.4060 </v>
          </cell>
          <cell r="C366">
            <v>2233</v>
          </cell>
        </row>
        <row r="367">
          <cell r="A367" t="str">
            <v>LDH6762/00</v>
          </cell>
          <cell r="B367" t="str">
            <v xml:space="preserve">1/2"變焦鏡頭 X10, 7.5-75mm, F/1.4T360 </v>
          </cell>
          <cell r="C367">
            <v>837</v>
          </cell>
        </row>
        <row r="368">
          <cell r="A368" t="str">
            <v>LDH6763/00</v>
          </cell>
          <cell r="B368" t="str">
            <v xml:space="preserve">1/3"變焦鏡頭 X10, 7.5-75mm, F/1.4T360 </v>
          </cell>
          <cell r="C368">
            <v>850</v>
          </cell>
        </row>
        <row r="369">
          <cell r="A369" t="str">
            <v>LDH6770/00</v>
          </cell>
          <cell r="B369" t="str">
            <v xml:space="preserve">2/3"變焦鏡頭 X6, 11.5-69mm </v>
          </cell>
          <cell r="C369">
            <v>1195</v>
          </cell>
        </row>
        <row r="370">
          <cell r="A370" t="str">
            <v>LDH6771/00</v>
          </cell>
          <cell r="B370" t="str">
            <v xml:space="preserve">2/3"變焦鏡頭 X12, 7.5-75mm, F/1.4T400 </v>
          </cell>
          <cell r="C370">
            <v>1217</v>
          </cell>
        </row>
        <row r="371">
          <cell r="A371" t="str">
            <v>LDH6781/00</v>
          </cell>
          <cell r="B371" t="str">
            <v>2/3"變焦鏡頭 X12, 10.5-126mm</v>
          </cell>
          <cell r="C371">
            <v>2237</v>
          </cell>
        </row>
        <row r="373">
          <cell r="A373" t="str">
            <v>固定光圈鏡頭</v>
          </cell>
        </row>
        <row r="374">
          <cell r="A374" t="str">
            <v>LTC3320/20</v>
          </cell>
          <cell r="B374" t="str">
            <v>1/3"固定光圈及焦距鏡頭, 3.6mm</v>
          </cell>
          <cell r="C374">
            <v>37</v>
          </cell>
        </row>
        <row r="375">
          <cell r="A375" t="str">
            <v>TC9788</v>
          </cell>
          <cell r="B375" t="str">
            <v>1/3"固定光圈及焦距鏡頭, 8.0mm/F1.2</v>
          </cell>
          <cell r="C375">
            <v>37</v>
          </cell>
        </row>
        <row r="377">
          <cell r="A377" t="str">
            <v>手動光圈, 固定焦距鏡頭</v>
          </cell>
        </row>
        <row r="378">
          <cell r="A378" t="str">
            <v>LDH6740/00</v>
          </cell>
          <cell r="B378" t="str">
            <v xml:space="preserve">1/3" 手動光圈鏡頭, 2.8mm F/1.3 </v>
          </cell>
          <cell r="C378">
            <v>101</v>
          </cell>
        </row>
        <row r="379">
          <cell r="A379" t="str">
            <v>LDH6741/00</v>
          </cell>
          <cell r="B379" t="str">
            <v xml:space="preserve">1/3" 手動光圈鏡頭, 4mm F/1.2 </v>
          </cell>
          <cell r="C379">
            <v>83</v>
          </cell>
        </row>
        <row r="380">
          <cell r="A380" t="str">
            <v>LDH6742/00</v>
          </cell>
          <cell r="B380" t="str">
            <v xml:space="preserve">1/3" 手動光圈鏡頭, 8mm F/1.2 </v>
          </cell>
          <cell r="C380">
            <v>58</v>
          </cell>
        </row>
        <row r="381">
          <cell r="A381" t="str">
            <v>TC9703</v>
          </cell>
          <cell r="B381" t="str">
            <v>1/2"手動鏡頭, 3.7mm/F1.6</v>
          </cell>
          <cell r="C381">
            <v>104</v>
          </cell>
        </row>
        <row r="382">
          <cell r="A382" t="str">
            <v>TC9706</v>
          </cell>
          <cell r="B382" t="str">
            <v>1/2"手動鏡頭, 6mm/F1.4</v>
          </cell>
          <cell r="C382">
            <v>76</v>
          </cell>
        </row>
        <row r="383">
          <cell r="A383" t="str">
            <v>TC9712</v>
          </cell>
          <cell r="B383" t="str">
            <v>1/2"手動鏡頭, 12mm/F1.4</v>
          </cell>
          <cell r="C383">
            <v>61</v>
          </cell>
        </row>
        <row r="384">
          <cell r="A384" t="str">
            <v>TC9808</v>
          </cell>
          <cell r="B384" t="str">
            <v>2/3"手動光圈鏡頭, 8.5mm/F1.5</v>
          </cell>
          <cell r="C384">
            <v>96</v>
          </cell>
        </row>
        <row r="386">
          <cell r="A386" t="str">
            <v>固定焦距, 可控制光圈鏡頭</v>
          </cell>
        </row>
        <row r="387">
          <cell r="A387" t="str">
            <v>LTC3316/20</v>
          </cell>
          <cell r="B387" t="str">
            <v>固定焦距, 可控制光圈鏡頭</v>
          </cell>
          <cell r="C387">
            <v>107</v>
          </cell>
        </row>
        <row r="388">
          <cell r="A388" t="str">
            <v>LTC3336/20</v>
          </cell>
          <cell r="B388" t="str">
            <v>固定焦距, 可控制光圈鏡頭</v>
          </cell>
          <cell r="C388">
            <v>85</v>
          </cell>
        </row>
        <row r="389">
          <cell r="A389" t="str">
            <v>LTC3346/20</v>
          </cell>
          <cell r="B389" t="str">
            <v>固定焦距, 可控制光圈鏡頭</v>
          </cell>
          <cell r="C389">
            <v>74</v>
          </cell>
        </row>
        <row r="391">
          <cell r="A391" t="str">
            <v>固定焦距及自動光圈鏡頭</v>
          </cell>
        </row>
        <row r="392">
          <cell r="A392" t="str">
            <v>TC1803A</v>
          </cell>
          <cell r="B392" t="str">
            <v xml:space="preserve">鏡頭，自動光圈，1/2" 4.2mm </v>
          </cell>
          <cell r="C392">
            <v>267</v>
          </cell>
        </row>
        <row r="393">
          <cell r="A393" t="str">
            <v>TC1804A</v>
          </cell>
          <cell r="B393" t="str">
            <v xml:space="preserve">鏡頭，自動光圈，2/3" 4.8mm </v>
          </cell>
          <cell r="C393">
            <v>284</v>
          </cell>
        </row>
        <row r="394">
          <cell r="A394" t="str">
            <v>TC1806A</v>
          </cell>
          <cell r="B394" t="str">
            <v xml:space="preserve">鏡頭，自動光圈，1/2" 6mm </v>
          </cell>
          <cell r="C394">
            <v>258</v>
          </cell>
        </row>
        <row r="395">
          <cell r="A395" t="str">
            <v>TC1810D2</v>
          </cell>
          <cell r="B395" t="str">
            <v xml:space="preserve">鏡頭，自動光圈，2/3" 8mm </v>
          </cell>
          <cell r="C395">
            <v>275</v>
          </cell>
        </row>
        <row r="396">
          <cell r="A396" t="str">
            <v>TC1811A</v>
          </cell>
          <cell r="B396" t="str">
            <v>鏡頭，自動光圈，1/2" 12mm</v>
          </cell>
          <cell r="C396">
            <v>188</v>
          </cell>
        </row>
        <row r="397">
          <cell r="A397" t="str">
            <v>TC1816D2</v>
          </cell>
          <cell r="B397" t="str">
            <v xml:space="preserve">鏡頭，自動光圈，2/3" 16m </v>
          </cell>
          <cell r="C397">
            <v>248</v>
          </cell>
        </row>
        <row r="398">
          <cell r="A398" t="str">
            <v>TC1824D2</v>
          </cell>
          <cell r="B398" t="str">
            <v xml:space="preserve">鏡頭，自動光圈，1" 25mm </v>
          </cell>
          <cell r="C398">
            <v>282</v>
          </cell>
        </row>
        <row r="399">
          <cell r="A399" t="str">
            <v>TC1849D2</v>
          </cell>
          <cell r="B399" t="str">
            <v xml:space="preserve">鏡頭，自動光圈，1" 50mm </v>
          </cell>
          <cell r="C399">
            <v>292</v>
          </cell>
        </row>
        <row r="400">
          <cell r="A400" t="str">
            <v>TC9903A</v>
          </cell>
          <cell r="B400" t="str">
            <v>1/2"自動光圈鏡頭, 3.7mm</v>
          </cell>
          <cell r="C400">
            <v>192</v>
          </cell>
        </row>
        <row r="401">
          <cell r="A401" t="str">
            <v>TC9905A</v>
          </cell>
          <cell r="B401" t="str">
            <v>1/2' 自動光圈鏡頭, 3.7mm</v>
          </cell>
          <cell r="C401">
            <v>164</v>
          </cell>
        </row>
        <row r="402">
          <cell r="A402" t="str">
            <v>TC9906A</v>
          </cell>
          <cell r="B402" t="str">
            <v>1/2"自動光圈鏡頭, 1/2" 6.0mm</v>
          </cell>
          <cell r="C402">
            <v>131</v>
          </cell>
        </row>
        <row r="403">
          <cell r="A403" t="str">
            <v>TC9907A</v>
          </cell>
          <cell r="B403" t="str">
            <v>1/2"自動光圈鏡頭, 1/2" 6.0mm</v>
          </cell>
          <cell r="C403">
            <v>101</v>
          </cell>
        </row>
        <row r="404">
          <cell r="A404" t="str">
            <v>TC9912A</v>
          </cell>
          <cell r="B404" t="str">
            <v>1/2"自動光圈鏡頭, 1/2" 12mm</v>
          </cell>
          <cell r="C404">
            <v>120</v>
          </cell>
        </row>
        <row r="405">
          <cell r="A405" t="str">
            <v>TC9913A</v>
          </cell>
          <cell r="B405" t="str">
            <v>1/2"自動光圈鏡頭, 1/2" 12mm</v>
          </cell>
          <cell r="C405">
            <v>96</v>
          </cell>
        </row>
        <row r="407">
          <cell r="A407" t="str">
            <v>可變焦鏡頭</v>
          </cell>
        </row>
        <row r="408">
          <cell r="A408" t="str">
            <v>LTC3361/20</v>
          </cell>
          <cell r="B408" t="str">
            <v>手動光圈, 1/3", 2.8mm-6mm</v>
          </cell>
          <cell r="C408">
            <v>116</v>
          </cell>
        </row>
        <row r="409">
          <cell r="A409" t="str">
            <v>LTC3364/20</v>
          </cell>
          <cell r="B409" t="str">
            <v>DC光圈, 1/3", 2.8mm-6mm (4蕊)</v>
          </cell>
          <cell r="C409">
            <v>148</v>
          </cell>
        </row>
        <row r="410">
          <cell r="A410" t="str">
            <v>LTC3366/20</v>
          </cell>
          <cell r="B410" t="str">
            <v>DC光圈, 1/3", 2.8mm-6mm (6蕊)</v>
          </cell>
          <cell r="C410">
            <v>148</v>
          </cell>
        </row>
        <row r="411">
          <cell r="A411" t="str">
            <v>LTC3361/30</v>
          </cell>
          <cell r="B411" t="str">
            <v>手動光圈, 1/3", 3.5mm-8mm</v>
          </cell>
          <cell r="C411">
            <v>78</v>
          </cell>
        </row>
        <row r="412">
          <cell r="A412" t="str">
            <v>LTC3364/30</v>
          </cell>
          <cell r="B412" t="str">
            <v>DC光圈, 1/3", 3.5mm-8mm (4蕊)</v>
          </cell>
          <cell r="C412">
            <v>119</v>
          </cell>
        </row>
        <row r="413">
          <cell r="A413" t="str">
            <v>LTC3366/30</v>
          </cell>
          <cell r="B413" t="str">
            <v>DC光圈, 1/3", 3.5mm-8mm (6蕊)</v>
          </cell>
          <cell r="C413">
            <v>119</v>
          </cell>
        </row>
        <row r="415">
          <cell r="A415" t="str">
            <v>馬達驅動可變焦鏡頭</v>
          </cell>
        </row>
        <row r="416">
          <cell r="A416" t="str">
            <v>TC1840D2</v>
          </cell>
          <cell r="B416" t="str">
            <v xml:space="preserve">鏡頭，自動光圈，2/3" 10-100mm (10X) </v>
          </cell>
          <cell r="C416">
            <v>1130</v>
          </cell>
        </row>
        <row r="417">
          <cell r="A417" t="str">
            <v>TC1840PD2</v>
          </cell>
          <cell r="B417" t="str">
            <v xml:space="preserve">鏡頭，自動光圈，2/3" 10-100mm (10X) </v>
          </cell>
          <cell r="C417">
            <v>1500</v>
          </cell>
        </row>
        <row r="418">
          <cell r="A418" t="str">
            <v>TC1842D2</v>
          </cell>
          <cell r="B418" t="str">
            <v xml:space="preserve">鏡頭，自動光圈，2/3" 10-140mm (14X) </v>
          </cell>
          <cell r="C418">
            <v>2093</v>
          </cell>
        </row>
        <row r="419">
          <cell r="A419" t="str">
            <v>TC1843D2</v>
          </cell>
          <cell r="B419" t="str">
            <v xml:space="preserve">鏡頭，自動光圈，2/3" 15-180mm (12X) </v>
          </cell>
          <cell r="C419">
            <v>2010</v>
          </cell>
        </row>
        <row r="420">
          <cell r="A420" t="str">
            <v>TC1843PD2</v>
          </cell>
          <cell r="B420" t="str">
            <v xml:space="preserve">鏡頭，自動光圈，1" 15-180mm (12X) </v>
          </cell>
          <cell r="C420">
            <v>2254</v>
          </cell>
        </row>
        <row r="421">
          <cell r="A421" t="str">
            <v>TC1871A</v>
          </cell>
          <cell r="B421" t="str">
            <v xml:space="preserve">鏡頭，自動光圈，1/2" 7.5-75mm (10X) </v>
          </cell>
          <cell r="C421">
            <v>1691</v>
          </cell>
        </row>
        <row r="422">
          <cell r="A422" t="str">
            <v>TC1871AP</v>
          </cell>
          <cell r="B422" t="str">
            <v xml:space="preserve">鏡頭，自動光圈，1/2" 7.5-75mm (10X) </v>
          </cell>
          <cell r="C422">
            <v>1997</v>
          </cell>
        </row>
        <row r="423">
          <cell r="A423" t="str">
            <v>TC9938</v>
          </cell>
          <cell r="B423" t="str">
            <v>1/3"自動光圈鏡頭, 6.3-38mm</v>
          </cell>
          <cell r="C423">
            <v>566</v>
          </cell>
        </row>
        <row r="424">
          <cell r="A424" t="str">
            <v>TC9948A</v>
          </cell>
          <cell r="B424" t="str">
            <v>自動光圈變焦鏡頭</v>
          </cell>
          <cell r="C424">
            <v>533</v>
          </cell>
        </row>
        <row r="425">
          <cell r="A425" t="str">
            <v>TC9958</v>
          </cell>
          <cell r="B425" t="str">
            <v>自動光圈變焦鏡頭</v>
          </cell>
          <cell r="C425">
            <v>830</v>
          </cell>
        </row>
        <row r="426">
          <cell r="A426" t="str">
            <v>TC9958P</v>
          </cell>
          <cell r="B426" t="str">
            <v xml:space="preserve">自動光圈變焦鏡頭 </v>
          </cell>
          <cell r="C426">
            <v>1082</v>
          </cell>
        </row>
        <row r="427">
          <cell r="A427" t="str">
            <v>TC9970A</v>
          </cell>
          <cell r="B427" t="str">
            <v xml:space="preserve">自動光圈變焦鏡頭 </v>
          </cell>
          <cell r="C427">
            <v>817</v>
          </cell>
        </row>
        <row r="429">
          <cell r="A429" t="str">
            <v xml:space="preserve">鏡頭配件 </v>
          </cell>
        </row>
        <row r="430">
          <cell r="A430" t="str">
            <v>S1374</v>
          </cell>
          <cell r="B430" t="str">
            <v>搖控裝置配件</v>
          </cell>
          <cell r="C430">
            <v>17</v>
          </cell>
        </row>
        <row r="431">
          <cell r="A431" t="str">
            <v>S1377</v>
          </cell>
          <cell r="B431" t="str">
            <v>轉接器</v>
          </cell>
          <cell r="C431">
            <v>22</v>
          </cell>
        </row>
        <row r="432">
          <cell r="A432" t="str">
            <v>S1378</v>
          </cell>
          <cell r="B432" t="str">
            <v>轉接器</v>
          </cell>
          <cell r="C432">
            <v>22</v>
          </cell>
        </row>
        <row r="433">
          <cell r="A433" t="str">
            <v>TC1309</v>
          </cell>
          <cell r="B433" t="str">
            <v xml:space="preserve">鏡頭配件 </v>
          </cell>
          <cell r="C433">
            <v>109</v>
          </cell>
        </row>
        <row r="434">
          <cell r="A434" t="str">
            <v>TC1820</v>
          </cell>
          <cell r="B434" t="str">
            <v xml:space="preserve">兩倍增距鏡頭 </v>
          </cell>
          <cell r="C434">
            <v>160</v>
          </cell>
        </row>
        <row r="436">
          <cell r="A436" t="str">
            <v>手冊</v>
          </cell>
        </row>
        <row r="437">
          <cell r="A437" t="str">
            <v>SP-150</v>
          </cell>
          <cell r="B437" t="str">
            <v xml:space="preserve">保安產品手冊 </v>
          </cell>
          <cell r="C437">
            <v>765</v>
          </cell>
        </row>
        <row r="438">
          <cell r="A438" t="str">
            <v>SP-211</v>
          </cell>
          <cell r="B438" t="str">
            <v xml:space="preserve">保安產品手冊 </v>
          </cell>
          <cell r="C438">
            <v>219</v>
          </cell>
        </row>
        <row r="439">
          <cell r="A439" t="str">
            <v>SP-200</v>
          </cell>
          <cell r="B439" t="str">
            <v xml:space="preserve">保安產品手冊 </v>
          </cell>
          <cell r="C439">
            <v>74</v>
          </cell>
        </row>
        <row r="441">
          <cell r="A441" t="str">
            <v>監視器</v>
          </cell>
        </row>
        <row r="442">
          <cell r="A442" t="str">
            <v>黑白監視器</v>
          </cell>
        </row>
        <row r="443">
          <cell r="A443" t="str">
            <v>LDH2162/10</v>
          </cell>
          <cell r="B443" t="str">
            <v xml:space="preserve">9"黑白監視器 (CCIR) </v>
          </cell>
          <cell r="C443">
            <v>895</v>
          </cell>
        </row>
        <row r="444">
          <cell r="A444" t="str">
            <v>LDH2163/10</v>
          </cell>
          <cell r="B444" t="str">
            <v xml:space="preserve">12"黑白監視器 (CCIR) </v>
          </cell>
          <cell r="C444">
            <v>984</v>
          </cell>
        </row>
        <row r="445">
          <cell r="A445" t="str">
            <v>LDH2164/10</v>
          </cell>
          <cell r="B445" t="str">
            <v>17"黑白監視器 (CCIR)</v>
          </cell>
          <cell r="C445">
            <v>1253</v>
          </cell>
        </row>
        <row r="446">
          <cell r="A446" t="str">
            <v>LTC2009/51</v>
          </cell>
          <cell r="B446" t="str">
            <v xml:space="preserve">9"黑白監視器 (CCIR) </v>
          </cell>
          <cell r="C446">
            <v>208</v>
          </cell>
        </row>
        <row r="447">
          <cell r="A447" t="str">
            <v>LTC2012/51</v>
          </cell>
          <cell r="B447" t="str">
            <v xml:space="preserve">12"黑白監視器 (CCIR) </v>
          </cell>
          <cell r="C447">
            <v>257</v>
          </cell>
        </row>
        <row r="448">
          <cell r="A448" t="str">
            <v>LTC2017/50</v>
          </cell>
          <cell r="B448" t="str">
            <v>17"黑白監視器 (CCIR)</v>
          </cell>
          <cell r="C448">
            <v>425</v>
          </cell>
        </row>
        <row r="450">
          <cell r="A450" t="str">
            <v>彩色監視器</v>
          </cell>
        </row>
        <row r="451">
          <cell r="A451" t="str">
            <v>LTC2814/50</v>
          </cell>
          <cell r="B451" t="str">
            <v>14" 彩色監視器</v>
          </cell>
          <cell r="C451">
            <v>445</v>
          </cell>
        </row>
        <row r="452">
          <cell r="A452" t="str">
            <v>LTC2917/90</v>
          </cell>
          <cell r="B452" t="str">
            <v>17" 彩色監視器</v>
          </cell>
          <cell r="C452">
            <v>873</v>
          </cell>
        </row>
        <row r="453">
          <cell r="A453" t="str">
            <v>LTC2921/50</v>
          </cell>
          <cell r="B453" t="str">
            <v>21" 彩色監視器</v>
          </cell>
          <cell r="C453">
            <v>940</v>
          </cell>
        </row>
        <row r="455">
          <cell r="A455" t="str">
            <v xml:space="preserve">安裝配件 </v>
          </cell>
        </row>
        <row r="456">
          <cell r="A456" t="str">
            <v xml:space="preserve">室內型攝像機支架  </v>
          </cell>
        </row>
        <row r="457">
          <cell r="A457" t="str">
            <v>TC9200</v>
          </cell>
          <cell r="B457" t="str">
            <v xml:space="preserve">室內型攝像機支架  </v>
          </cell>
          <cell r="C457">
            <v>31</v>
          </cell>
        </row>
        <row r="458">
          <cell r="A458" t="str">
            <v>TC9201</v>
          </cell>
          <cell r="B458" t="str">
            <v xml:space="preserve">室內型攝像機支架  </v>
          </cell>
          <cell r="C458">
            <v>35</v>
          </cell>
        </row>
        <row r="459">
          <cell r="A459" t="str">
            <v>TC9202</v>
          </cell>
          <cell r="B459" t="str">
            <v xml:space="preserve">室內型攝像機支架  </v>
          </cell>
          <cell r="C459">
            <v>46</v>
          </cell>
        </row>
        <row r="460">
          <cell r="A460" t="str">
            <v>TC9203</v>
          </cell>
          <cell r="B460" t="str">
            <v xml:space="preserve">室內型攝像機支架  </v>
          </cell>
          <cell r="C460">
            <v>55</v>
          </cell>
        </row>
        <row r="461">
          <cell r="A461" t="str">
            <v>TC9205</v>
          </cell>
          <cell r="B461" t="str">
            <v xml:space="preserve">室內型攝像機支架  </v>
          </cell>
          <cell r="C461">
            <v>28</v>
          </cell>
        </row>
        <row r="462">
          <cell r="A462" t="str">
            <v>TC9206U</v>
          </cell>
          <cell r="B462" t="str">
            <v xml:space="preserve">室內型攝像機支架  </v>
          </cell>
          <cell r="C462">
            <v>35</v>
          </cell>
        </row>
        <row r="463">
          <cell r="A463" t="str">
            <v>TC9207</v>
          </cell>
          <cell r="B463" t="str">
            <v xml:space="preserve">室內型攝像機支架  </v>
          </cell>
          <cell r="C463">
            <v>35</v>
          </cell>
        </row>
        <row r="464">
          <cell r="A464" t="str">
            <v>LTC9211/00</v>
          </cell>
          <cell r="B464" t="str">
            <v xml:space="preserve">室內型攝像機支架  </v>
          </cell>
          <cell r="C464">
            <v>63</v>
          </cell>
        </row>
        <row r="465">
          <cell r="A465" t="str">
            <v>LTC9212/00</v>
          </cell>
          <cell r="B465" t="str">
            <v xml:space="preserve">室內型攝像機支架  </v>
          </cell>
          <cell r="C465">
            <v>63</v>
          </cell>
        </row>
        <row r="466">
          <cell r="A466" t="str">
            <v>LTC9216/00</v>
          </cell>
          <cell r="B466" t="str">
            <v xml:space="preserve">室內型攝像機支架  </v>
          </cell>
          <cell r="C466">
            <v>63</v>
          </cell>
        </row>
        <row r="467">
          <cell r="A467" t="str">
            <v>LTC9222/00</v>
          </cell>
          <cell r="B467" t="str">
            <v xml:space="preserve">室內型攝像機支架  </v>
          </cell>
          <cell r="C467">
            <v>94</v>
          </cell>
        </row>
        <row r="469">
          <cell r="A469" t="str">
            <v xml:space="preserve">台庄式雲台支架 </v>
          </cell>
        </row>
        <row r="470">
          <cell r="A470" t="str">
            <v>LTC9210/00</v>
          </cell>
          <cell r="B470" t="str">
            <v xml:space="preserve">台庄式雲台支架 </v>
          </cell>
          <cell r="C470">
            <v>46</v>
          </cell>
        </row>
        <row r="471">
          <cell r="A471" t="str">
            <v>LTC9214/00</v>
          </cell>
          <cell r="B471" t="str">
            <v xml:space="preserve">台庄式雲台支架 </v>
          </cell>
          <cell r="C471">
            <v>70</v>
          </cell>
        </row>
        <row r="472">
          <cell r="A472" t="str">
            <v>LTC9223/00</v>
          </cell>
          <cell r="B472" t="str">
            <v xml:space="preserve">台庄式雲台支架 </v>
          </cell>
          <cell r="C472">
            <v>66</v>
          </cell>
        </row>
        <row r="473">
          <cell r="A473" t="str">
            <v>LTC9224/00</v>
          </cell>
          <cell r="B473" t="str">
            <v xml:space="preserve">台庄式雲台支架 </v>
          </cell>
          <cell r="C473">
            <v>94</v>
          </cell>
        </row>
        <row r="475">
          <cell r="A475" t="str">
            <v xml:space="preserve">台庄式雲台支架 </v>
          </cell>
        </row>
        <row r="476">
          <cell r="A476" t="str">
            <v>TC9218RM</v>
          </cell>
          <cell r="B476" t="str">
            <v xml:space="preserve">台庄式雲台支架 </v>
          </cell>
          <cell r="C476">
            <v>363</v>
          </cell>
        </row>
        <row r="478">
          <cell r="A478" t="str">
            <v>支撐架</v>
          </cell>
        </row>
        <row r="479">
          <cell r="A479" t="str">
            <v>LTC9213/00</v>
          </cell>
          <cell r="B479" t="str">
            <v>吊裝拉口</v>
          </cell>
          <cell r="C479">
            <v>66</v>
          </cell>
        </row>
        <row r="480">
          <cell r="A480" t="str">
            <v>LTC9227/00</v>
          </cell>
          <cell r="B480" t="str">
            <v>接口支撐架</v>
          </cell>
          <cell r="C480">
            <v>44</v>
          </cell>
        </row>
        <row r="481">
          <cell r="A481" t="str">
            <v>LTC9228/00</v>
          </cell>
          <cell r="B481" t="str">
            <v>墻裝支撐架</v>
          </cell>
          <cell r="C481">
            <v>81</v>
          </cell>
        </row>
        <row r="482">
          <cell r="A482" t="str">
            <v>LTC9226/00</v>
          </cell>
          <cell r="B482" t="str">
            <v>角落安裝架</v>
          </cell>
          <cell r="C482">
            <v>98</v>
          </cell>
        </row>
        <row r="484">
          <cell r="A484" t="str">
            <v>監視器安裝支架</v>
          </cell>
        </row>
        <row r="485">
          <cell r="A485" t="str">
            <v>MM3000</v>
          </cell>
          <cell r="B485" t="str">
            <v xml:space="preserve">監視器安裝支架 </v>
          </cell>
          <cell r="C485">
            <v>94</v>
          </cell>
        </row>
        <row r="486">
          <cell r="A486" t="str">
            <v>TC9209MM-W</v>
          </cell>
          <cell r="B486" t="str">
            <v xml:space="preserve">監視器安裝支架 </v>
          </cell>
          <cell r="C486">
            <v>70</v>
          </cell>
        </row>
        <row r="487">
          <cell r="A487" t="str">
            <v>TC9212MM-W</v>
          </cell>
          <cell r="B487" t="str">
            <v xml:space="preserve">監視器安裝支架 </v>
          </cell>
          <cell r="C487">
            <v>87</v>
          </cell>
        </row>
        <row r="488">
          <cell r="A488" t="str">
            <v>TC9217MM-C</v>
          </cell>
          <cell r="B488" t="str">
            <v xml:space="preserve">監視器安裝架 </v>
          </cell>
          <cell r="C488">
            <v>214</v>
          </cell>
        </row>
        <row r="489">
          <cell r="A489" t="str">
            <v>TC9217MM-W</v>
          </cell>
          <cell r="B489" t="str">
            <v xml:space="preserve">監視器安裝支架 </v>
          </cell>
          <cell r="C489">
            <v>214</v>
          </cell>
        </row>
        <row r="490">
          <cell r="A490" t="str">
            <v>TC9220MM-C</v>
          </cell>
          <cell r="B490" t="str">
            <v xml:space="preserve">監視器安裝支架配件 </v>
          </cell>
          <cell r="C490">
            <v>223</v>
          </cell>
        </row>
        <row r="491">
          <cell r="A491" t="str">
            <v>TC9220MM-W</v>
          </cell>
          <cell r="B491" t="str">
            <v xml:space="preserve">監視器安裝支架配件 </v>
          </cell>
          <cell r="C491">
            <v>223</v>
          </cell>
        </row>
        <row r="492">
          <cell r="A492" t="str">
            <v>TC9227MM-C</v>
          </cell>
          <cell r="B492" t="str">
            <v xml:space="preserve">監視器安裝支架 </v>
          </cell>
          <cell r="C492">
            <v>227</v>
          </cell>
        </row>
        <row r="493">
          <cell r="A493" t="str">
            <v>TC9227MM-W</v>
          </cell>
          <cell r="B493" t="str">
            <v xml:space="preserve">監視器安裝支架 </v>
          </cell>
          <cell r="C493">
            <v>227</v>
          </cell>
        </row>
        <row r="494">
          <cell r="A494" t="str">
            <v>TC9220EC2</v>
          </cell>
          <cell r="B494" t="str">
            <v xml:space="preserve">監視器安裝支架 </v>
          </cell>
          <cell r="C494">
            <v>33</v>
          </cell>
        </row>
        <row r="495">
          <cell r="A495" t="str">
            <v>TC9220EC4</v>
          </cell>
          <cell r="B495" t="str">
            <v xml:space="preserve">監視器安裝支架配件 </v>
          </cell>
          <cell r="C495">
            <v>55</v>
          </cell>
        </row>
        <row r="497">
          <cell r="A497" t="str">
            <v xml:space="preserve">機箱 </v>
          </cell>
        </row>
        <row r="498">
          <cell r="A498" t="str">
            <v>TC96007B</v>
          </cell>
          <cell r="B498" t="str">
            <v xml:space="preserve">機箱 </v>
          </cell>
          <cell r="C498">
            <v>450</v>
          </cell>
        </row>
        <row r="499">
          <cell r="A499" t="str">
            <v>TC96008B</v>
          </cell>
          <cell r="B499" t="str">
            <v xml:space="preserve">機箱 </v>
          </cell>
          <cell r="C499">
            <v>291</v>
          </cell>
        </row>
        <row r="500">
          <cell r="A500" t="str">
            <v>TC96011B</v>
          </cell>
          <cell r="B500" t="str">
            <v xml:space="preserve">機箱 </v>
          </cell>
          <cell r="C500">
            <v>498</v>
          </cell>
        </row>
        <row r="501">
          <cell r="A501" t="str">
            <v>TC96012B</v>
          </cell>
          <cell r="B501" t="str">
            <v xml:space="preserve">機箱 </v>
          </cell>
          <cell r="C501">
            <v>328</v>
          </cell>
        </row>
        <row r="502">
          <cell r="A502" t="str">
            <v>TC96015B</v>
          </cell>
          <cell r="B502" t="str">
            <v xml:space="preserve">機箱 </v>
          </cell>
          <cell r="C502">
            <v>533</v>
          </cell>
        </row>
        <row r="503">
          <cell r="A503" t="str">
            <v>TC96016B</v>
          </cell>
          <cell r="B503" t="str">
            <v xml:space="preserve">機箱 </v>
          </cell>
          <cell r="C503">
            <v>363</v>
          </cell>
        </row>
        <row r="505">
          <cell r="A505" t="str">
            <v xml:space="preserve">機箱櫃配件 </v>
          </cell>
        </row>
        <row r="506">
          <cell r="A506" t="str">
            <v>LTC9009/01</v>
          </cell>
          <cell r="B506" t="str">
            <v xml:space="preserve">安裝套件 </v>
          </cell>
          <cell r="C506">
            <v>15</v>
          </cell>
        </row>
        <row r="507">
          <cell r="A507" t="str">
            <v>TC85140</v>
          </cell>
          <cell r="B507" t="str">
            <v xml:space="preserve">機箱櫃配件 </v>
          </cell>
          <cell r="C507">
            <v>30</v>
          </cell>
        </row>
        <row r="508">
          <cell r="A508" t="str">
            <v>TC85141</v>
          </cell>
          <cell r="B508" t="str">
            <v xml:space="preserve">機箱櫃配件 </v>
          </cell>
          <cell r="C508">
            <v>42</v>
          </cell>
        </row>
        <row r="509">
          <cell r="A509" t="str">
            <v>TC85142</v>
          </cell>
          <cell r="B509" t="str">
            <v xml:space="preserve">機箱櫃配件 </v>
          </cell>
          <cell r="C509">
            <v>47</v>
          </cell>
        </row>
        <row r="510">
          <cell r="A510" t="str">
            <v>TC85145</v>
          </cell>
          <cell r="B510" t="str">
            <v xml:space="preserve">機箱櫃配件 </v>
          </cell>
          <cell r="C510">
            <v>51</v>
          </cell>
        </row>
        <row r="511">
          <cell r="A511" t="str">
            <v>TC85146</v>
          </cell>
          <cell r="B511" t="str">
            <v xml:space="preserve">機箱櫃配件 </v>
          </cell>
          <cell r="C511">
            <v>64</v>
          </cell>
        </row>
        <row r="512">
          <cell r="A512" t="str">
            <v>TC85147</v>
          </cell>
          <cell r="B512" t="str">
            <v xml:space="preserve">機箱櫃配件 </v>
          </cell>
          <cell r="C512">
            <v>73</v>
          </cell>
        </row>
        <row r="514">
          <cell r="A514" t="str">
            <v>監視器安裝配件</v>
          </cell>
        </row>
        <row r="515">
          <cell r="A515" t="str">
            <v>LTC9009/00</v>
          </cell>
          <cell r="B515" t="str">
            <v xml:space="preserve">安裝套件 </v>
          </cell>
          <cell r="C515">
            <v>81</v>
          </cell>
        </row>
        <row r="516">
          <cell r="A516" t="str">
            <v>LTC9012/00</v>
          </cell>
          <cell r="B516" t="str">
            <v xml:space="preserve">安裝套件 </v>
          </cell>
          <cell r="C516">
            <v>140</v>
          </cell>
        </row>
        <row r="517">
          <cell r="A517" t="str">
            <v>LTC9017/00</v>
          </cell>
          <cell r="B517" t="str">
            <v xml:space="preserve">安裝套件 </v>
          </cell>
          <cell r="C517">
            <v>140</v>
          </cell>
        </row>
        <row r="518">
          <cell r="A518" t="str">
            <v>LTC9117/00</v>
          </cell>
          <cell r="B518" t="str">
            <v xml:space="preserve">安裝套件 </v>
          </cell>
          <cell r="C518">
            <v>140</v>
          </cell>
        </row>
        <row r="520">
          <cell r="A520" t="str">
            <v xml:space="preserve">安裝套件 </v>
          </cell>
        </row>
        <row r="521">
          <cell r="A521" t="str">
            <v>LTC9061/00</v>
          </cell>
          <cell r="B521" t="str">
            <v xml:space="preserve">安裝套件 </v>
          </cell>
          <cell r="C521">
            <v>179</v>
          </cell>
        </row>
        <row r="523">
          <cell r="A523" t="str">
            <v xml:space="preserve">視頻產品安裝支架 </v>
          </cell>
        </row>
        <row r="524">
          <cell r="A524" t="str">
            <v>LTC9101/00</v>
          </cell>
          <cell r="B524" t="str">
            <v xml:space="preserve">視頻產品安裝支架 </v>
          </cell>
          <cell r="C524">
            <v>109</v>
          </cell>
        </row>
        <row r="525">
          <cell r="A525" t="str">
            <v>LTC9103/00</v>
          </cell>
          <cell r="B525" t="str">
            <v xml:space="preserve">視頻產品安裝支架 </v>
          </cell>
          <cell r="C525">
            <v>35</v>
          </cell>
        </row>
        <row r="526">
          <cell r="A526" t="str">
            <v>LTC9065/00</v>
          </cell>
          <cell r="B526" t="str">
            <v>視頻產品安裝支架 (供LTC3905 VCR使用)</v>
          </cell>
          <cell r="C526">
            <v>131</v>
          </cell>
        </row>
        <row r="528">
          <cell r="A528" t="str">
            <v>搖控裝置</v>
          </cell>
        </row>
        <row r="529">
          <cell r="A529" t="str">
            <v>雲台類別</v>
          </cell>
        </row>
        <row r="530">
          <cell r="A530" t="str">
            <v>TC61250PT-220</v>
          </cell>
          <cell r="B530" t="str">
            <v xml:space="preserve">室外雲台 (220VAC) </v>
          </cell>
          <cell r="C530">
            <v>1912</v>
          </cell>
        </row>
        <row r="531">
          <cell r="A531" t="str">
            <v>TC61260EX-220</v>
          </cell>
          <cell r="B531" t="str">
            <v xml:space="preserve">防爆雲台(220VAC) </v>
          </cell>
          <cell r="C531">
            <v>3343</v>
          </cell>
        </row>
        <row r="532">
          <cell r="A532" t="str">
            <v>TC61260EX-220PP</v>
          </cell>
          <cell r="B532" t="str">
            <v xml:space="preserve">防爆雲台帶預置位 (220VAC) </v>
          </cell>
          <cell r="C532">
            <v>3781</v>
          </cell>
        </row>
        <row r="533">
          <cell r="A533" t="str">
            <v>TC6270PT-220</v>
          </cell>
          <cell r="B533" t="str">
            <v xml:space="preserve">室內輕型雲台 </v>
          </cell>
          <cell r="C533">
            <v>647</v>
          </cell>
        </row>
        <row r="534">
          <cell r="A534" t="str">
            <v>TC6270PT-24</v>
          </cell>
          <cell r="B534" t="str">
            <v xml:space="preserve">室內輕型雲台 </v>
          </cell>
          <cell r="C534">
            <v>647</v>
          </cell>
        </row>
        <row r="535">
          <cell r="A535" t="str">
            <v>TC6280PT-24</v>
          </cell>
          <cell r="B535" t="str">
            <v>室內輕型雲台 (24V)</v>
          </cell>
          <cell r="C535">
            <v>682</v>
          </cell>
        </row>
        <row r="536">
          <cell r="A536" t="str">
            <v>TC6280PT-24PP</v>
          </cell>
          <cell r="B536" t="str">
            <v>室內輕型雲台帶預置位 (24VAC)</v>
          </cell>
          <cell r="C536">
            <v>1123</v>
          </cell>
        </row>
        <row r="537">
          <cell r="A537" t="str">
            <v>TC6280PT-24SL</v>
          </cell>
          <cell r="B537" t="str">
            <v>室內輕型雲台 (24VAC)</v>
          </cell>
          <cell r="C537">
            <v>1071</v>
          </cell>
        </row>
        <row r="538">
          <cell r="A538" t="str">
            <v>TC6280PT-24SLPP</v>
          </cell>
          <cell r="B538" t="str">
            <v>室內輕型雲台帶預置位 (24VAC)</v>
          </cell>
          <cell r="C538">
            <v>1755</v>
          </cell>
        </row>
        <row r="539">
          <cell r="A539" t="str">
            <v>LTC9409/10</v>
          </cell>
          <cell r="B539" t="str">
            <v>室外輕型雲台 (5KG)</v>
          </cell>
          <cell r="C539">
            <v>455</v>
          </cell>
        </row>
        <row r="540">
          <cell r="A540" t="str">
            <v>LTC9409/11</v>
          </cell>
          <cell r="B540" t="str">
            <v>室外輕型雲台帶預置位</v>
          </cell>
          <cell r="C540">
            <v>677</v>
          </cell>
        </row>
        <row r="541">
          <cell r="A541" t="str">
            <v>LTC9409/50</v>
          </cell>
          <cell r="B541" t="str">
            <v>室外輕型雲台 (5KG)</v>
          </cell>
          <cell r="C541">
            <v>455</v>
          </cell>
        </row>
        <row r="542">
          <cell r="A542" t="str">
            <v>LTC9409/51</v>
          </cell>
          <cell r="B542" t="str">
            <v>室外輕型雲台帶預置位 (5KG)</v>
          </cell>
          <cell r="C542">
            <v>677</v>
          </cell>
        </row>
        <row r="543">
          <cell r="A543" t="str">
            <v>LTC9418/10</v>
          </cell>
          <cell r="B543" t="str">
            <v xml:space="preserve">標準雲台 24VAC </v>
          </cell>
          <cell r="C543">
            <v>865</v>
          </cell>
        </row>
        <row r="544">
          <cell r="A544" t="str">
            <v>LTC9418/11</v>
          </cell>
          <cell r="B544" t="str">
            <v xml:space="preserve">雲台, 帶預置, 24VAC </v>
          </cell>
          <cell r="C544">
            <v>1005</v>
          </cell>
        </row>
        <row r="545">
          <cell r="A545" t="str">
            <v>LTC9418/50</v>
          </cell>
          <cell r="B545" t="str">
            <v xml:space="preserve">標準雲台 220VAC  </v>
          </cell>
          <cell r="C545">
            <v>743</v>
          </cell>
        </row>
        <row r="546">
          <cell r="A546" t="str">
            <v>LTC9418/51</v>
          </cell>
          <cell r="B546" t="str">
            <v xml:space="preserve">雲台, 帶預置, 220VAC </v>
          </cell>
          <cell r="C546">
            <v>1187</v>
          </cell>
        </row>
        <row r="547">
          <cell r="A547" t="str">
            <v>LTC9420/10</v>
          </cell>
          <cell r="B547" t="str">
            <v xml:space="preserve">標準雲台 24VAC </v>
          </cell>
          <cell r="C547">
            <v>852</v>
          </cell>
        </row>
        <row r="548">
          <cell r="A548" t="str">
            <v>LTC9420/11</v>
          </cell>
          <cell r="B548" t="str">
            <v>雲台, 帶預置, 24VAC</v>
          </cell>
          <cell r="C548">
            <v>1136</v>
          </cell>
        </row>
        <row r="549">
          <cell r="A549" t="str">
            <v>LTC9420/12</v>
          </cell>
          <cell r="B549" t="str">
            <v>雲台, 24VAC</v>
          </cell>
          <cell r="C549">
            <v>1595</v>
          </cell>
        </row>
        <row r="550">
          <cell r="A550" t="str">
            <v>LTC9420/50</v>
          </cell>
          <cell r="B550" t="str">
            <v>雲台, 220VAC</v>
          </cell>
          <cell r="C550">
            <v>852</v>
          </cell>
        </row>
        <row r="551">
          <cell r="A551" t="str">
            <v>LTC9420/51</v>
          </cell>
          <cell r="B551" t="str">
            <v>雲台, 帶預置, 220 VAC</v>
          </cell>
          <cell r="C551">
            <v>1158</v>
          </cell>
        </row>
        <row r="552">
          <cell r="A552" t="str">
            <v>TC61250PT-220</v>
          </cell>
          <cell r="B552" t="str">
            <v xml:space="preserve">室外雲台, 220VAC </v>
          </cell>
          <cell r="C552">
            <v>1289</v>
          </cell>
        </row>
        <row r="553">
          <cell r="A553" t="str">
            <v>TC6570PT-24PP</v>
          </cell>
          <cell r="B553" t="str">
            <v xml:space="preserve">室外雲台 </v>
          </cell>
          <cell r="C553">
            <v>1705</v>
          </cell>
        </row>
        <row r="554">
          <cell r="A554" t="str">
            <v>TC6680PT-24</v>
          </cell>
          <cell r="B554" t="str">
            <v xml:space="preserve">全天候室外中型雲台 </v>
          </cell>
          <cell r="C554">
            <v>1438</v>
          </cell>
        </row>
        <row r="555">
          <cell r="A555" t="str">
            <v>TC6680PT-24PP</v>
          </cell>
          <cell r="B555" t="str">
            <v xml:space="preserve">全天候室外中型雲台 </v>
          </cell>
          <cell r="C555">
            <v>1857</v>
          </cell>
        </row>
        <row r="556">
          <cell r="A556" t="str">
            <v>TC6680PT-24SL</v>
          </cell>
          <cell r="B556" t="str">
            <v xml:space="preserve">全天候室外中型雲台 </v>
          </cell>
          <cell r="C556">
            <v>2002</v>
          </cell>
        </row>
        <row r="557">
          <cell r="A557" t="str">
            <v>TC6680PT-24SLPP</v>
          </cell>
          <cell r="B557" t="str">
            <v xml:space="preserve">全天候室外中型雲台 </v>
          </cell>
          <cell r="C557">
            <v>2491</v>
          </cell>
        </row>
        <row r="559">
          <cell r="A559" t="str">
            <v xml:space="preserve">水平雲台 </v>
          </cell>
        </row>
        <row r="560">
          <cell r="A560" t="str">
            <v>TC6207S-24</v>
          </cell>
          <cell r="B560" t="str">
            <v xml:space="preserve">水平雲台 </v>
          </cell>
          <cell r="C560">
            <v>243</v>
          </cell>
        </row>
        <row r="561">
          <cell r="A561" t="str">
            <v>TC6230S-24</v>
          </cell>
          <cell r="B561" t="str">
            <v xml:space="preserve">水平雲台 </v>
          </cell>
          <cell r="C561">
            <v>706</v>
          </cell>
        </row>
        <row r="563">
          <cell r="A563" t="str">
            <v>可選擇配件</v>
          </cell>
        </row>
        <row r="564">
          <cell r="A564" t="str">
            <v>RB24</v>
          </cell>
          <cell r="B564" t="str">
            <v>搖控裝置配件</v>
          </cell>
          <cell r="C564">
            <v>354</v>
          </cell>
        </row>
        <row r="565">
          <cell r="A565" t="str">
            <v>RB24-220</v>
          </cell>
          <cell r="B565" t="str">
            <v>搖控裝置配件</v>
          </cell>
          <cell r="C565">
            <v>354</v>
          </cell>
        </row>
        <row r="566">
          <cell r="A566" t="str">
            <v>RB220</v>
          </cell>
          <cell r="B566" t="str">
            <v>搖控裝置配件</v>
          </cell>
          <cell r="C566">
            <v>354</v>
          </cell>
        </row>
        <row r="568">
          <cell r="A568" t="str">
            <v>軟件</v>
          </cell>
        </row>
        <row r="569">
          <cell r="A569" t="str">
            <v>LDH8805/00</v>
          </cell>
          <cell r="B569" t="str">
            <v xml:space="preserve">配置程序 </v>
          </cell>
          <cell r="C569">
            <v>175</v>
          </cell>
        </row>
        <row r="571">
          <cell r="A571" t="str">
            <v>特別儀器</v>
          </cell>
        </row>
        <row r="572">
          <cell r="A572" t="str">
            <v>紅外線照明燈</v>
          </cell>
        </row>
        <row r="573">
          <cell r="A573" t="str">
            <v>LL27NS-3</v>
          </cell>
          <cell r="B573" t="str">
            <v xml:space="preserve">紅外線發射器 </v>
          </cell>
          <cell r="C573">
            <v>1705</v>
          </cell>
        </row>
        <row r="574">
          <cell r="A574" t="str">
            <v>LL27WF-3</v>
          </cell>
          <cell r="B574" t="str">
            <v xml:space="preserve">紅外線發射器 </v>
          </cell>
          <cell r="C574">
            <v>1705</v>
          </cell>
        </row>
        <row r="576">
          <cell r="A576" t="str">
            <v xml:space="preserve">除淨器 </v>
          </cell>
        </row>
        <row r="577">
          <cell r="A577" t="str">
            <v>TC8235GIT</v>
          </cell>
          <cell r="B577" t="str">
            <v xml:space="preserve">除淨器 </v>
          </cell>
          <cell r="C577">
            <v>109</v>
          </cell>
        </row>
        <row r="579">
          <cell r="A579" t="str">
            <v>視頻信號儀器</v>
          </cell>
        </row>
        <row r="580">
          <cell r="A580" t="str">
            <v>時間/ 日期/ 字型生產器</v>
          </cell>
        </row>
        <row r="581">
          <cell r="A581" t="str">
            <v>TC8241X</v>
          </cell>
          <cell r="B581" t="str">
            <v>時間/ 日期/ 字型生產器, 單頻道, 230VAC</v>
          </cell>
          <cell r="C581">
            <v>393</v>
          </cell>
        </row>
        <row r="582">
          <cell r="A582" t="str">
            <v>TC8244X</v>
          </cell>
          <cell r="B582" t="str">
            <v>時間/ 日期/ 字型生產器, 4頻道, 230VAC</v>
          </cell>
          <cell r="C582">
            <v>874</v>
          </cell>
        </row>
        <row r="584">
          <cell r="A584" t="str">
            <v>數碼動作感應器</v>
          </cell>
        </row>
        <row r="585">
          <cell r="A585" t="str">
            <v>LTC2210/50</v>
          </cell>
          <cell r="B585" t="str">
            <v>單頻道, 數碼動作感應器, 230VAC</v>
          </cell>
          <cell r="C585">
            <v>382</v>
          </cell>
        </row>
        <row r="586">
          <cell r="A586" t="str">
            <v>LTC2211/50</v>
          </cell>
          <cell r="B586" t="str">
            <v>4頻道, 數碼動作感應器, 230VAC</v>
          </cell>
          <cell r="C586">
            <v>2841</v>
          </cell>
        </row>
        <row r="587">
          <cell r="A587" t="str">
            <v>LTC2212/50</v>
          </cell>
          <cell r="B587" t="str">
            <v>8頻道, 數碼動作感應器, 230VAC</v>
          </cell>
          <cell r="C587">
            <v>3715</v>
          </cell>
        </row>
        <row r="589">
          <cell r="A589" t="str">
            <v>四分割器</v>
          </cell>
        </row>
        <row r="590">
          <cell r="A590" t="str">
            <v>黑白四分割器</v>
          </cell>
        </row>
        <row r="591">
          <cell r="A591" t="str">
            <v>LTC2272/50</v>
          </cell>
          <cell r="B591" t="str">
            <v>黑白四分割器, CCIR, 230VAC</v>
          </cell>
          <cell r="C591">
            <v>546</v>
          </cell>
        </row>
        <row r="592">
          <cell r="A592" t="str">
            <v>LTC2276/50</v>
          </cell>
          <cell r="B592" t="str">
            <v>黑白四分割器, CCIR, 230VAC</v>
          </cell>
          <cell r="C592">
            <v>677</v>
          </cell>
        </row>
        <row r="593">
          <cell r="A593" t="str">
            <v>LHM0810/01</v>
          </cell>
          <cell r="B593" t="str">
            <v>電源</v>
          </cell>
          <cell r="C593">
            <v>7</v>
          </cell>
        </row>
        <row r="594">
          <cell r="A594" t="str">
            <v>LHM0811/00</v>
          </cell>
          <cell r="B594" t="str">
            <v>黑白四分割器, CCIR</v>
          </cell>
          <cell r="C594">
            <v>336</v>
          </cell>
        </row>
        <row r="596">
          <cell r="A596" t="str">
            <v>彩色四分割器</v>
          </cell>
        </row>
        <row r="597">
          <cell r="A597" t="str">
            <v>LDH2544/10</v>
          </cell>
          <cell r="B597" t="str">
            <v xml:space="preserve">彩色視頻四圖像切換器 (PAL) </v>
          </cell>
          <cell r="C597">
            <v>918</v>
          </cell>
        </row>
        <row r="598">
          <cell r="A598" t="str">
            <v>LDH2545/10</v>
          </cell>
          <cell r="B598" t="str">
            <v xml:space="preserve">彩色視頻四圖像切換器 (PAL) </v>
          </cell>
          <cell r="C598">
            <v>1267</v>
          </cell>
        </row>
        <row r="599">
          <cell r="A599" t="str">
            <v>LDH2550/01</v>
          </cell>
          <cell r="B599" t="str">
            <v xml:space="preserve">彩色視頻四圖像切換器1101L) </v>
          </cell>
          <cell r="C599">
            <v>1320</v>
          </cell>
        </row>
        <row r="600">
          <cell r="A600" t="str">
            <v>LHM0816/00</v>
          </cell>
          <cell r="B600" t="str">
            <v xml:space="preserve">彩色四畫面處理器  </v>
          </cell>
          <cell r="C600">
            <v>839</v>
          </cell>
        </row>
        <row r="602">
          <cell r="A602" t="str">
            <v>視頻處理器</v>
          </cell>
        </row>
        <row r="603">
          <cell r="A603" t="str">
            <v>黑白視頻處理器</v>
          </cell>
        </row>
        <row r="604">
          <cell r="A604" t="str">
            <v>LTC2631/50</v>
          </cell>
          <cell r="B604" t="str">
            <v>黑白視頻處理器, 9頻道, 單工</v>
          </cell>
          <cell r="C604">
            <v>1289</v>
          </cell>
        </row>
        <row r="605">
          <cell r="A605" t="str">
            <v>LTC2632/50</v>
          </cell>
          <cell r="B605" t="str">
            <v>黑白視頻處理器, 9頻道, 雙工</v>
          </cell>
          <cell r="C605">
            <v>1857</v>
          </cell>
        </row>
        <row r="606">
          <cell r="A606" t="str">
            <v>LTC2651/50</v>
          </cell>
          <cell r="B606" t="str">
            <v>黑白視頻處理器, 16頻道, 單工</v>
          </cell>
          <cell r="C606">
            <v>2000</v>
          </cell>
        </row>
        <row r="607">
          <cell r="A607" t="str">
            <v>LTC2652/50</v>
          </cell>
          <cell r="B607" t="str">
            <v>黑白視頻處理器, 16頻道, 雙工</v>
          </cell>
          <cell r="C607">
            <v>2688</v>
          </cell>
        </row>
        <row r="609">
          <cell r="A609" t="str">
            <v>彩色視頻處理器</v>
          </cell>
        </row>
        <row r="610">
          <cell r="A610" t="str">
            <v>LTC2601/00</v>
          </cell>
          <cell r="B610" t="str">
            <v>鍵盤供系統4彩色視頻處理器使用</v>
          </cell>
          <cell r="C610">
            <v>546</v>
          </cell>
        </row>
        <row r="611">
          <cell r="A611" t="str">
            <v>LTC2602/00</v>
          </cell>
          <cell r="B611" t="str">
            <v>鍵盤供系統4彩色視頻處理器使用</v>
          </cell>
          <cell r="C611">
            <v>765</v>
          </cell>
        </row>
        <row r="612">
          <cell r="A612" t="str">
            <v>LTC2641/50</v>
          </cell>
          <cell r="B612" t="str">
            <v>彩色視頻處理器, 9頻道, 單工</v>
          </cell>
          <cell r="C612">
            <v>1726</v>
          </cell>
        </row>
        <row r="613">
          <cell r="A613" t="str">
            <v>LTC2642/50</v>
          </cell>
          <cell r="B613" t="str">
            <v>彩色視頻處理器, 9頻道, 雙工</v>
          </cell>
          <cell r="C613">
            <v>2753</v>
          </cell>
        </row>
        <row r="614">
          <cell r="A614" t="str">
            <v>LTC2661/50</v>
          </cell>
          <cell r="B614" t="str">
            <v>彩色視頻處理器, 16頻道, 單工</v>
          </cell>
          <cell r="C614">
            <v>2666</v>
          </cell>
        </row>
        <row r="615">
          <cell r="A615" t="str">
            <v>LTC2662/50</v>
          </cell>
          <cell r="B615" t="str">
            <v>彩色視頻處理器, 16頻道, 雙工</v>
          </cell>
          <cell r="C615">
            <v>3584</v>
          </cell>
        </row>
        <row r="616">
          <cell r="A616" t="str">
            <v>LTC2672/50</v>
          </cell>
          <cell r="B616" t="str">
            <v>系統4彩色視頻處理器, 9頻道, 雙工</v>
          </cell>
          <cell r="C616">
            <v>3496</v>
          </cell>
        </row>
        <row r="617">
          <cell r="A617" t="str">
            <v>LTC2681/50</v>
          </cell>
          <cell r="B617" t="str">
            <v>系統4彩色視頻處理器, 16頻道, 單工</v>
          </cell>
          <cell r="C617">
            <v>3234</v>
          </cell>
        </row>
        <row r="618">
          <cell r="A618" t="str">
            <v>LTC2682/50</v>
          </cell>
          <cell r="B618" t="str">
            <v>系統4彩色視頻處理器, 16頻道, 雙工</v>
          </cell>
          <cell r="C618">
            <v>4261</v>
          </cell>
        </row>
        <row r="620">
          <cell r="A620" t="str">
            <v>視頻放大器</v>
          </cell>
        </row>
        <row r="621">
          <cell r="A621" t="str">
            <v>LTC5231/50</v>
          </cell>
          <cell r="B621" t="str">
            <v>視頻放大器, 1輸入/4輸出, 230VAC</v>
          </cell>
          <cell r="C621">
            <v>170</v>
          </cell>
        </row>
        <row r="622">
          <cell r="A622" t="str">
            <v>LTC5234/50</v>
          </cell>
          <cell r="B622" t="str">
            <v>視頻放大器, 4輸入/12輸出, 230VAC</v>
          </cell>
          <cell r="C622">
            <v>393</v>
          </cell>
        </row>
        <row r="624">
          <cell r="A624" t="str">
            <v>矩陣切換器</v>
          </cell>
        </row>
        <row r="626">
          <cell r="A626" t="str">
            <v>LTC5112/50</v>
          </cell>
          <cell r="B626" t="str">
            <v>矩陣切換器, 12路輸入/2路輸出</v>
          </cell>
          <cell r="C626">
            <v>892</v>
          </cell>
        </row>
        <row r="627">
          <cell r="A627" t="str">
            <v>LTC5104/50</v>
          </cell>
          <cell r="B627" t="str">
            <v>矩陣切換器, 4路輸入/1路輸出</v>
          </cell>
          <cell r="C627">
            <v>256</v>
          </cell>
        </row>
        <row r="628">
          <cell r="A628" t="str">
            <v>LTC5104/51</v>
          </cell>
          <cell r="B628" t="str">
            <v>矩陣切換器, 4路輸入/1路輸出</v>
          </cell>
          <cell r="C628">
            <v>260</v>
          </cell>
        </row>
        <row r="629">
          <cell r="A629" t="str">
            <v>LTC5108/50</v>
          </cell>
          <cell r="B629" t="str">
            <v>矩陣切換器, 8路輸入/2路輸出</v>
          </cell>
          <cell r="C629">
            <v>433</v>
          </cell>
        </row>
        <row r="630">
          <cell r="A630" t="str">
            <v>LTC5108/51</v>
          </cell>
          <cell r="B630" t="str">
            <v>矩陣切換器, 8路輸入/2路輸出</v>
          </cell>
          <cell r="C630">
            <v>433</v>
          </cell>
        </row>
        <row r="631">
          <cell r="A631" t="str">
            <v>LTC5121/50</v>
          </cell>
          <cell r="B631" t="str">
            <v>矩陣切換器, 2路輸入/1路輸出</v>
          </cell>
          <cell r="C631">
            <v>120</v>
          </cell>
        </row>
        <row r="632">
          <cell r="A632" t="str">
            <v>LTC5124/50</v>
          </cell>
          <cell r="B632" t="str">
            <v>矩陣切換器, 24路輸入/4路輸出</v>
          </cell>
          <cell r="C632">
            <v>1552</v>
          </cell>
        </row>
        <row r="633">
          <cell r="A633" t="str">
            <v>LTC5141/50</v>
          </cell>
          <cell r="B633" t="str">
            <v>矩陣切換器, 4路輸入/1路輸出</v>
          </cell>
          <cell r="C633">
            <v>129</v>
          </cell>
        </row>
        <row r="635">
          <cell r="A635" t="str">
            <v>Allegiant 矩陣系統</v>
          </cell>
        </row>
        <row r="636">
          <cell r="A636" t="str">
            <v>LTC8805/50</v>
          </cell>
          <cell r="B636" t="str">
            <v>ALLEGIANT 8800 系統電源, 電源供LTC8902/8903使用</v>
          </cell>
          <cell r="C636">
            <v>1486</v>
          </cell>
        </row>
        <row r="637">
          <cell r="A637" t="str">
            <v>LTC8946/90</v>
          </cell>
          <cell r="B637" t="str">
            <v xml:space="preserve">LAN HUB配件 </v>
          </cell>
          <cell r="C637">
            <v>1071</v>
          </cell>
        </row>
        <row r="638">
          <cell r="A638" t="str">
            <v>LTC8100/50</v>
          </cell>
          <cell r="B638" t="str">
            <v>ALLEGIANT 8100系統, 8路視頻輸入/2路視頻輸出</v>
          </cell>
          <cell r="C638">
            <v>1399</v>
          </cell>
        </row>
        <row r="639">
          <cell r="A639" t="str">
            <v>LTC8200/50</v>
          </cell>
          <cell r="B639" t="str">
            <v>ALLEGIANT 8200系統, 16路視頻輸入/5路視頻輸出</v>
          </cell>
          <cell r="C639">
            <v>1967</v>
          </cell>
        </row>
        <row r="640">
          <cell r="A640" t="str">
            <v>LTC8300/50</v>
          </cell>
          <cell r="B640" t="str">
            <v>ALLEGIANT 8300系統, 32路視頻輸入/6路視頻輸出</v>
          </cell>
          <cell r="C640">
            <v>3278</v>
          </cell>
        </row>
        <row r="641">
          <cell r="A641" t="str">
            <v>LTC8301/50</v>
          </cell>
          <cell r="B641" t="str">
            <v>ALLEGIANT 8300系統, 32路視頻輸入/6路視頻輸出</v>
          </cell>
          <cell r="C641">
            <v>4152</v>
          </cell>
        </row>
        <row r="642">
          <cell r="A642" t="str">
            <v>LTC8501/50</v>
          </cell>
          <cell r="B642" t="str">
            <v>ALLEGIANT 8500系統, 64路視頻輸入/8路視頻輸出</v>
          </cell>
          <cell r="C642">
            <v>2404</v>
          </cell>
        </row>
        <row r="643">
          <cell r="A643" t="str">
            <v>LTC8601/50</v>
          </cell>
          <cell r="B643" t="str">
            <v>ALLEGIANT 8300系統, 128路視頻輸入/16路視頻輸出</v>
          </cell>
          <cell r="C643">
            <v>3890</v>
          </cell>
        </row>
        <row r="644">
          <cell r="A644" t="str">
            <v>LTC8621/00</v>
          </cell>
          <cell r="B644" t="str">
            <v>ALLEGIANT 8600 系統視頻輸入模塊 (每張卡設16路視頻輸入)</v>
          </cell>
          <cell r="C644">
            <v>1093</v>
          </cell>
        </row>
        <row r="645">
          <cell r="A645" t="str">
            <v>LTC8801/50</v>
          </cell>
          <cell r="B645" t="str">
            <v>ALLEGIANT 8800系統主機</v>
          </cell>
          <cell r="C645">
            <v>6993</v>
          </cell>
        </row>
        <row r="646">
          <cell r="A646" t="str">
            <v>LTC8802/50</v>
          </cell>
          <cell r="B646" t="str">
            <v>ALLEGIANT 8800系統視頻輸出擴展機箱</v>
          </cell>
          <cell r="C646">
            <v>4808</v>
          </cell>
        </row>
        <row r="647">
          <cell r="A647" t="str">
            <v>LTC8808/00</v>
          </cell>
          <cell r="B647" t="str">
            <v>ALLEGIANT 視頻互連面板</v>
          </cell>
          <cell r="C647">
            <v>262</v>
          </cell>
        </row>
        <row r="648">
          <cell r="A648" t="str">
            <v>LTC8809/00</v>
          </cell>
          <cell r="B648" t="str">
            <v>視頻電纜 (長六尺)</v>
          </cell>
          <cell r="C648">
            <v>144</v>
          </cell>
        </row>
        <row r="649">
          <cell r="A649" t="str">
            <v>LTC8809/01</v>
          </cell>
          <cell r="B649" t="str">
            <v>視頻電纜 (長三尺)</v>
          </cell>
          <cell r="C649">
            <v>125</v>
          </cell>
        </row>
        <row r="650">
          <cell r="A650" t="str">
            <v>LTC8821/00</v>
          </cell>
          <cell r="B650" t="str">
            <v>ALLEGIANT 8800 系統視頻輸入模塊 (每張卡設32路視頻輸入)</v>
          </cell>
          <cell r="C650">
            <v>2710</v>
          </cell>
        </row>
        <row r="651">
          <cell r="A651" t="str">
            <v>LTC8834/00</v>
          </cell>
          <cell r="B651" t="str">
            <v>ALLEGIANT 8600, 8800 系統視頻輸出模塊 (每張卡設4路視頻輸入)</v>
          </cell>
          <cell r="C651">
            <v>1661</v>
          </cell>
        </row>
        <row r="652">
          <cell r="A652" t="str">
            <v>LTC8901/50</v>
          </cell>
          <cell r="B652" t="str">
            <v>ALLEGIANT 8900 系統主機櫃</v>
          </cell>
          <cell r="C652">
            <v>9178</v>
          </cell>
        </row>
        <row r="653">
          <cell r="A653" t="str">
            <v>LTC8902/50</v>
          </cell>
          <cell r="B653" t="str">
            <v>ALLEGIANT 8900 系統監視器輸出機櫃</v>
          </cell>
          <cell r="C653">
            <v>4808</v>
          </cell>
        </row>
        <row r="654">
          <cell r="A654" t="str">
            <v>LTC8903/50</v>
          </cell>
          <cell r="B654" t="str">
            <v>ALLEGIANT 8900 系統攝像機輸入模塊</v>
          </cell>
          <cell r="C654">
            <v>5682</v>
          </cell>
        </row>
        <row r="655">
          <cell r="A655" t="str">
            <v>LTC8905/90</v>
          </cell>
          <cell r="B655" t="str">
            <v>電源供應器</v>
          </cell>
          <cell r="C655">
            <v>437</v>
          </cell>
        </row>
        <row r="656">
          <cell r="A656" t="str">
            <v>LTC8917/00</v>
          </cell>
          <cell r="B656" t="str">
            <v>繼電器模塊</v>
          </cell>
          <cell r="C656">
            <v>437</v>
          </cell>
        </row>
        <row r="657">
          <cell r="A657" t="str">
            <v>LTC8921/00</v>
          </cell>
          <cell r="B657" t="str">
            <v>ALLEGIANT 8900 系統視頻輸入模塊</v>
          </cell>
          <cell r="C657">
            <v>2710</v>
          </cell>
        </row>
        <row r="658">
          <cell r="A658" t="str">
            <v>LTC8934/00</v>
          </cell>
          <cell r="B658" t="str">
            <v>ALLEGIANT 8900 系統視頻輸出模塊</v>
          </cell>
          <cell r="C658">
            <v>2666</v>
          </cell>
        </row>
        <row r="659">
          <cell r="A659" t="str">
            <v>LTC8941/90</v>
          </cell>
          <cell r="B659" t="str">
            <v>ALLEGIANT PC套件</v>
          </cell>
          <cell r="C659">
            <v>15078</v>
          </cell>
        </row>
        <row r="661">
          <cell r="A661" t="str">
            <v>Allegiant 矩陣配件</v>
          </cell>
        </row>
        <row r="662">
          <cell r="A662" t="str">
            <v>LDH5304/00</v>
          </cell>
          <cell r="B662" t="str">
            <v xml:space="preserve">視頻控制矩陣鍵盤 </v>
          </cell>
          <cell r="C662">
            <v>559</v>
          </cell>
        </row>
        <row r="663">
          <cell r="A663" t="str">
            <v>LTC8550/00</v>
          </cell>
          <cell r="B663" t="str">
            <v xml:space="preserve">視頻控制矩陣鍵盤 </v>
          </cell>
          <cell r="C663">
            <v>830</v>
          </cell>
        </row>
        <row r="664">
          <cell r="A664" t="str">
            <v>LTC8550/01</v>
          </cell>
          <cell r="B664" t="str">
            <v xml:space="preserve">視頻控制矩陣鍵盤 </v>
          </cell>
          <cell r="C664">
            <v>830</v>
          </cell>
        </row>
        <row r="665">
          <cell r="A665" t="str">
            <v>LTC8551/00</v>
          </cell>
          <cell r="B665" t="str">
            <v xml:space="preserve">視頻控制矩陣鍵盤 </v>
          </cell>
          <cell r="C665">
            <v>1530</v>
          </cell>
        </row>
        <row r="666">
          <cell r="A666" t="str">
            <v>LTC8551/01</v>
          </cell>
          <cell r="B666" t="str">
            <v xml:space="preserve">視頻控制矩陣鍵盤 </v>
          </cell>
          <cell r="C666">
            <v>1530</v>
          </cell>
        </row>
        <row r="667">
          <cell r="A667" t="str">
            <v>LTC8552/00</v>
          </cell>
          <cell r="B667" t="str">
            <v xml:space="preserve">視頻控制矩陣鍵盤 </v>
          </cell>
          <cell r="C667">
            <v>1705</v>
          </cell>
        </row>
        <row r="668">
          <cell r="A668" t="str">
            <v>LTC8552/01</v>
          </cell>
          <cell r="B668" t="str">
            <v xml:space="preserve">視頻控制矩陣鍵盤 </v>
          </cell>
          <cell r="C668">
            <v>1967</v>
          </cell>
        </row>
        <row r="669">
          <cell r="A669" t="str">
            <v>LTC8553/00</v>
          </cell>
          <cell r="B669" t="str">
            <v xml:space="preserve">視頻控制矩陣鍵盤 </v>
          </cell>
          <cell r="C669">
            <v>1705</v>
          </cell>
        </row>
        <row r="670">
          <cell r="A670" t="str">
            <v>LTC8553/01</v>
          </cell>
          <cell r="B670" t="str">
            <v xml:space="preserve">視頻控制矩陣鍵盤 </v>
          </cell>
          <cell r="C670">
            <v>1967</v>
          </cell>
        </row>
        <row r="671">
          <cell r="A671" t="str">
            <v>LTC8554/00</v>
          </cell>
          <cell r="B671" t="str">
            <v xml:space="preserve">視頻控制矩陣鍵盤 </v>
          </cell>
          <cell r="C671">
            <v>743</v>
          </cell>
        </row>
        <row r="672">
          <cell r="A672" t="str">
            <v>LTC8554/01</v>
          </cell>
          <cell r="B672" t="str">
            <v xml:space="preserve">視頻控制矩陣鍵盤 </v>
          </cell>
          <cell r="C672">
            <v>743</v>
          </cell>
        </row>
        <row r="673">
          <cell r="A673" t="str">
            <v>LTC8555/00</v>
          </cell>
          <cell r="B673" t="str">
            <v xml:space="preserve">視頻控制矩陣鍵盤 </v>
          </cell>
          <cell r="C673">
            <v>1005</v>
          </cell>
        </row>
        <row r="674">
          <cell r="A674" t="str">
            <v>LTC8555/01</v>
          </cell>
          <cell r="B674" t="str">
            <v xml:space="preserve">視頻控制矩陣鍵盤 </v>
          </cell>
          <cell r="C674">
            <v>1005</v>
          </cell>
        </row>
        <row r="675">
          <cell r="A675" t="str">
            <v>LTC8557/50</v>
          </cell>
          <cell r="B675" t="str">
            <v>矩陣鍵盤增矩套件</v>
          </cell>
          <cell r="C675">
            <v>131</v>
          </cell>
        </row>
        <row r="676">
          <cell r="A676" t="str">
            <v>LTC8558/00</v>
          </cell>
          <cell r="B676">
            <v>0</v>
          </cell>
          <cell r="C676">
            <v>109</v>
          </cell>
        </row>
        <row r="677">
          <cell r="A677" t="str">
            <v>LTC9050/00</v>
          </cell>
          <cell r="B677">
            <v>0</v>
          </cell>
          <cell r="C677">
            <v>87</v>
          </cell>
        </row>
        <row r="679">
          <cell r="A679" t="str">
            <v>控制軟件</v>
          </cell>
        </row>
        <row r="680">
          <cell r="A680" t="str">
            <v>LTC8059/00</v>
          </cell>
          <cell r="B680" t="str">
            <v>ALLEGIANT 系統軟件</v>
          </cell>
          <cell r="C680">
            <v>437</v>
          </cell>
        </row>
        <row r="681">
          <cell r="A681" t="str">
            <v>LTC8850/00</v>
          </cell>
          <cell r="B681" t="str">
            <v xml:space="preserve">安全系統圖形用戶界面 (GUI) </v>
          </cell>
          <cell r="C681">
            <v>3890</v>
          </cell>
        </row>
        <row r="682">
          <cell r="A682" t="str">
            <v>LTC8851/00</v>
          </cell>
          <cell r="B682" t="str">
            <v xml:space="preserve">安全系統圖形用戶界面 (GUI) </v>
          </cell>
          <cell r="C682">
            <v>5900</v>
          </cell>
        </row>
        <row r="683">
          <cell r="A683" t="str">
            <v>LTC8852/00</v>
          </cell>
          <cell r="B683" t="str">
            <v xml:space="preserve">安全系統圖形用戶界面 (GUI) </v>
          </cell>
          <cell r="C683">
            <v>8741</v>
          </cell>
        </row>
        <row r="684">
          <cell r="A684" t="str">
            <v>LTC2650/00</v>
          </cell>
          <cell r="B684" t="str">
            <v>安全系統圖形用戶界面 (GUI) 供系統4視頻處理器使用</v>
          </cell>
          <cell r="C684">
            <v>787</v>
          </cell>
        </row>
        <row r="686">
          <cell r="A686" t="str">
            <v>傳譯儀器</v>
          </cell>
        </row>
        <row r="687">
          <cell r="A687" t="str">
            <v>LTC8782/50-02</v>
          </cell>
          <cell r="B687" t="str">
            <v>傳譯儀器</v>
          </cell>
          <cell r="C687">
            <v>1857</v>
          </cell>
        </row>
        <row r="689">
          <cell r="A689" t="str">
            <v>搖控線路接收器</v>
          </cell>
        </row>
        <row r="690">
          <cell r="A690" t="str">
            <v>LDH5255/10</v>
          </cell>
          <cell r="B690" t="str">
            <v xml:space="preserve">標準遙控線路接收器 (115/230VAC) </v>
          </cell>
          <cell r="C690">
            <v>416</v>
          </cell>
        </row>
        <row r="691">
          <cell r="A691" t="str">
            <v>LDH5258/10</v>
          </cell>
          <cell r="B691" t="str">
            <v xml:space="preserve">擴展遙控線路接收器 (115/230VAC) </v>
          </cell>
          <cell r="C691">
            <v>582</v>
          </cell>
        </row>
        <row r="692">
          <cell r="A692" t="str">
            <v>LTC8562/50</v>
          </cell>
          <cell r="B692" t="str">
            <v>擴展遙控線路接收器</v>
          </cell>
          <cell r="C692">
            <v>510</v>
          </cell>
        </row>
        <row r="693">
          <cell r="A693" t="str">
            <v>LTC8560/50</v>
          </cell>
          <cell r="B693" t="str">
            <v>擴展遙控線路接收器</v>
          </cell>
          <cell r="C693">
            <v>510</v>
          </cell>
        </row>
        <row r="694">
          <cell r="A694" t="str">
            <v>LTC8566/50</v>
          </cell>
          <cell r="B694" t="str">
            <v>擴展遙控線路接收器</v>
          </cell>
          <cell r="C694">
            <v>673</v>
          </cell>
        </row>
        <row r="695">
          <cell r="A695" t="str">
            <v>LTC8561/50</v>
          </cell>
          <cell r="B695" t="str">
            <v>擴展遙控線路接收器</v>
          </cell>
          <cell r="C695">
            <v>673</v>
          </cell>
        </row>
        <row r="697">
          <cell r="A697" t="str">
            <v xml:space="preserve">信號分支器 </v>
          </cell>
        </row>
        <row r="698">
          <cell r="A698" t="str">
            <v>LTC8568/00</v>
          </cell>
          <cell r="B698" t="str">
            <v>信號分支器 (32路輸出)</v>
          </cell>
          <cell r="C698">
            <v>503</v>
          </cell>
        </row>
        <row r="699">
          <cell r="A699" t="str">
            <v>LTC8768/00</v>
          </cell>
          <cell r="B699" t="str">
            <v>信號分支器 (64路輸出)</v>
          </cell>
          <cell r="C699">
            <v>874</v>
          </cell>
        </row>
        <row r="701">
          <cell r="A701" t="str">
            <v>報警分支器</v>
          </cell>
        </row>
        <row r="702">
          <cell r="A702" t="str">
            <v>LTC8540/00</v>
          </cell>
          <cell r="B702" t="str">
            <v>報警分支器(64路報警輸出)</v>
          </cell>
          <cell r="C702">
            <v>765</v>
          </cell>
        </row>
        <row r="704">
          <cell r="A704" t="str">
            <v xml:space="preserve">控制碼輸出口擴展套件 </v>
          </cell>
        </row>
        <row r="705">
          <cell r="A705" t="str">
            <v>LTC8712/50</v>
          </cell>
          <cell r="B705" t="str">
            <v xml:space="preserve">控制碼輸出口擴展套件 </v>
          </cell>
          <cell r="C705">
            <v>1005</v>
          </cell>
        </row>
        <row r="706">
          <cell r="A706" t="str">
            <v>LTC8713/50</v>
          </cell>
          <cell r="B706" t="str">
            <v xml:space="preserve">報警接口擴展套件  </v>
          </cell>
          <cell r="C706">
            <v>1005</v>
          </cell>
        </row>
        <row r="707">
          <cell r="A707" t="str">
            <v>LTC8714/50</v>
          </cell>
          <cell r="B707" t="str">
            <v xml:space="preserve">鍵盤接口擴展套件  </v>
          </cell>
          <cell r="C707">
            <v>1093</v>
          </cell>
        </row>
        <row r="708">
          <cell r="A708" t="str">
            <v>LTC8715/50</v>
          </cell>
          <cell r="B708" t="str">
            <v xml:space="preserve">擴展接口 </v>
          </cell>
          <cell r="C708">
            <v>1005</v>
          </cell>
        </row>
        <row r="710">
          <cell r="A710" t="str">
            <v xml:space="preserve">代碼合併器 </v>
          </cell>
        </row>
        <row r="711">
          <cell r="A711" t="str">
            <v>LTC8569/50</v>
          </cell>
          <cell r="B711" t="str">
            <v xml:space="preserve">代碼合併器 </v>
          </cell>
          <cell r="C711">
            <v>1289</v>
          </cell>
        </row>
        <row r="712">
          <cell r="A712" t="str">
            <v>LTC8570/50</v>
          </cell>
          <cell r="B712" t="str">
            <v xml:space="preserve">代碼合併器 </v>
          </cell>
          <cell r="C712">
            <v>2032</v>
          </cell>
        </row>
        <row r="713">
          <cell r="A713" t="str">
            <v>LTC8571/50</v>
          </cell>
          <cell r="B713" t="str">
            <v xml:space="preserve">代碼合併器 </v>
          </cell>
          <cell r="C713">
            <v>1486</v>
          </cell>
        </row>
        <row r="714">
          <cell r="A714" t="str">
            <v>LTC8572/50</v>
          </cell>
          <cell r="B714" t="str">
            <v xml:space="preserve">代碼合併器 </v>
          </cell>
          <cell r="C714">
            <v>2032</v>
          </cell>
        </row>
        <row r="716">
          <cell r="A716" t="str">
            <v>轉換器</v>
          </cell>
          <cell r="B716" t="str">
            <v>轉換器</v>
          </cell>
        </row>
        <row r="717">
          <cell r="A717" t="str">
            <v xml:space="preserve">數據轉換器 </v>
          </cell>
          <cell r="B717" t="str">
            <v xml:space="preserve">數據轉換器 </v>
          </cell>
        </row>
        <row r="718">
          <cell r="A718" t="str">
            <v>LTC8780/50</v>
          </cell>
          <cell r="B718" t="str">
            <v xml:space="preserve">串行數據轉換器 </v>
          </cell>
          <cell r="C718">
            <v>791</v>
          </cell>
        </row>
        <row r="719">
          <cell r="A719" t="str">
            <v>LTC8781/50</v>
          </cell>
          <cell r="B719" t="str">
            <v xml:space="preserve">時間, 日期轉換器 </v>
          </cell>
          <cell r="C719">
            <v>1018</v>
          </cell>
        </row>
        <row r="720">
          <cell r="A720" t="str">
            <v>LTC8785/50</v>
          </cell>
          <cell r="B720" t="str">
            <v xml:space="preserve">控制碼轉換器 </v>
          </cell>
          <cell r="C720">
            <v>962</v>
          </cell>
        </row>
        <row r="722">
          <cell r="A722" t="str">
            <v>ALLEGIANT 系統配件</v>
          </cell>
        </row>
        <row r="723">
          <cell r="A723" t="str">
            <v>ALLEGIANT 8500 系統</v>
          </cell>
        </row>
        <row r="724">
          <cell r="A724" t="str">
            <v>LTC8505/50</v>
          </cell>
          <cell r="B724" t="str">
            <v xml:space="preserve">電源供應器 </v>
          </cell>
          <cell r="C724">
            <v>1114</v>
          </cell>
        </row>
        <row r="725">
          <cell r="A725" t="str">
            <v>LTC8511/00</v>
          </cell>
          <cell r="B725" t="str">
            <v xml:space="preserve">中央控制模塊 </v>
          </cell>
          <cell r="C725">
            <v>1399</v>
          </cell>
        </row>
        <row r="726">
          <cell r="A726" t="str">
            <v>LTC8521/00</v>
          </cell>
          <cell r="B726" t="str">
            <v>視頻輸入模塊 (每張卡設8路視頻輸出)</v>
          </cell>
          <cell r="C726">
            <v>371</v>
          </cell>
        </row>
        <row r="727">
          <cell r="A727" t="str">
            <v>LTC8532/00</v>
          </cell>
          <cell r="B727" t="str">
            <v>視頻輸出模塊 (每張卡設2路視頻輸出)</v>
          </cell>
          <cell r="C727">
            <v>787</v>
          </cell>
        </row>
        <row r="728">
          <cell r="A728" t="str">
            <v>LTC8579/00</v>
          </cell>
          <cell r="B728" t="str">
            <v xml:space="preserve">服務擴展卡 </v>
          </cell>
          <cell r="C728">
            <v>219</v>
          </cell>
        </row>
        <row r="730">
          <cell r="A730" t="str">
            <v>ALLEGIANT 8600 系統</v>
          </cell>
        </row>
        <row r="731">
          <cell r="A731" t="str">
            <v>LTC8805/50</v>
          </cell>
          <cell r="B731" t="str">
            <v>ALLEGIANT 8600 系統電源供應器</v>
          </cell>
          <cell r="C731">
            <v>1486</v>
          </cell>
        </row>
        <row r="732">
          <cell r="A732" t="str">
            <v>LTC8610/00</v>
          </cell>
          <cell r="B732">
            <v>0</v>
          </cell>
          <cell r="C732">
            <v>3890</v>
          </cell>
        </row>
        <row r="733">
          <cell r="A733" t="str">
            <v>LTC8779/00</v>
          </cell>
          <cell r="B733">
            <v>0</v>
          </cell>
          <cell r="C733">
            <v>262</v>
          </cell>
        </row>
        <row r="734">
          <cell r="A734" t="str">
            <v>LTC8809/00</v>
          </cell>
          <cell r="B734" t="str">
            <v>視頻電纜</v>
          </cell>
          <cell r="C734">
            <v>144</v>
          </cell>
        </row>
        <row r="735">
          <cell r="A735" t="str">
            <v>LTC8820/00</v>
          </cell>
          <cell r="B735">
            <v>0</v>
          </cell>
          <cell r="C735">
            <v>262</v>
          </cell>
        </row>
        <row r="737">
          <cell r="A737" t="str">
            <v>ALLEGIANT 8800 系統</v>
          </cell>
        </row>
        <row r="738">
          <cell r="A738" t="str">
            <v>LTC8779/00</v>
          </cell>
          <cell r="B738">
            <v>0</v>
          </cell>
          <cell r="C738">
            <v>262</v>
          </cell>
        </row>
        <row r="739">
          <cell r="A739" t="str">
            <v>LTC8805/50</v>
          </cell>
          <cell r="B739" t="str">
            <v>ALLEGIANT 8800 系統電源</v>
          </cell>
          <cell r="C739">
            <v>1486</v>
          </cell>
        </row>
        <row r="740">
          <cell r="A740" t="str">
            <v>LTC8808/00</v>
          </cell>
          <cell r="B740" t="str">
            <v>ALLEGIANT 視頻互連面板</v>
          </cell>
          <cell r="C740">
            <v>295</v>
          </cell>
        </row>
        <row r="741">
          <cell r="A741" t="str">
            <v>LTC8809/00</v>
          </cell>
          <cell r="B741" t="str">
            <v>視頻電纜</v>
          </cell>
          <cell r="C741">
            <v>144</v>
          </cell>
        </row>
        <row r="742">
          <cell r="A742" t="str">
            <v>LTC8810/00</v>
          </cell>
          <cell r="B742" t="str">
            <v xml:space="preserve">中央控制模塊 </v>
          </cell>
          <cell r="C742">
            <v>6556</v>
          </cell>
        </row>
        <row r="744">
          <cell r="A744" t="str">
            <v>視頻傳送</v>
          </cell>
        </row>
        <row r="745">
          <cell r="A745" t="str">
            <v>4200 系列</v>
          </cell>
        </row>
        <row r="746">
          <cell r="A746" t="str">
            <v>LTC4210/50</v>
          </cell>
          <cell r="B746">
            <v>0</v>
          </cell>
          <cell r="C746">
            <v>3628</v>
          </cell>
        </row>
        <row r="747">
          <cell r="A747" t="str">
            <v>LTC4211/50</v>
          </cell>
          <cell r="B747">
            <v>0</v>
          </cell>
          <cell r="C747">
            <v>4851</v>
          </cell>
        </row>
        <row r="748">
          <cell r="A748" t="str">
            <v>LTC4212/00</v>
          </cell>
          <cell r="B748">
            <v>0</v>
          </cell>
          <cell r="C748">
            <v>354</v>
          </cell>
        </row>
        <row r="749">
          <cell r="A749" t="str">
            <v>LTC4213/50</v>
          </cell>
          <cell r="B749" t="str">
            <v>鍵盤</v>
          </cell>
          <cell r="C749">
            <v>2054</v>
          </cell>
        </row>
        <row r="750">
          <cell r="A750" t="str">
            <v>LTC4214/00</v>
          </cell>
          <cell r="B750" t="str">
            <v>搖控輸出模塊</v>
          </cell>
          <cell r="C750">
            <v>197</v>
          </cell>
        </row>
        <row r="751">
          <cell r="A751" t="str">
            <v>LTC4215/50</v>
          </cell>
          <cell r="B751" t="str">
            <v>音頻切換器</v>
          </cell>
          <cell r="C751">
            <v>743</v>
          </cell>
        </row>
        <row r="752">
          <cell r="A752" t="str">
            <v>LTC4216/00</v>
          </cell>
          <cell r="B752" t="str">
            <v>音頻手提機</v>
          </cell>
          <cell r="C752">
            <v>507</v>
          </cell>
        </row>
        <row r="754">
          <cell r="A754" t="str">
            <v>4300 系列</v>
          </cell>
        </row>
        <row r="755">
          <cell r="A755" t="str">
            <v>LTC4301/00</v>
          </cell>
          <cell r="B755" t="str">
            <v>PCMCIA PSTN 數據機</v>
          </cell>
          <cell r="C755">
            <v>273</v>
          </cell>
        </row>
        <row r="756">
          <cell r="A756" t="str">
            <v>LTC4301/05</v>
          </cell>
          <cell r="B756" t="str">
            <v>PCMCIA PSTN 數據機</v>
          </cell>
          <cell r="C756">
            <v>273</v>
          </cell>
        </row>
        <row r="757">
          <cell r="A757" t="str">
            <v>LTC4301/10</v>
          </cell>
          <cell r="B757" t="str">
            <v>PCMCIA PSTN 數據機</v>
          </cell>
          <cell r="C757">
            <v>273</v>
          </cell>
        </row>
        <row r="758">
          <cell r="A758" t="str">
            <v>LTC4304/50</v>
          </cell>
          <cell r="B758" t="str">
            <v>PCMCIA PSTN 數據機</v>
          </cell>
          <cell r="C758">
            <v>1611</v>
          </cell>
        </row>
        <row r="759">
          <cell r="A759" t="str">
            <v>LTC4350/00</v>
          </cell>
          <cell r="B759" t="str">
            <v>PCMCIA PSTN 數據機</v>
          </cell>
          <cell r="C759">
            <v>671</v>
          </cell>
        </row>
        <row r="761">
          <cell r="A761" t="str">
            <v>4600 系列, 光纖發射器</v>
          </cell>
        </row>
        <row r="762">
          <cell r="A762" t="str">
            <v>TC4628BR</v>
          </cell>
          <cell r="B762" t="str">
            <v xml:space="preserve">雙通道發射/接收器 </v>
          </cell>
          <cell r="C762">
            <v>1202</v>
          </cell>
        </row>
        <row r="763">
          <cell r="A763" t="str">
            <v>TC4628BT</v>
          </cell>
          <cell r="B763" t="str">
            <v xml:space="preserve">雙通道發射/接收器 </v>
          </cell>
          <cell r="C763">
            <v>1114</v>
          </cell>
        </row>
        <row r="764">
          <cell r="A764" t="str">
            <v>TC4641</v>
          </cell>
          <cell r="B764" t="str">
            <v xml:space="preserve">視頻訊號發射器 </v>
          </cell>
          <cell r="C764">
            <v>341</v>
          </cell>
        </row>
        <row r="765">
          <cell r="A765" t="str">
            <v>TC4642</v>
          </cell>
          <cell r="B765" t="str">
            <v xml:space="preserve">視頻訊號接收器 </v>
          </cell>
          <cell r="C765">
            <v>448</v>
          </cell>
        </row>
        <row r="766">
          <cell r="A766" t="str">
            <v>TC4651</v>
          </cell>
          <cell r="B766" t="str">
            <v xml:space="preserve">平衡雙相碼發射器  </v>
          </cell>
          <cell r="C766">
            <v>315</v>
          </cell>
        </row>
        <row r="767">
          <cell r="A767" t="str">
            <v>TC4652</v>
          </cell>
          <cell r="B767" t="str">
            <v xml:space="preserve">平衡雙相碼接收器  </v>
          </cell>
          <cell r="C767">
            <v>319</v>
          </cell>
        </row>
        <row r="768">
          <cell r="A768" t="str">
            <v>TC4661</v>
          </cell>
          <cell r="B768" t="str">
            <v xml:space="preserve">雙通道RS232碼發射器 </v>
          </cell>
          <cell r="C768">
            <v>328</v>
          </cell>
        </row>
        <row r="769">
          <cell r="A769" t="str">
            <v>TC4671</v>
          </cell>
          <cell r="B769" t="str">
            <v xml:space="preserve">雙通道RS232碼接收器 </v>
          </cell>
          <cell r="C769">
            <v>490</v>
          </cell>
        </row>
        <row r="771">
          <cell r="A771" t="str">
            <v>4700 系列, 光纖發射器</v>
          </cell>
        </row>
        <row r="772">
          <cell r="A772" t="str">
            <v>TC4741</v>
          </cell>
          <cell r="B772" t="str">
            <v xml:space="preserve">視頻訊號發射器 </v>
          </cell>
          <cell r="C772">
            <v>940</v>
          </cell>
        </row>
        <row r="773">
          <cell r="A773" t="str">
            <v>TC4742</v>
          </cell>
          <cell r="B773" t="str">
            <v xml:space="preserve">視頻訊號接收器 </v>
          </cell>
          <cell r="C773">
            <v>975</v>
          </cell>
        </row>
        <row r="774">
          <cell r="A774" t="str">
            <v>TC4751</v>
          </cell>
          <cell r="B774" t="str">
            <v xml:space="preserve">平衡雙相碼發射器  </v>
          </cell>
          <cell r="C774">
            <v>448</v>
          </cell>
        </row>
        <row r="775">
          <cell r="A775" t="str">
            <v>TC4752</v>
          </cell>
          <cell r="B775" t="str">
            <v xml:space="preserve">平衡雙相碼接收器  </v>
          </cell>
          <cell r="C775">
            <v>448</v>
          </cell>
        </row>
        <row r="776">
          <cell r="A776" t="str">
            <v>TC4761</v>
          </cell>
          <cell r="B776" t="str">
            <v xml:space="preserve">雙通道RS232碼發射器 </v>
          </cell>
          <cell r="C776">
            <v>743</v>
          </cell>
        </row>
        <row r="777">
          <cell r="A777" t="str">
            <v>TC4771</v>
          </cell>
          <cell r="B777" t="str">
            <v xml:space="preserve">雙通道RS232碼接收器 </v>
          </cell>
          <cell r="C777">
            <v>940</v>
          </cell>
        </row>
        <row r="779">
          <cell r="A779" t="str">
            <v>配件</v>
          </cell>
        </row>
        <row r="780">
          <cell r="A780" t="str">
            <v>TC4637X</v>
          </cell>
          <cell r="B780" t="str">
            <v xml:space="preserve">機箱及電源 </v>
          </cell>
          <cell r="C780">
            <v>612</v>
          </cell>
        </row>
        <row r="781">
          <cell r="A781" t="str">
            <v>TC4639-1</v>
          </cell>
          <cell r="B781" t="str">
            <v xml:space="preserve">適配器 </v>
          </cell>
          <cell r="C781">
            <v>87</v>
          </cell>
        </row>
        <row r="782">
          <cell r="A782" t="str">
            <v>TC4639-2</v>
          </cell>
          <cell r="B782" t="str">
            <v xml:space="preserve">適配器 </v>
          </cell>
          <cell r="C782">
            <v>76</v>
          </cell>
        </row>
        <row r="783">
          <cell r="A783" t="str">
            <v>TC4639-3</v>
          </cell>
          <cell r="B783" t="str">
            <v xml:space="preserve">適配器 </v>
          </cell>
          <cell r="C783">
            <v>116</v>
          </cell>
        </row>
        <row r="785">
          <cell r="A785" t="str">
            <v>視頻傳輸系統</v>
          </cell>
        </row>
        <row r="786">
          <cell r="A786" t="str">
            <v>LDH4185/11</v>
          </cell>
          <cell r="B786" t="str">
            <v xml:space="preserve">空面板  </v>
          </cell>
          <cell r="C786">
            <v>36</v>
          </cell>
        </row>
        <row r="787">
          <cell r="A787" t="str">
            <v>LDH4185/18</v>
          </cell>
          <cell r="B787" t="str">
            <v xml:space="preserve">電源模塊 </v>
          </cell>
          <cell r="C787">
            <v>541</v>
          </cell>
        </row>
        <row r="788">
          <cell r="A788" t="str">
            <v>LDH4185/19</v>
          </cell>
          <cell r="B788" t="str">
            <v xml:space="preserve">安裝套件 </v>
          </cell>
          <cell r="C788">
            <v>190</v>
          </cell>
        </row>
        <row r="789">
          <cell r="A789" t="str">
            <v>LDH4187/02</v>
          </cell>
          <cell r="B789" t="str">
            <v xml:space="preserve">線路發射放大器 </v>
          </cell>
          <cell r="C789">
            <v>492</v>
          </cell>
        </row>
        <row r="790">
          <cell r="A790" t="str">
            <v>LDH4187/04</v>
          </cell>
          <cell r="B790" t="str">
            <v xml:space="preserve">線路中繼放大器 </v>
          </cell>
          <cell r="C790">
            <v>703</v>
          </cell>
        </row>
        <row r="791">
          <cell r="A791" t="str">
            <v>LDH4187/06</v>
          </cell>
          <cell r="B791" t="str">
            <v xml:space="preserve">線路接收器 </v>
          </cell>
          <cell r="C791">
            <v>770</v>
          </cell>
        </row>
        <row r="792">
          <cell r="A792" t="str">
            <v>LDH4187/08</v>
          </cell>
          <cell r="B792" t="str">
            <v xml:space="preserve">雙線路接收器 </v>
          </cell>
          <cell r="C792">
            <v>917</v>
          </cell>
        </row>
        <row r="793">
          <cell r="A793" t="str">
            <v>LDH4187/10</v>
          </cell>
          <cell r="B793" t="str">
            <v xml:space="preserve">19"機架 </v>
          </cell>
          <cell r="C793">
            <v>235</v>
          </cell>
        </row>
        <row r="794">
          <cell r="A794" t="str">
            <v>LDH4187/12</v>
          </cell>
          <cell r="B794" t="str">
            <v xml:space="preserve">發射器安裝套件 </v>
          </cell>
          <cell r="C794">
            <v>246</v>
          </cell>
        </row>
        <row r="795">
          <cell r="A795" t="str">
            <v>LDH4187/16</v>
          </cell>
          <cell r="B795" t="str">
            <v xml:space="preserve">接收器安裝套件 </v>
          </cell>
          <cell r="C795">
            <v>246</v>
          </cell>
        </row>
        <row r="796">
          <cell r="A796" t="str">
            <v>LDH4187/18</v>
          </cell>
          <cell r="B796" t="str">
            <v xml:space="preserve">雙工接收器安裝套件 </v>
          </cell>
          <cell r="C796">
            <v>246</v>
          </cell>
        </row>
        <row r="797">
          <cell r="A797" t="str">
            <v>LDH4187/20</v>
          </cell>
          <cell r="B797" t="str">
            <v xml:space="preserve">全天候防護罩 </v>
          </cell>
          <cell r="C797">
            <v>738</v>
          </cell>
        </row>
        <row r="798">
          <cell r="A798" t="str">
            <v>LDH4187/22</v>
          </cell>
          <cell r="B798" t="str">
            <v xml:space="preserve">全天候防護罩 </v>
          </cell>
          <cell r="C798">
            <v>336</v>
          </cell>
        </row>
        <row r="799">
          <cell r="A799" t="str">
            <v>LDH4187/30</v>
          </cell>
          <cell r="B799" t="str">
            <v xml:space="preserve">一套10根電纜 </v>
          </cell>
          <cell r="C799">
            <v>166</v>
          </cell>
        </row>
        <row r="800">
          <cell r="A800" t="str">
            <v>LTC4370/50</v>
          </cell>
          <cell r="B800" t="str">
            <v>4 頻道解碼器</v>
          </cell>
          <cell r="C800">
            <v>559</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物业管理"/>
      <sheetName val="经营利润表-明细-5-1-CRLD250000租务"/>
      <sheetName val="经营利润表-明细-5-1-CRLD260000其他收入"/>
      <sheetName val="经营利润表-明细-5-1-CRLD270000会所"/>
      <sheetName val="经营利润表-明细-5-1-CRLD620000"/>
      <sheetName val="经营利润表-明细-物业销售-上海"/>
      <sheetName val="经营利润表-明细-物业管理-上海"/>
      <sheetName val="经营利润表-明细-租金收入-上海"/>
      <sheetName val="经营利润表-明细-5-1-CRLD630000"/>
      <sheetName val="经营利润表-明细-物业销售-成都"/>
      <sheetName val="经营利润表-明细-物业管理-成都"/>
      <sheetName val="经营利润表-明细-租金收入-成都"/>
      <sheetName val="经营利润表-明细-5-1-CRLD640000"/>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一般及行政费用分析表-11"/>
      <sheetName val="一般及行政费用-明细-11-1"/>
      <sheetName val="销售及分销费用分析表-14"/>
      <sheetName val="销售及分销费用-明细-14-1"/>
      <sheetName val="其它经营费用分析表-15"/>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它经营收入分析表-20"/>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其它非经营性收入及支出分析表-23"/>
      <sheetName val="财务收支分析表-24"/>
      <sheetName val="土地储备表"/>
      <sheetName val="资产负债表-26"/>
      <sheetName val="资金情怳表-27"/>
      <sheetName val="应收帐款周转天数表-按利润中心-29"/>
      <sheetName val="资本性支出表-35"/>
      <sheetName val="现金流量表-45"/>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三年综述表-115"/>
      <sheetName val="Validation"/>
      <sheetName val="99CCTV"/>
      <sheetName val="成本测算"/>
      <sheetName val="经营利润表-明细-5-1-CRɌ"/>
      <sheetName val="经营利润表-明细-5-1-"/>
      <sheetName val="Aging Datasheet"/>
      <sheetName val="ECCS_1 DataSheet"/>
      <sheetName val="KPI Datasheet"/>
      <sheetName val="经营利润表-明细-5-1-CRɌ_x0000_᠀ᕻ_x0000__x0000_Ā_x0000_礈务"/>
      <sheetName val="经营利润表-明细-5-1-_x0000__x0000_Lܒヴ1䛚甤つܱ3_x0000_3_x0000_"/>
      <sheetName val="面积指标"/>
      <sheetName val="写字楼B"/>
      <sheetName val="资产负债表"/>
      <sheetName val="华房01"/>
      <sheetName val="健翔01"/>
      <sheetName val="京通01"/>
      <sheetName val="银行借款询证"/>
      <sheetName val="物业服务收入"/>
      <sheetName val="基础数据2"/>
      <sheetName val="经营利润表-明细-5-1-CRɌ_x005f_x0000_᠀ᕻ_x0000"/>
      <sheetName val="经营利润表-明细-5-1-_x005f_x0000__x005f_x0000_Lܒヴ1"/>
      <sheetName val="经营利润表-明细-5-1-CRɌ_x005f_x005f_x005f_x0000_᠀ᕻ"/>
      <sheetName val="经营利润表-明细-5-1-_x005f_x005f_x005f_x0000__x005"/>
      <sheetName val="POWER ASSUMPTIONS"/>
    </sheetNames>
    <sheetDataSet>
      <sheetData sheetId="0" refreshError="1"/>
      <sheetData sheetId="1" refreshError="1">
        <row r="1">
          <cell r="A1" t="str">
            <v>华润(集团)有限公司</v>
          </cell>
        </row>
        <row r="2">
          <cell r="CA2" t="str">
            <v>预算报告</v>
          </cell>
        </row>
        <row r="3">
          <cell r="CA3" t="str">
            <v>HKD</v>
          </cell>
        </row>
        <row r="4">
          <cell r="B4" t="str">
            <v>CRLD990000 华润置地</v>
          </cell>
          <cell r="CA4" t="str">
            <v>(2003-2005)</v>
          </cell>
        </row>
      </sheetData>
      <sheetData sheetId="2" refreshError="1"/>
      <sheetData sheetId="3" refreshError="1"/>
      <sheetData sheetId="4" refreshError="1"/>
      <sheetData sheetId="5" refreshError="1"/>
      <sheetData sheetId="6"/>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6" zoomScale="80" zoomScaleNormal="80" workbookViewId="0">
      <selection activeCell="B64" sqref="B64"/>
    </sheetView>
  </sheetViews>
  <sheetFormatPr defaultRowHeight="14.25"/>
  <cols>
    <col min="1" max="1" width="35.625" style="1514" customWidth="1"/>
    <col min="2" max="2" width="81" style="1531" customWidth="1"/>
    <col min="3" max="16384" width="9" style="1529"/>
  </cols>
  <sheetData>
    <row r="1" spans="1:2" s="1517" customFormat="1" ht="16.5" thickBot="1">
      <c r="A1" s="1516" t="s">
        <v>1219</v>
      </c>
      <c r="B1" s="1515" t="s">
        <v>1298</v>
      </c>
    </row>
    <row r="2" spans="1:2" s="1520" customFormat="1" ht="15" thickTop="1">
      <c r="A2" s="1518" t="s">
        <v>1220</v>
      </c>
      <c r="B2" s="1519" t="str">
        <f>'预评函-封皮'!B37:I37</f>
        <v>上海市松江区泗泾镇7街坊4/20丘“融创壹号府”居住项目出让国有建设用地使用权及在建建筑物房地产抵押价值预评估</v>
      </c>
    </row>
    <row r="3" spans="1:2" s="1523" customFormat="1">
      <c r="A3" s="1521" t="s">
        <v>1221</v>
      </c>
      <c r="B3" s="1522" t="str">
        <f>'预评函-封皮'!B40</f>
        <v>中诚信托有限责任公司</v>
      </c>
    </row>
    <row r="4" spans="1:2" s="1523" customFormat="1">
      <c r="A4" s="1521" t="s">
        <v>1222</v>
      </c>
      <c r="B4" s="1522" t="str">
        <f ca="1">'预评函-封皮'!B46</f>
        <v>郑燚（注册号：1120070131)、王鹏（注册号：1120050019)</v>
      </c>
    </row>
    <row r="5" spans="1:2" s="1517" customFormat="1" ht="15" thickBot="1">
      <c r="A5" s="1524" t="s">
        <v>1223</v>
      </c>
      <c r="B5" s="1525" t="str">
        <f>'预评函-封皮'!B49</f>
        <v>康正预评字2018-1-0489-P01DYGJ3号</v>
      </c>
    </row>
    <row r="6" spans="1:2" s="1520" customFormat="1" ht="15" thickTop="1">
      <c r="A6" s="1518" t="s">
        <v>1224</v>
      </c>
      <c r="B6" s="1519" t="str">
        <f>'预评函-1'!A4</f>
        <v>受贵公司委托，我公司对上海市松江区泗泾镇7街坊4/20丘“融创壹号府”居住项目出让国有建设用地使用权及在建建筑物房地产抵押价值进行了预评估。</v>
      </c>
    </row>
    <row r="7" spans="1:2" s="1523" customFormat="1">
      <c r="A7" s="1521" t="s">
        <v>1264</v>
      </c>
      <c r="B7" s="1522" t="str">
        <f>'预评函-1'!A7</f>
        <v>估价对象为上海市松江区泗泾镇7街坊4/20丘“融创壹号府”居住项目出让国有建设用地使用权及在建建筑物房地产，为上海融创天衡置业有限公司所有。根据《房地产权证》[沪房地松字（2016）第043248号]，估价对象（分摊）出让国有建设用地使用权面积为43598.5平方米。根据《建设工程规划许可证》[沪松建（2017）FA31011720174170号]，估价对象建筑面积为119454.59平方米。</v>
      </c>
    </row>
    <row r="8" spans="1:2" s="1523" customFormat="1">
      <c r="A8" s="1521" t="s">
        <v>1265</v>
      </c>
      <c r="B8" s="1522" t="str">
        <f>'预评函-1'!A8</f>
        <v>估价对象简述。项目推广名，项目类型（用途），估价对象分布，各用途面积明细情况：XX用途建筑面积XX平方米，XX用途建筑面积XX平方米，……。复杂面积清单需设‘附表’列示：抵押物清单详见附表</v>
      </c>
    </row>
    <row r="9" spans="1:2" s="1523" customFormat="1">
      <c r="A9" s="1521" t="s">
        <v>1266</v>
      </c>
      <c r="B9" s="1522" t="str">
        <f>'预评函-1'!A10</f>
        <v>估价对象为上海市松江区泗泾镇7街坊4/20丘“融创壹号府”居住项目出让国有建设用地使用权及在建建筑物房地产,为上海融创天衡置业有限公司开发建设的居住项目，该项目尚在开发建设中。根据《房地产权证》[沪房地松字（2016）第043248号]，估价对象（分摊）出让国有建设用地使用权面积为43598.5平方米。根据《建设工程规划许可证》[沪松建（2017）FA31011720174170号]，估价对象规划建筑面积为119454.59平方米。</v>
      </c>
    </row>
    <row r="10" spans="1:2" s="1523" customFormat="1">
      <c r="A10" s="1521" t="s">
        <v>1267</v>
      </c>
      <c r="B10" s="15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23" customFormat="1">
      <c r="A11" s="1521" t="s">
        <v>1225</v>
      </c>
      <c r="B11" s="1522" t="str">
        <f>'预评函-1'!A13</f>
        <v>上海融创天衡置业有限公司拟使用上海市松江区泗泾镇7街坊4/20丘“融创壹号府”居住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23" customFormat="1">
      <c r="A12" s="1521" t="s">
        <v>1226</v>
      </c>
      <c r="B12" s="1522" t="str">
        <f>'预评函-1'!A15</f>
        <v>2018年7月3日（评估专业人员实地查勘之日）</v>
      </c>
    </row>
    <row r="13" spans="1:2" s="1523" customFormat="1">
      <c r="A13" s="1521" t="s">
        <v>1227</v>
      </c>
      <c r="B13" s="1522" t="str">
        <f>'预评函-1'!A18</f>
        <v>本次估价的“房地产价值”是指在正常市场情况下，在价值时点2018年7月3日，估价对象规划用途为住宅、地下车库，土地取得方式为出让，出让国有建设用地使用权剩余土地使用年限为住宅68年、地下车库48年，假定未设立法定优先受偿款下的房地产市场价值。</v>
      </c>
    </row>
    <row r="14" spans="1:2" s="1523" customFormat="1">
      <c r="A14" s="1521" t="s">
        <v>1228</v>
      </c>
      <c r="B14" s="1522" t="str">
        <f>'预评函-1'!A19</f>
        <v>其中，“出让国有建设用地使用权价值”是指估价对象用途为住宅、地下车库，实际开发程度为宗地红线外“六通”（即通路、通电、通讯、通上水、通下水、燃气）、红线内场地平整条件下，剩余土地使用年限为住宅68年、地下车库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23" customFormat="1">
      <c r="A15" s="1521" t="s">
        <v>1229</v>
      </c>
      <c r="B15" s="1522" t="str">
        <f>'预评函-1'!A20</f>
        <v>本次估价的“抵押担保权已注销时的房地产抵押价值”是指估价对象在价值时点的“房地产价值”扣减估价师于价值时点所知悉的除抵押担保权以外的其他法定优先受偿款后的余额。</v>
      </c>
    </row>
    <row r="16" spans="1:2" s="1523" customFormat="1">
      <c r="A16" s="1521" t="s">
        <v>1230</v>
      </c>
      <c r="B16" s="15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23" customFormat="1">
      <c r="A17" s="1521" t="s">
        <v>1231</v>
      </c>
      <c r="B17" s="15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17" customFormat="1" ht="15" thickBot="1">
      <c r="A18" s="1524" t="s">
        <v>1232</v>
      </c>
      <c r="B18" s="1525" t="str">
        <f>'预评函-1'!A24</f>
        <v>本次评估采用的主估价方法为成本法和假设开发法。</v>
      </c>
    </row>
    <row r="19" spans="1:2" s="1520" customFormat="1" ht="15" thickTop="1">
      <c r="A19" s="1518" t="s">
        <v>1233</v>
      </c>
      <c r="B19" s="15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23" customFormat="1">
      <c r="A20" s="1521" t="s">
        <v>1234</v>
      </c>
      <c r="B20" s="1522">
        <f ca="1">'预评函-2'!D5</f>
        <v>337651</v>
      </c>
    </row>
    <row r="21" spans="1:2" s="1523" customFormat="1">
      <c r="A21" s="1521" t="s">
        <v>1235</v>
      </c>
      <c r="B21" s="1522">
        <f ca="1">'预评函-2'!D7</f>
        <v>28266</v>
      </c>
    </row>
    <row r="22" spans="1:2" s="1523" customFormat="1">
      <c r="A22" s="1521" t="s">
        <v>1236</v>
      </c>
      <c r="B22" s="1522" t="str">
        <f ca="1">'预评函-2'!D6</f>
        <v>叁拾叁亿柒仟陆佰伍拾壹万元整</v>
      </c>
    </row>
    <row r="23" spans="1:2" s="1523" customFormat="1">
      <c r="A23" s="1521" t="s">
        <v>1287</v>
      </c>
      <c r="B23" s="1522" t="str">
        <f>'预评函-2'!B8</f>
        <v>2.估价师知悉的法定优先受偿款</v>
      </c>
    </row>
    <row r="24" spans="1:2" s="1523" customFormat="1">
      <c r="A24" s="1521" t="s">
        <v>1293</v>
      </c>
      <c r="B24" s="1522">
        <f>'预评函-2'!D8</f>
        <v>16404</v>
      </c>
    </row>
    <row r="25" spans="1:2" s="1523" customFormat="1">
      <c r="A25" s="1521" t="s">
        <v>1237</v>
      </c>
      <c r="B25" s="1522" t="str">
        <f>'预评函-2'!D9</f>
        <v>壹亿陆仟肆佰零肆万元整</v>
      </c>
    </row>
    <row r="26" spans="1:2" s="1523" customFormat="1">
      <c r="A26" s="1521" t="s">
        <v>1238</v>
      </c>
      <c r="B26" s="1522">
        <f>'预评函-2'!D10</f>
        <v>0</v>
      </c>
    </row>
    <row r="27" spans="1:2" s="1523" customFormat="1">
      <c r="A27" s="1521" t="s">
        <v>1239</v>
      </c>
      <c r="B27" s="1522">
        <f>'预评函-2'!D11</f>
        <v>0</v>
      </c>
    </row>
    <row r="28" spans="1:2" s="1523" customFormat="1">
      <c r="A28" s="1521" t="s">
        <v>1240</v>
      </c>
      <c r="B28" s="1522">
        <f>'预评函-2'!D12</f>
        <v>16404</v>
      </c>
    </row>
    <row r="29" spans="1:2" s="1523" customFormat="1">
      <c r="A29" s="1521" t="s">
        <v>1291</v>
      </c>
      <c r="B29" s="1522" t="str">
        <f>'预评函-2'!B13</f>
        <v>——</v>
      </c>
    </row>
    <row r="30" spans="1:2" s="1523" customFormat="1">
      <c r="A30" s="1521" t="s">
        <v>1292</v>
      </c>
      <c r="B30" s="1522" t="str">
        <f>'预评函-2'!D13</f>
        <v>——</v>
      </c>
    </row>
    <row r="31" spans="1:2" s="1523" customFormat="1">
      <c r="A31" s="1521" t="s">
        <v>1274</v>
      </c>
      <c r="B31" s="1522" t="e">
        <f>'预评函-2'!D15</f>
        <v>#VALUE!</v>
      </c>
    </row>
    <row r="32" spans="1:2" s="1523" customFormat="1">
      <c r="A32" s="1521" t="s">
        <v>1241</v>
      </c>
      <c r="B32" s="1522" t="e">
        <f>'预评函-2'!D14</f>
        <v>#VALUE!</v>
      </c>
    </row>
    <row r="33" spans="1:2" s="1523" customFormat="1">
      <c r="A33" s="1521" t="s">
        <v>1276</v>
      </c>
      <c r="B33" s="1522" t="str">
        <f>'预评函-2'!B16</f>
        <v>3.抵押担保权已注销时的房地产抵押价值</v>
      </c>
    </row>
    <row r="34" spans="1:2" s="1523" customFormat="1">
      <c r="A34" s="1521" t="s">
        <v>1294</v>
      </c>
      <c r="B34" s="1522">
        <f ca="1">'预评函-2'!D16</f>
        <v>321247</v>
      </c>
    </row>
    <row r="35" spans="1:2" s="1523" customFormat="1">
      <c r="A35" s="1521" t="s">
        <v>1275</v>
      </c>
      <c r="B35" s="1522">
        <f ca="1">'预评函-2'!D18</f>
        <v>26893</v>
      </c>
    </row>
    <row r="36" spans="1:2" s="1523" customFormat="1">
      <c r="A36" s="1521" t="s">
        <v>1242</v>
      </c>
      <c r="B36" s="1522" t="str">
        <f ca="1">'预评函-2'!D17</f>
        <v>叁拾贰亿壹仟贰佰肆拾柒万元整</v>
      </c>
    </row>
    <row r="37" spans="1:2" s="1523" customFormat="1">
      <c r="A37" s="1521" t="s">
        <v>1277</v>
      </c>
      <c r="B37" s="1522" t="str">
        <f>'预评函-2'!B19</f>
        <v>——</v>
      </c>
    </row>
    <row r="38" spans="1:2" s="1523" customFormat="1">
      <c r="A38" s="1521" t="s">
        <v>1295</v>
      </c>
      <c r="B38" s="1522" t="str">
        <f>'预评函-2'!D19</f>
        <v>——</v>
      </c>
    </row>
    <row r="39" spans="1:2" s="1523" customFormat="1">
      <c r="A39" s="1521" t="s">
        <v>1243</v>
      </c>
      <c r="B39" s="1522" t="str">
        <f>'预评函-2'!D21</f>
        <v>——</v>
      </c>
    </row>
    <row r="40" spans="1:2" s="1523" customFormat="1">
      <c r="A40" s="1521" t="s">
        <v>1244</v>
      </c>
      <c r="B40" s="1522" t="e">
        <f>'预评函-2'!D20</f>
        <v>#VALUE!</v>
      </c>
    </row>
    <row r="41" spans="1:2" s="1523" customFormat="1">
      <c r="A41" s="1521" t="s">
        <v>1290</v>
      </c>
      <c r="B41" s="1522" t="str">
        <f>'预评函-3'!A4</f>
        <v>上海市松江区泗泾镇7街坊4/20丘“融创壹号府”居住项目出让国有建设用地使用权及在建建筑物房地产</v>
      </c>
    </row>
    <row r="42" spans="1:2" s="1523" customFormat="1">
      <c r="A42" s="1521" t="s">
        <v>1288</v>
      </c>
      <c r="B42" s="1522" t="str">
        <f>'预评函-3'!B2</f>
        <v>建筑面积</v>
      </c>
    </row>
    <row r="43" spans="1:2" s="1523" customFormat="1">
      <c r="A43" s="1521" t="s">
        <v>1289</v>
      </c>
      <c r="B43" s="1522">
        <f>'预评函-3'!B4</f>
        <v>119454.59</v>
      </c>
    </row>
    <row r="44" spans="1:2" s="1523" customFormat="1">
      <c r="A44" s="1521" t="s">
        <v>1273</v>
      </c>
      <c r="B44" s="1522" t="str">
        <f>'预评函-3'!C2</f>
        <v>(分摊)土地面积</v>
      </c>
    </row>
    <row r="45" spans="1:2" s="1523" customFormat="1">
      <c r="A45" s="1521" t="s">
        <v>1245</v>
      </c>
      <c r="B45" s="1522">
        <f>'预评函-3'!C4</f>
        <v>43598.5</v>
      </c>
    </row>
    <row r="46" spans="1:2" s="1523" customFormat="1">
      <c r="A46" s="1521" t="s">
        <v>1271</v>
      </c>
      <c r="B46" s="1522" t="str">
        <f>'预评函-3'!D2</f>
        <v>出让国有建设用地使用权价值</v>
      </c>
    </row>
    <row r="47" spans="1:2" s="1523" customFormat="1">
      <c r="A47" s="1521" t="s">
        <v>1246</v>
      </c>
      <c r="B47" s="1522">
        <f ca="1">'预评函-3'!D4</f>
        <v>305237</v>
      </c>
    </row>
    <row r="48" spans="1:2" s="1523" customFormat="1">
      <c r="A48" s="1521" t="s">
        <v>1247</v>
      </c>
      <c r="B48" s="1522">
        <f ca="1">'预评函-3'!E4</f>
        <v>25553</v>
      </c>
    </row>
    <row r="49" spans="1:2" s="1523" customFormat="1">
      <c r="A49" s="1521" t="s">
        <v>1248</v>
      </c>
      <c r="B49" s="1522" t="str">
        <f ca="1">'预评函-3'!D5</f>
        <v>叁拾亿伍仟贰佰叁拾柒万元整</v>
      </c>
    </row>
    <row r="50" spans="1:2" s="1523" customFormat="1">
      <c r="A50" s="1521" t="s">
        <v>1272</v>
      </c>
      <c r="B50" s="1522" t="str">
        <f>'预评函-3'!F2</f>
        <v>在建建筑物价值</v>
      </c>
    </row>
    <row r="51" spans="1:2" s="1523" customFormat="1">
      <c r="A51" s="1521" t="s">
        <v>1249</v>
      </c>
      <c r="B51" s="1522">
        <f ca="1">'预评函-3'!F4</f>
        <v>32414</v>
      </c>
    </row>
    <row r="52" spans="1:2" s="1523" customFormat="1">
      <c r="A52" s="1521" t="s">
        <v>1250</v>
      </c>
      <c r="B52" s="1522">
        <f ca="1">'预评函-3'!G4</f>
        <v>2713</v>
      </c>
    </row>
    <row r="53" spans="1:2" s="1523" customFormat="1">
      <c r="A53" s="1521" t="s">
        <v>1278</v>
      </c>
      <c r="B53" s="1522" t="str">
        <f ca="1">'预评函-3'!F5</f>
        <v>叁亿贰仟肆佰壹拾肆万元整</v>
      </c>
    </row>
    <row r="54" spans="1:2" s="1523" customFormat="1">
      <c r="A54" s="1521" t="s">
        <v>1296</v>
      </c>
      <c r="B54" s="1522" t="str">
        <f>'预评函-3'!A8</f>
        <v/>
      </c>
    </row>
    <row r="55" spans="1:2" s="1523" customFormat="1">
      <c r="A55" s="1521" t="s">
        <v>1279</v>
      </c>
      <c r="B55" s="1522" t="str">
        <f>'预评函-3'!A10</f>
        <v>抵押担保权已注销时的房地产抵押价值</v>
      </c>
    </row>
    <row r="56" spans="1:2" s="1523" customFormat="1">
      <c r="A56" s="1521" t="s">
        <v>1280</v>
      </c>
      <c r="B56" s="1522" t="str">
        <f>'预评函-3'!A12</f>
        <v/>
      </c>
    </row>
    <row r="57" spans="1:2" s="1517" customFormat="1" ht="15" thickBot="1">
      <c r="A57" s="1524" t="s">
        <v>1297</v>
      </c>
      <c r="B57" s="1525" t="str">
        <f>'预评函-3'!A6</f>
        <v>估价师知悉的法定优先受偿款</v>
      </c>
    </row>
    <row r="58" spans="1:2" s="1520" customFormat="1" ht="15" thickTop="1">
      <c r="A58" s="1518" t="s">
        <v>1251</v>
      </c>
      <c r="B58" s="1519" t="str">
        <f>'预评函-4'!A12</f>
        <v>2.本《评估意见函》仅供金融机构进行内部审核使用，不做其他目的之用。</v>
      </c>
    </row>
    <row r="59" spans="1:2" s="1523" customFormat="1">
      <c r="A59" s="1521" t="s">
        <v>1252</v>
      </c>
      <c r="B59" s="1522" t="str">
        <f>'预评函-4'!A13</f>
        <v>3.抵押双方在办理抵押登记手续时，应使用本公司出具的正式《房地产评估报告》，特提醒报告使用者注意。</v>
      </c>
    </row>
    <row r="60" spans="1:2" s="1523" customFormat="1">
      <c r="A60" s="1521" t="s">
        <v>1253</v>
      </c>
      <c r="B60" s="1522" t="str">
        <f>'预评函-4'!A14</f>
        <v>4.本次评估估价师所知悉的法定优先受偿款情况说明如下：</v>
      </c>
    </row>
    <row r="61" spans="1:2" s="1523" customFormat="1">
      <c r="A61" s="1521" t="s">
        <v>1254</v>
      </c>
      <c r="B61" s="1522"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23" customFormat="1">
      <c r="A62" s="1521" t="s">
        <v>1255</v>
      </c>
      <c r="B62" s="1522" t="str">
        <f>'预评函-4'!A16</f>
        <v>（2）根据《工程款支付情况说明》，截至价值时点，估价对象不存在应付未付工程款项。（只要没有施工方盖章的，均“设定”进行表述）</v>
      </c>
    </row>
    <row r="63" spans="1:2" s="1523" customFormat="1">
      <c r="A63" s="1521" t="s">
        <v>1256</v>
      </c>
      <c r="B63" s="15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23" customFormat="1">
      <c r="A64" s="1521" t="s">
        <v>1268</v>
      </c>
      <c r="B64" s="1522" t="str">
        <f>'预评函-4'!A18</f>
        <v>故，本次评估估价师知悉的法定优先受偿款为人民币16404万元整。</v>
      </c>
    </row>
    <row r="65" spans="1:2" s="1523" customFormat="1">
      <c r="A65" s="1521" t="s">
        <v>1257</v>
      </c>
      <c r="B65" s="15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23" customFormat="1">
      <c r="A66" s="1521" t="s">
        <v>1258</v>
      </c>
      <c r="B66" s="15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23" customFormat="1">
      <c r="A67" s="1521" t="s">
        <v>1269</v>
      </c>
      <c r="B67" s="15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23" customFormat="1">
      <c r="A68" s="1521" t="s">
        <v>1270</v>
      </c>
      <c r="B68" s="1522" t="str">
        <f>'预评函-4'!A22</f>
        <v>8.其他需特殊说明事项：无（注意调整序号）</v>
      </c>
    </row>
    <row r="69" spans="1:2" s="1517" customFormat="1" ht="15" thickBot="1">
      <c r="A69" s="1524" t="s">
        <v>1259</v>
      </c>
      <c r="B69" s="1526">
        <f>'预评函-4'!C31</f>
        <v>42551</v>
      </c>
    </row>
    <row r="70" spans="1:2" ht="15" thickTop="1">
      <c r="A70" s="1527" t="s">
        <v>1260</v>
      </c>
      <c r="B70" s="1528" t="str">
        <f>'预评函-4'!A4</f>
        <v>郑燚</v>
      </c>
    </row>
    <row r="71" spans="1:2">
      <c r="A71" s="1521" t="s">
        <v>1261</v>
      </c>
      <c r="B71" s="1522">
        <f ca="1">'预评函-4'!B4</f>
        <v>1120070131</v>
      </c>
    </row>
    <row r="72" spans="1:2">
      <c r="A72" s="1521" t="s">
        <v>1262</v>
      </c>
      <c r="B72" s="1530" t="str">
        <f>'预评函-4'!A5</f>
        <v>王鹏</v>
      </c>
    </row>
    <row r="73" spans="1:2" s="1517" customFormat="1" ht="15" thickBot="1">
      <c r="A73" s="1524" t="s">
        <v>1263</v>
      </c>
      <c r="B73" s="1525">
        <f ca="1">'预评函-4'!B5</f>
        <v>1120050019</v>
      </c>
    </row>
    <row r="74" spans="1:2" ht="15" thickTop="1">
      <c r="A74" s="1514" t="s">
        <v>1299</v>
      </c>
      <c r="B74" s="153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4" sqref="B14"/>
    </sheetView>
  </sheetViews>
  <sheetFormatPr defaultRowHeight="13.5"/>
  <cols>
    <col min="1" max="1" width="13.5" style="1950" customWidth="1"/>
    <col min="2" max="2" width="23.25" style="1901" customWidth="1"/>
    <col min="3" max="3" width="13" style="1945" hidden="1" customWidth="1"/>
    <col min="4" max="4" width="5.75" style="1942" hidden="1" customWidth="1"/>
    <col min="5" max="5" width="7.125" style="1942" hidden="1" customWidth="1"/>
    <col min="6" max="6" width="10.625" style="1942" hidden="1" customWidth="1"/>
    <col min="7" max="7" width="7.5" style="1942" hidden="1" customWidth="1"/>
    <col min="8" max="8" width="9" style="1945" hidden="1" customWidth="1"/>
    <col min="9" max="9" width="11.625" style="1945" hidden="1" customWidth="1"/>
    <col min="10" max="10" width="9" style="1945" hidden="1" customWidth="1"/>
    <col min="11" max="19" width="9" style="1942" hidden="1" customWidth="1"/>
    <col min="20" max="22" width="9" style="1945" hidden="1" customWidth="1"/>
    <col min="23" max="23" width="9" style="1945" customWidth="1"/>
    <col min="24" max="24" width="21.125" style="1901" customWidth="1"/>
    <col min="25" max="16384" width="9" style="1901"/>
  </cols>
  <sheetData>
    <row r="1" spans="1:23" s="1939" customFormat="1" ht="27">
      <c r="A1" s="1933" t="s">
        <v>71</v>
      </c>
      <c r="B1" s="1934" t="s">
        <v>1690</v>
      </c>
      <c r="C1" s="1935" t="s">
        <v>759</v>
      </c>
      <c r="D1" s="1936" t="s">
        <v>1691</v>
      </c>
      <c r="E1" s="1936" t="s">
        <v>1692</v>
      </c>
      <c r="F1" s="1936" t="s">
        <v>1693</v>
      </c>
      <c r="G1" s="1936" t="s">
        <v>1694</v>
      </c>
      <c r="H1" s="1936" t="s">
        <v>1695</v>
      </c>
      <c r="I1" s="1936" t="s">
        <v>1696</v>
      </c>
      <c r="J1" s="1936" t="s">
        <v>1697</v>
      </c>
      <c r="K1" s="1936" t="s">
        <v>1698</v>
      </c>
      <c r="L1" s="1936" t="s">
        <v>1699</v>
      </c>
      <c r="M1" s="1936" t="s">
        <v>1700</v>
      </c>
      <c r="N1" s="1936" t="s">
        <v>1701</v>
      </c>
      <c r="O1" s="1936" t="s">
        <v>1702</v>
      </c>
      <c r="P1" s="1937" t="s">
        <v>753</v>
      </c>
      <c r="Q1" s="1937" t="s">
        <v>1144</v>
      </c>
      <c r="R1" s="1936" t="s">
        <v>1138</v>
      </c>
      <c r="S1" s="1936" t="s">
        <v>1703</v>
      </c>
      <c r="T1" s="1938" t="s">
        <v>1704</v>
      </c>
      <c r="U1" s="1936" t="s">
        <v>1705</v>
      </c>
      <c r="V1" s="1936" t="s">
        <v>1706</v>
      </c>
      <c r="W1" s="1936" t="s">
        <v>755</v>
      </c>
    </row>
    <row r="2" spans="1:23">
      <c r="A2" s="1940" t="s">
        <v>22</v>
      </c>
      <c r="B2" s="1940" t="s">
        <v>1707</v>
      </c>
      <c r="C2" s="1941" t="s">
        <v>760</v>
      </c>
      <c r="D2" s="1942" t="s">
        <v>1708</v>
      </c>
      <c r="E2" s="1942" t="s">
        <v>1709</v>
      </c>
      <c r="F2" s="1942" t="s">
        <v>1710</v>
      </c>
      <c r="G2" s="1942">
        <v>40</v>
      </c>
      <c r="H2" s="1942" t="s">
        <v>1710</v>
      </c>
      <c r="I2" s="1942" t="s">
        <v>1711</v>
      </c>
      <c r="J2" s="1942" t="s">
        <v>1712</v>
      </c>
      <c r="K2" s="1942" t="s">
        <v>1713</v>
      </c>
      <c r="L2" s="1942" t="s">
        <v>1713</v>
      </c>
      <c r="M2" s="1942" t="s">
        <v>1713</v>
      </c>
      <c r="N2" s="1942" t="s">
        <v>1713</v>
      </c>
      <c r="O2" s="1942" t="s">
        <v>1713</v>
      </c>
      <c r="P2" s="1942" t="s">
        <v>1713</v>
      </c>
      <c r="Q2" s="1942" t="s">
        <v>1713</v>
      </c>
      <c r="R2" s="1942" t="s">
        <v>1140</v>
      </c>
      <c r="S2" s="1942" t="s">
        <v>1713</v>
      </c>
      <c r="T2" s="1942" t="s">
        <v>1714</v>
      </c>
      <c r="U2" s="1942" t="s">
        <v>1713</v>
      </c>
      <c r="V2" s="1942" t="s">
        <v>1715</v>
      </c>
      <c r="W2" s="1942" t="s">
        <v>1713</v>
      </c>
    </row>
    <row r="3" spans="1:23">
      <c r="A3" s="1940" t="s">
        <v>1716</v>
      </c>
      <c r="B3" s="1943" t="s">
        <v>1145</v>
      </c>
      <c r="C3" s="1944" t="s">
        <v>761</v>
      </c>
      <c r="D3" s="1942" t="s">
        <v>1717</v>
      </c>
      <c r="E3" s="1942" t="s">
        <v>16</v>
      </c>
      <c r="F3" s="1942" t="s">
        <v>1718</v>
      </c>
      <c r="G3" s="1942">
        <v>50</v>
      </c>
      <c r="H3" s="1942" t="s">
        <v>1718</v>
      </c>
      <c r="I3" s="1942" t="s">
        <v>1719</v>
      </c>
      <c r="J3" s="1942" t="s">
        <v>1720</v>
      </c>
      <c r="K3" s="1942" t="s">
        <v>1721</v>
      </c>
      <c r="L3" s="1942" t="s">
        <v>1721</v>
      </c>
      <c r="M3" s="1942" t="s">
        <v>1721</v>
      </c>
      <c r="N3" s="1942" t="s">
        <v>1721</v>
      </c>
      <c r="O3" s="1942" t="s">
        <v>1721</v>
      </c>
      <c r="P3" s="1942" t="s">
        <v>1721</v>
      </c>
      <c r="Q3" s="1942" t="s">
        <v>1721</v>
      </c>
      <c r="R3" s="1942" t="s">
        <v>1139</v>
      </c>
      <c r="S3" s="1942" t="s">
        <v>1721</v>
      </c>
      <c r="T3" s="1942" t="s">
        <v>1722</v>
      </c>
      <c r="U3" s="1942" t="s">
        <v>1721</v>
      </c>
      <c r="V3" s="1942" t="s">
        <v>1723</v>
      </c>
      <c r="W3" s="1942" t="s">
        <v>1721</v>
      </c>
    </row>
    <row r="4" spans="1:23">
      <c r="A4" s="1940" t="s">
        <v>1724</v>
      </c>
      <c r="B4" s="1940" t="s">
        <v>1725</v>
      </c>
      <c r="C4" s="1941" t="s">
        <v>762</v>
      </c>
      <c r="D4" s="1942" t="s">
        <v>868</v>
      </c>
      <c r="E4" s="1942" t="s">
        <v>1726</v>
      </c>
      <c r="F4" s="1942" t="s">
        <v>1727</v>
      </c>
      <c r="G4" s="1942">
        <v>70</v>
      </c>
      <c r="H4" s="1942" t="s">
        <v>1727</v>
      </c>
      <c r="I4" s="1942" t="s">
        <v>1728</v>
      </c>
      <c r="K4" s="1942" t="s">
        <v>1729</v>
      </c>
      <c r="L4" s="1942" t="s">
        <v>1729</v>
      </c>
      <c r="M4" s="1942" t="s">
        <v>1729</v>
      </c>
      <c r="N4" s="1942" t="s">
        <v>1729</v>
      </c>
      <c r="O4" s="1942" t="s">
        <v>1729</v>
      </c>
      <c r="P4" s="1942" t="s">
        <v>1729</v>
      </c>
      <c r="Q4" s="1942" t="s">
        <v>1729</v>
      </c>
      <c r="R4" s="1942" t="s">
        <v>1141</v>
      </c>
      <c r="S4" s="1942" t="s">
        <v>1729</v>
      </c>
      <c r="T4" s="1942" t="s">
        <v>1730</v>
      </c>
      <c r="U4" s="1942" t="s">
        <v>1729</v>
      </c>
      <c r="W4" s="1942" t="s">
        <v>1729</v>
      </c>
    </row>
    <row r="5" spans="1:23">
      <c r="A5" s="1940" t="s">
        <v>1731</v>
      </c>
      <c r="B5" s="1940" t="s">
        <v>1732</v>
      </c>
      <c r="C5" s="1941" t="s">
        <v>763</v>
      </c>
      <c r="F5" s="1942" t="s">
        <v>1733</v>
      </c>
      <c r="H5" s="1942" t="s">
        <v>1734</v>
      </c>
      <c r="I5" s="1942" t="s">
        <v>1735</v>
      </c>
      <c r="K5" s="1942" t="s">
        <v>1736</v>
      </c>
      <c r="L5" s="1942" t="s">
        <v>1736</v>
      </c>
      <c r="M5" s="1942" t="s">
        <v>1736</v>
      </c>
      <c r="N5" s="1942" t="s">
        <v>1736</v>
      </c>
      <c r="O5" s="1942" t="s">
        <v>1736</v>
      </c>
      <c r="P5" s="1942" t="s">
        <v>1736</v>
      </c>
      <c r="Q5" s="1942" t="s">
        <v>1736</v>
      </c>
      <c r="R5" s="1942" t="s">
        <v>1142</v>
      </c>
      <c r="S5" s="1942" t="s">
        <v>1736</v>
      </c>
      <c r="T5" s="1942" t="s">
        <v>1737</v>
      </c>
      <c r="U5" s="1942" t="s">
        <v>1736</v>
      </c>
      <c r="W5" s="1942" t="s">
        <v>1736</v>
      </c>
    </row>
    <row r="6" spans="1:23">
      <c r="A6" s="1940" t="s">
        <v>1738</v>
      </c>
      <c r="B6" s="1943" t="s">
        <v>1146</v>
      </c>
      <c r="C6" s="1946" t="s">
        <v>30</v>
      </c>
      <c r="F6" s="1942" t="s">
        <v>1734</v>
      </c>
      <c r="H6" s="1942" t="s">
        <v>1739</v>
      </c>
      <c r="I6" s="1942" t="s">
        <v>1740</v>
      </c>
      <c r="K6" s="1942" t="s">
        <v>1741</v>
      </c>
      <c r="L6" s="1942" t="s">
        <v>1741</v>
      </c>
      <c r="M6" s="1942" t="s">
        <v>1741</v>
      </c>
      <c r="N6" s="1942" t="s">
        <v>1741</v>
      </c>
      <c r="O6" s="1942" t="s">
        <v>1741</v>
      </c>
      <c r="P6" s="1942" t="s">
        <v>1741</v>
      </c>
      <c r="Q6" s="1942" t="s">
        <v>1741</v>
      </c>
      <c r="R6" s="1942" t="s">
        <v>1143</v>
      </c>
      <c r="S6" s="1942" t="s">
        <v>1741</v>
      </c>
      <c r="T6" s="1942"/>
      <c r="U6" s="1942" t="s">
        <v>1741</v>
      </c>
      <c r="W6" s="1942" t="s">
        <v>1741</v>
      </c>
    </row>
    <row r="7" spans="1:23">
      <c r="A7" s="1940" t="s">
        <v>1742</v>
      </c>
      <c r="B7" s="1943" t="s">
        <v>1147</v>
      </c>
      <c r="C7" s="1941" t="s">
        <v>31</v>
      </c>
      <c r="F7" s="1942" t="s">
        <v>1743</v>
      </c>
      <c r="H7" s="1942" t="s">
        <v>1744</v>
      </c>
      <c r="I7" s="1942" t="s">
        <v>1745</v>
      </c>
    </row>
    <row r="8" spans="1:23">
      <c r="A8" s="1940" t="s">
        <v>1746</v>
      </c>
      <c r="B8" s="1940" t="s">
        <v>1747</v>
      </c>
      <c r="C8" s="1941" t="s">
        <v>764</v>
      </c>
      <c r="F8" s="1942" t="s">
        <v>1748</v>
      </c>
      <c r="H8" s="1942"/>
      <c r="I8" s="1942" t="s">
        <v>1749</v>
      </c>
    </row>
    <row r="9" spans="1:23">
      <c r="A9" s="1940" t="s">
        <v>1750</v>
      </c>
      <c r="B9" s="1940" t="s">
        <v>1751</v>
      </c>
      <c r="C9" s="1941" t="s">
        <v>765</v>
      </c>
      <c r="F9" s="1942" t="s">
        <v>1752</v>
      </c>
      <c r="H9" s="1942"/>
    </row>
    <row r="10" spans="1:23">
      <c r="A10" s="1940" t="s">
        <v>1753</v>
      </c>
      <c r="B10" s="1940" t="s">
        <v>1754</v>
      </c>
      <c r="C10" s="1941" t="s">
        <v>766</v>
      </c>
      <c r="F10" s="1942" t="s">
        <v>16</v>
      </c>
    </row>
    <row r="11" spans="1:23">
      <c r="A11" s="1940" t="s">
        <v>1755</v>
      </c>
      <c r="B11" s="1940" t="s">
        <v>1756</v>
      </c>
      <c r="C11" s="1941" t="s">
        <v>767</v>
      </c>
    </row>
    <row r="12" spans="1:23">
      <c r="A12" s="1940" t="s">
        <v>1757</v>
      </c>
      <c r="B12" s="1940" t="s">
        <v>1758</v>
      </c>
      <c r="C12" s="1941" t="s">
        <v>768</v>
      </c>
    </row>
    <row r="13" spans="1:23">
      <c r="A13" s="1940" t="s">
        <v>1759</v>
      </c>
      <c r="B13" s="1940" t="s">
        <v>1760</v>
      </c>
      <c r="C13" s="1941" t="s">
        <v>769</v>
      </c>
    </row>
    <row r="14" spans="1:23">
      <c r="A14" s="1940" t="s">
        <v>1761</v>
      </c>
      <c r="B14" s="1940" t="s">
        <v>1762</v>
      </c>
      <c r="C14" s="1942" t="s">
        <v>16</v>
      </c>
    </row>
    <row r="15" spans="1:23">
      <c r="A15" s="1940" t="s">
        <v>1763</v>
      </c>
      <c r="B15" s="1940" t="s">
        <v>1764</v>
      </c>
      <c r="C15" s="1941"/>
    </row>
    <row r="16" spans="1:23">
      <c r="A16" s="1940" t="s">
        <v>1765</v>
      </c>
      <c r="B16" s="1940" t="s">
        <v>756</v>
      </c>
      <c r="C16" s="1941"/>
    </row>
    <row r="17" spans="1:3">
      <c r="A17" s="1940" t="s">
        <v>1766</v>
      </c>
      <c r="B17" s="1940" t="s">
        <v>757</v>
      </c>
      <c r="C17" s="1941"/>
    </row>
    <row r="18" spans="1:3">
      <c r="A18" s="1940" t="s">
        <v>1767</v>
      </c>
      <c r="B18" s="1940" t="s">
        <v>757</v>
      </c>
      <c r="C18" s="1941"/>
    </row>
    <row r="19" spans="1:3">
      <c r="A19" s="1940" t="s">
        <v>1768</v>
      </c>
      <c r="B19" s="1940" t="s">
        <v>757</v>
      </c>
      <c r="C19" s="1941"/>
    </row>
    <row r="20" spans="1:3">
      <c r="A20" s="1940" t="s">
        <v>1769</v>
      </c>
      <c r="B20" s="1940" t="s">
        <v>757</v>
      </c>
      <c r="C20" s="1941"/>
    </row>
    <row r="21" spans="1:3">
      <c r="A21" s="1940" t="s">
        <v>1770</v>
      </c>
      <c r="B21" s="1940" t="s">
        <v>757</v>
      </c>
      <c r="C21" s="1941"/>
    </row>
    <row r="22" spans="1:3">
      <c r="A22" s="1940" t="s">
        <v>1771</v>
      </c>
      <c r="B22" s="1940" t="s">
        <v>757</v>
      </c>
      <c r="C22" s="1941"/>
    </row>
    <row r="23" spans="1:3">
      <c r="A23" s="1940" t="s">
        <v>1772</v>
      </c>
      <c r="B23" s="1940" t="s">
        <v>757</v>
      </c>
      <c r="C23" s="1941"/>
    </row>
    <row r="24" spans="1:3">
      <c r="A24" s="1940" t="s">
        <v>1773</v>
      </c>
      <c r="B24" s="1940" t="s">
        <v>757</v>
      </c>
      <c r="C24" s="1941"/>
    </row>
    <row r="25" spans="1:3">
      <c r="A25" s="1940" t="s">
        <v>1774</v>
      </c>
      <c r="B25" s="1940" t="s">
        <v>757</v>
      </c>
      <c r="C25" s="1941"/>
    </row>
    <row r="26" spans="1:3">
      <c r="A26" s="1940" t="s">
        <v>1775</v>
      </c>
      <c r="B26" s="1940" t="s">
        <v>757</v>
      </c>
      <c r="C26" s="1941"/>
    </row>
    <row r="27" spans="1:3">
      <c r="A27" s="1940" t="s">
        <v>757</v>
      </c>
      <c r="B27" s="1940" t="s">
        <v>757</v>
      </c>
      <c r="C27" s="1941"/>
    </row>
    <row r="28" spans="1:3">
      <c r="A28" s="1940" t="s">
        <v>757</v>
      </c>
      <c r="B28" s="1940" t="s">
        <v>757</v>
      </c>
      <c r="C28" s="1941"/>
    </row>
    <row r="29" spans="1:3">
      <c r="A29" s="1940" t="s">
        <v>757</v>
      </c>
      <c r="B29" s="1940" t="s">
        <v>757</v>
      </c>
      <c r="C29" s="1941"/>
    </row>
    <row r="30" spans="1:3">
      <c r="A30" s="1940" t="s">
        <v>757</v>
      </c>
      <c r="B30" s="1940" t="s">
        <v>757</v>
      </c>
      <c r="C30" s="1941"/>
    </row>
    <row r="31" spans="1:3">
      <c r="A31" s="1940" t="s">
        <v>757</v>
      </c>
      <c r="B31" s="1940" t="s">
        <v>757</v>
      </c>
      <c r="C31" s="1941"/>
    </row>
    <row r="32" spans="1:3">
      <c r="A32" s="1940" t="s">
        <v>757</v>
      </c>
      <c r="B32" s="1940" t="s">
        <v>757</v>
      </c>
      <c r="C32" s="1941"/>
    </row>
    <row r="33" spans="1:3">
      <c r="A33" s="1940" t="s">
        <v>757</v>
      </c>
      <c r="B33" s="1940" t="s">
        <v>757</v>
      </c>
      <c r="C33" s="1941"/>
    </row>
    <row r="34" spans="1:3">
      <c r="A34" s="1940" t="s">
        <v>757</v>
      </c>
      <c r="B34" s="1940" t="s">
        <v>757</v>
      </c>
      <c r="C34" s="1941"/>
    </row>
    <row r="35" spans="1:3">
      <c r="A35" s="1940" t="s">
        <v>757</v>
      </c>
      <c r="B35" s="1940" t="s">
        <v>757</v>
      </c>
      <c r="C35" s="1941"/>
    </row>
    <row r="36" spans="1:3">
      <c r="A36" s="1940" t="s">
        <v>757</v>
      </c>
      <c r="B36" s="1940" t="s">
        <v>757</v>
      </c>
      <c r="C36" s="1941"/>
    </row>
    <row r="37" spans="1:3">
      <c r="A37" s="1940" t="s">
        <v>757</v>
      </c>
      <c r="B37" s="1940" t="s">
        <v>757</v>
      </c>
      <c r="C37" s="1941"/>
    </row>
    <row r="38" spans="1:3">
      <c r="A38" s="1940" t="s">
        <v>757</v>
      </c>
      <c r="B38" s="1940" t="s">
        <v>757</v>
      </c>
      <c r="C38" s="1941"/>
    </row>
    <row r="39" spans="1:3">
      <c r="A39" s="1940" t="s">
        <v>757</v>
      </c>
      <c r="B39" s="1940" t="s">
        <v>757</v>
      </c>
      <c r="C39" s="1941"/>
    </row>
    <row r="40" spans="1:3">
      <c r="A40" s="1940" t="s">
        <v>757</v>
      </c>
      <c r="B40" s="1940" t="s">
        <v>757</v>
      </c>
      <c r="C40" s="1941"/>
    </row>
    <row r="41" spans="1:3">
      <c r="A41" s="1940" t="s">
        <v>757</v>
      </c>
      <c r="B41" s="1940" t="s">
        <v>757</v>
      </c>
      <c r="C41" s="1941"/>
    </row>
    <row r="42" spans="1:3">
      <c r="A42" s="1940" t="s">
        <v>757</v>
      </c>
      <c r="B42" s="1940" t="s">
        <v>757</v>
      </c>
      <c r="C42" s="1941"/>
    </row>
    <row r="43" spans="1:3">
      <c r="A43" s="1940" t="s">
        <v>757</v>
      </c>
      <c r="B43" s="1940" t="s">
        <v>757</v>
      </c>
      <c r="C43" s="1941"/>
    </row>
    <row r="44" spans="1:3">
      <c r="A44" s="1940" t="s">
        <v>757</v>
      </c>
      <c r="B44" s="1940" t="s">
        <v>757</v>
      </c>
      <c r="C44" s="1941"/>
    </row>
    <row r="45" spans="1:3">
      <c r="A45" s="1940" t="s">
        <v>757</v>
      </c>
      <c r="B45" s="1940" t="s">
        <v>757</v>
      </c>
      <c r="C45" s="1941"/>
    </row>
    <row r="46" spans="1:3">
      <c r="A46" s="1940" t="s">
        <v>757</v>
      </c>
      <c r="B46" s="1940" t="s">
        <v>757</v>
      </c>
      <c r="C46" s="1941"/>
    </row>
    <row r="47" spans="1:3">
      <c r="A47" s="1940" t="s">
        <v>757</v>
      </c>
      <c r="B47" s="1940" t="s">
        <v>757</v>
      </c>
      <c r="C47" s="1941"/>
    </row>
    <row r="48" spans="1:3">
      <c r="A48" s="1940" t="s">
        <v>757</v>
      </c>
      <c r="B48" s="1940" t="s">
        <v>757</v>
      </c>
      <c r="C48" s="1941"/>
    </row>
    <row r="49" spans="1:4">
      <c r="A49" s="1940" t="s">
        <v>757</v>
      </c>
      <c r="B49" s="1940" t="s">
        <v>757</v>
      </c>
      <c r="C49" s="1941"/>
    </row>
    <row r="50" spans="1:4">
      <c r="A50" s="1940" t="s">
        <v>757</v>
      </c>
      <c r="B50" s="1940" t="s">
        <v>757</v>
      </c>
      <c r="C50" s="1941"/>
    </row>
    <row r="51" spans="1:4">
      <c r="A51" s="1947" t="s">
        <v>857</v>
      </c>
      <c r="B51" s="1948"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融创天衡置业有限公司拟使用上海市松江区泗泾镇7街坊4/20丘“融创壹号府”居住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48" t="s">
        <v>1284</v>
      </c>
    </row>
    <row r="52" spans="1:4">
      <c r="A52" s="1947" t="s">
        <v>858</v>
      </c>
      <c r="B52" s="1947" t="s">
        <v>859</v>
      </c>
      <c r="C52" s="1945" t="s">
        <v>860</v>
      </c>
      <c r="D52" s="1945" t="s">
        <v>861</v>
      </c>
    </row>
    <row r="53" spans="1:4">
      <c r="A53" s="3090" t="s">
        <v>862</v>
      </c>
      <c r="B53" s="1948" t="s">
        <v>863</v>
      </c>
      <c r="C53" s="19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3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90"/>
      <c r="B54" s="1948" t="s">
        <v>864</v>
      </c>
      <c r="C54" s="1945" t="s">
        <v>1281</v>
      </c>
    </row>
    <row r="55" spans="1:4">
      <c r="A55" s="3090"/>
      <c r="B55" s="1948" t="s">
        <v>865</v>
      </c>
      <c r="C55" s="1945" t="s">
        <v>1282</v>
      </c>
    </row>
    <row r="56" spans="1:4">
      <c r="A56" s="3090"/>
      <c r="B56" s="1948" t="s">
        <v>866</v>
      </c>
      <c r="C56" s="1945" t="s">
        <v>1286</v>
      </c>
    </row>
    <row r="57" spans="1:4">
      <c r="A57" s="3090"/>
      <c r="B57" s="1948" t="s">
        <v>867</v>
      </c>
      <c r="C57" s="1945" t="s">
        <v>1283</v>
      </c>
    </row>
    <row r="58" spans="1:4">
      <c r="A58" s="1949"/>
      <c r="B58" s="1945"/>
    </row>
    <row r="59" spans="1:4">
      <c r="A59" s="1949"/>
      <c r="B59" s="1945"/>
    </row>
    <row r="60" spans="1:4">
      <c r="A60" s="1949"/>
      <c r="B60" s="1945"/>
    </row>
    <row r="61" spans="1:4">
      <c r="A61" s="1949"/>
      <c r="B61" s="1945"/>
    </row>
    <row r="62" spans="1:4">
      <c r="A62" s="1949"/>
      <c r="B62" s="1945"/>
    </row>
    <row r="63" spans="1:4">
      <c r="A63" s="1949"/>
      <c r="B63" s="1945"/>
    </row>
    <row r="64" spans="1:4">
      <c r="A64" s="1949"/>
      <c r="B64" s="1945"/>
    </row>
    <row r="65" spans="1:2">
      <c r="A65" s="1949"/>
      <c r="B65" s="1945"/>
    </row>
    <row r="66" spans="1:2">
      <c r="A66" s="1949"/>
      <c r="B66" s="1945"/>
    </row>
    <row r="67" spans="1:2">
      <c r="A67" s="1949"/>
      <c r="B67" s="1945"/>
    </row>
    <row r="68" spans="1:2">
      <c r="A68" s="1949"/>
      <c r="B68" s="1945"/>
    </row>
    <row r="69" spans="1:2">
      <c r="A69" s="1949"/>
      <c r="B69" s="1945"/>
    </row>
    <row r="70" spans="1:2">
      <c r="A70" s="1949"/>
      <c r="B70" s="1945"/>
    </row>
    <row r="71" spans="1:2">
      <c r="A71" s="1949"/>
      <c r="B71" s="1945"/>
    </row>
    <row r="72" spans="1:2">
      <c r="A72" s="1949"/>
      <c r="B72" s="1945"/>
    </row>
    <row r="73" spans="1:2">
      <c r="A73" s="1949"/>
      <c r="B73" s="1945"/>
    </row>
    <row r="74" spans="1:2">
      <c r="A74" s="1949"/>
      <c r="B74" s="1945"/>
    </row>
    <row r="75" spans="1:2">
      <c r="A75" s="1949"/>
      <c r="B75" s="1945"/>
    </row>
    <row r="76" spans="1:2">
      <c r="A76" s="1949"/>
      <c r="B76" s="1945"/>
    </row>
    <row r="77" spans="1:2">
      <c r="A77" s="1949"/>
      <c r="B77" s="1945"/>
    </row>
    <row r="78" spans="1:2">
      <c r="A78" s="1949"/>
      <c r="B78" s="1945"/>
    </row>
    <row r="79" spans="1:2">
      <c r="A79" s="1949"/>
      <c r="B79" s="1945"/>
    </row>
    <row r="80" spans="1:2">
      <c r="A80" s="1949"/>
      <c r="B80" s="1945"/>
    </row>
    <row r="81" spans="1:2">
      <c r="A81" s="1949"/>
      <c r="B81" s="1945"/>
    </row>
    <row r="82" spans="1:2">
      <c r="A82" s="1949"/>
      <c r="B82" s="1945"/>
    </row>
    <row r="83" spans="1:2">
      <c r="A83" s="1949"/>
      <c r="B83" s="1945"/>
    </row>
    <row r="84" spans="1:2">
      <c r="A84" s="1949"/>
      <c r="B84" s="1945"/>
    </row>
    <row r="85" spans="1:2">
      <c r="A85" s="1949"/>
      <c r="B85" s="1945"/>
    </row>
    <row r="86" spans="1:2">
      <c r="A86" s="1949"/>
      <c r="B86" s="1945"/>
    </row>
    <row r="87" spans="1:2">
      <c r="A87" s="1949"/>
      <c r="B87" s="1945"/>
    </row>
    <row r="88" spans="1:2">
      <c r="A88" s="1949"/>
      <c r="B88" s="1945"/>
    </row>
    <row r="89" spans="1:2">
      <c r="A89" s="1949"/>
      <c r="B89" s="1945"/>
    </row>
    <row r="90" spans="1:2">
      <c r="A90" s="1949"/>
      <c r="B90" s="1945"/>
    </row>
    <row r="91" spans="1:2">
      <c r="A91" s="1949"/>
      <c r="B91" s="1945"/>
    </row>
    <row r="92" spans="1:2">
      <c r="A92" s="1949"/>
      <c r="B92" s="1945"/>
    </row>
    <row r="93" spans="1:2">
      <c r="A93" s="1949"/>
      <c r="B93" s="1945"/>
    </row>
    <row r="94" spans="1:2">
      <c r="A94" s="1949"/>
      <c r="B94" s="1945"/>
    </row>
    <row r="95" spans="1:2">
      <c r="A95" s="1949"/>
      <c r="B95" s="1945"/>
    </row>
    <row r="96" spans="1:2">
      <c r="A96" s="1949"/>
      <c r="B96" s="1945"/>
    </row>
    <row r="97" spans="1:2">
      <c r="A97" s="1949"/>
      <c r="B97" s="1945"/>
    </row>
    <row r="98" spans="1:2">
      <c r="A98" s="1949"/>
      <c r="B98" s="1945"/>
    </row>
    <row r="99" spans="1:2">
      <c r="A99" s="1949"/>
      <c r="B99" s="1945"/>
    </row>
    <row r="100" spans="1:2">
      <c r="A100" s="1949"/>
      <c r="B100" s="1945"/>
    </row>
    <row r="101" spans="1:2">
      <c r="A101" s="1949"/>
      <c r="B101" s="1945"/>
    </row>
    <row r="102" spans="1:2">
      <c r="A102" s="1949"/>
      <c r="B102" s="1945"/>
    </row>
    <row r="103" spans="1:2">
      <c r="A103" s="1949"/>
      <c r="B103" s="1945"/>
    </row>
    <row r="104" spans="1:2">
      <c r="A104" s="1949"/>
      <c r="B104" s="1945"/>
    </row>
    <row r="105" spans="1:2">
      <c r="A105" s="1949"/>
      <c r="B105" s="1945"/>
    </row>
    <row r="106" spans="1:2">
      <c r="A106" s="1949"/>
      <c r="B106" s="1945"/>
    </row>
    <row r="107" spans="1:2">
      <c r="A107" s="1949"/>
      <c r="B107" s="1945"/>
    </row>
    <row r="108" spans="1:2">
      <c r="A108" s="1949"/>
      <c r="B108" s="1945"/>
    </row>
    <row r="109" spans="1:2">
      <c r="A109" s="1949"/>
      <c r="B109" s="1945"/>
    </row>
    <row r="110" spans="1:2">
      <c r="A110" s="1949"/>
      <c r="B110" s="1945"/>
    </row>
    <row r="111" spans="1:2">
      <c r="A111" s="1949"/>
      <c r="B111" s="1945"/>
    </row>
    <row r="112" spans="1:2">
      <c r="A112" s="1949"/>
      <c r="B112" s="1945"/>
    </row>
    <row r="113" spans="1:2">
      <c r="A113" s="1949"/>
      <c r="B113" s="1945"/>
    </row>
    <row r="114" spans="1:2">
      <c r="A114" s="1949"/>
      <c r="B114" s="1945"/>
    </row>
    <row r="115" spans="1:2">
      <c r="A115" s="1949"/>
      <c r="B115" s="1945"/>
    </row>
    <row r="116" spans="1:2">
      <c r="A116" s="1949"/>
      <c r="B116" s="1945"/>
    </row>
    <row r="117" spans="1:2">
      <c r="A117" s="1949"/>
      <c r="B117" s="1945"/>
    </row>
    <row r="118" spans="1:2">
      <c r="A118" s="1949"/>
      <c r="B118" s="1945"/>
    </row>
    <row r="119" spans="1:2">
      <c r="A119" s="1949"/>
      <c r="B119" s="1945"/>
    </row>
    <row r="120" spans="1:2">
      <c r="A120" s="1949"/>
      <c r="B120" s="1945"/>
    </row>
    <row r="121" spans="1:2">
      <c r="A121" s="1949"/>
      <c r="B121" s="1945"/>
    </row>
    <row r="122" spans="1:2">
      <c r="A122" s="1949"/>
      <c r="B122" s="1945"/>
    </row>
    <row r="123" spans="1:2">
      <c r="A123" s="1949"/>
      <c r="B123" s="1945"/>
    </row>
    <row r="124" spans="1:2">
      <c r="A124" s="1949"/>
      <c r="B124" s="1945"/>
    </row>
    <row r="125" spans="1:2">
      <c r="A125" s="1949"/>
      <c r="B125" s="1945"/>
    </row>
    <row r="126" spans="1:2">
      <c r="A126" s="1949"/>
      <c r="B126" s="1945"/>
    </row>
    <row r="127" spans="1:2">
      <c r="A127" s="1949"/>
      <c r="B127" s="194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2" sqref="C22"/>
    </sheetView>
  </sheetViews>
  <sheetFormatPr defaultColWidth="10" defaultRowHeight="18" customHeight="1"/>
  <cols>
    <col min="1" max="1" width="14.875" style="1958" customWidth="1"/>
    <col min="2" max="2" width="10" style="1958" customWidth="1"/>
    <col min="3" max="3" width="11.5" style="1958" customWidth="1"/>
    <col min="4" max="6" width="10" style="1958" customWidth="1"/>
    <col min="7" max="7" width="10.75" style="1958" customWidth="1"/>
    <col min="8" max="8" width="10" style="1958" customWidth="1"/>
    <col min="9" max="9" width="11.125" style="2083" customWidth="1"/>
    <col min="10" max="10" width="10" style="1958" customWidth="1"/>
    <col min="11" max="11" width="10" style="2084" customWidth="1"/>
    <col min="12" max="13" width="10" style="2085" customWidth="1"/>
    <col min="14" max="14" width="10" style="1958" customWidth="1"/>
    <col min="15" max="15" width="10" style="2083" customWidth="1"/>
    <col min="16" max="17" width="10" style="1958"/>
    <col min="18" max="18" width="10" style="1958" customWidth="1"/>
    <col min="19" max="16384" width="10" style="1958"/>
  </cols>
  <sheetData>
    <row r="1" spans="1:19" ht="38.25" customHeight="1" thickBot="1">
      <c r="A1" s="1951" t="s">
        <v>1776</v>
      </c>
      <c r="B1" s="3091" t="str">
        <f>IF(B10="北京市","北京市",C10)&amp;F10&amp;IF(结果表!G1="在建","出让国有建设用地使用权及在建建筑物",IF(结果表!G1="土地","出让国有建设用地使用权",))&amp;B9&amp;"预评估"</f>
        <v>上海市松江区泗泾镇7街坊4/20丘“融创壹号府”居住项目出让国有建设用地使用权及在建建筑物房地产抵押价值预评估</v>
      </c>
      <c r="C1" s="3092"/>
      <c r="D1" s="3092"/>
      <c r="E1" s="3092"/>
      <c r="F1" s="3092"/>
      <c r="G1" s="3092"/>
      <c r="H1" s="3092"/>
      <c r="I1" s="3093"/>
      <c r="J1" s="1952"/>
      <c r="K1" s="1953"/>
      <c r="L1" s="1954"/>
      <c r="M1" s="1954"/>
      <c r="N1" s="1955"/>
      <c r="O1" s="1956"/>
      <c r="P1" s="1955"/>
      <c r="Q1" s="1955"/>
      <c r="R1" s="1955"/>
      <c r="S1" s="1957" t="str">
        <f>IF(B10="北京市","北京市",C10)&amp;F10&amp;IF(结果表!G1="在建","出让国有建设用地使用权及在建建筑物房地产抵押价值",IF(结果表!G1="土地","出让国有建设用地使用权抵押价值",B9))</f>
        <v>上海市松江区泗泾镇7街坊4/20丘“融创壹号府”居住项目出让国有建设用地使用权及在建建筑物房地产抵押价值</v>
      </c>
    </row>
    <row r="2" spans="1:19" ht="18" customHeight="1">
      <c r="A2" s="1952" t="s">
        <v>1777</v>
      </c>
      <c r="B2" s="985" t="s">
        <v>3452</v>
      </c>
      <c r="C2" s="1959"/>
      <c r="D2" s="1952"/>
      <c r="E2" s="1960"/>
      <c r="F2" s="1960"/>
      <c r="G2" s="1952"/>
      <c r="H2" s="1952"/>
      <c r="I2" s="1952"/>
      <c r="J2" s="1952"/>
      <c r="K2" s="1953"/>
      <c r="L2" s="1954"/>
      <c r="M2" s="1954"/>
      <c r="N2" s="1955"/>
      <c r="O2" s="1956"/>
      <c r="P2" s="1955"/>
      <c r="Q2" s="1955"/>
      <c r="R2" s="1955"/>
      <c r="S2" s="1957" t="str">
        <f>IF(B10="北京市","北京市",C10)&amp;F10&amp;IF(结果表!G1="在建","出让国有建设用地使用权及在建建筑物房地产",IF(结果表!G1="土地","出让国有建设用地使用权","房地产"))</f>
        <v>上海市松江区泗泾镇7街坊4/20丘“融创壹号府”居住项目出让国有建设用地使用权及在建建筑物房地产</v>
      </c>
    </row>
    <row r="3" spans="1:19" ht="18" customHeight="1">
      <c r="A3" s="1961" t="s">
        <v>1778</v>
      </c>
      <c r="B3" s="1962">
        <v>43284</v>
      </c>
      <c r="C3" s="1963" t="s">
        <v>1779</v>
      </c>
      <c r="D3" s="1962">
        <f>B3</f>
        <v>43284</v>
      </c>
      <c r="E3" s="1952"/>
      <c r="F3" s="1952"/>
      <c r="G3" s="1952"/>
      <c r="H3" s="1952"/>
      <c r="I3" s="1952"/>
      <c r="J3" s="1952"/>
      <c r="K3" s="1953"/>
      <c r="L3" s="1954"/>
      <c r="M3" s="1954"/>
      <c r="N3" s="1955"/>
      <c r="O3" s="1956"/>
      <c r="P3" s="1955"/>
      <c r="Q3" s="1955"/>
      <c r="R3" s="1955"/>
      <c r="S3" s="1957"/>
    </row>
    <row r="4" spans="1:19" ht="18" customHeight="1" thickBot="1">
      <c r="A4" s="1964" t="s">
        <v>1780</v>
      </c>
      <c r="B4" s="1965" t="s">
        <v>2919</v>
      </c>
      <c r="C4" s="983">
        <f ca="1">SUMIF(注册房地产估价师,B4,估价师及机构信息!B3:B24)</f>
        <v>1120070131</v>
      </c>
      <c r="D4" s="1965" t="s">
        <v>2920</v>
      </c>
      <c r="E4" s="984">
        <f ca="1">SUMIF(注册房地产估价师,D4,估价师及机构信息!B3:B24)</f>
        <v>1120050019</v>
      </c>
      <c r="F4" s="1965" t="s">
        <v>70</v>
      </c>
      <c r="G4" s="1966">
        <f>SUMIF(注册房地产估价师,F4,估价师及机构信息!B3:B24)</f>
        <v>0</v>
      </c>
      <c r="H4" s="1965" t="s">
        <v>70</v>
      </c>
      <c r="I4" s="1967">
        <f>SUMIF(注册房地产估价师,H4,估价师及机构信息!B3:B24)</f>
        <v>0</v>
      </c>
      <c r="J4" s="1968"/>
      <c r="K4" s="1969" t="str">
        <f ca="1">CONCATENATE(B4,"（注册号：",C4,")、",D4,"（注册号：",E4,")")</f>
        <v>郑燚（注册号：1120070131)、王鹏（注册号：1120050019)</v>
      </c>
      <c r="L4" s="1954"/>
      <c r="M4" s="1954"/>
      <c r="N4" s="1955"/>
      <c r="O4" s="1956"/>
      <c r="P4" s="1955"/>
      <c r="Q4" s="1955"/>
      <c r="R4" s="1955"/>
      <c r="S4" s="1957"/>
    </row>
    <row r="5" spans="1:19" ht="18" customHeight="1" thickTop="1">
      <c r="A5" s="1970" t="s">
        <v>1781</v>
      </c>
      <c r="B5" s="1971" t="str">
        <f>B6</f>
        <v>中诚信托有限责任公司</v>
      </c>
      <c r="C5" s="1972"/>
      <c r="D5" s="1973"/>
      <c r="E5" s="1968"/>
      <c r="F5" s="1968"/>
      <c r="G5" s="1968"/>
      <c r="H5" s="1968"/>
      <c r="I5" s="1968"/>
      <c r="J5" s="1968"/>
      <c r="K5" s="1969" t="str">
        <f>IF(F4="——","",IF(H4="——",F4&amp;"（注册号："&amp;G4&amp;")",CONCATENATE(F4,"（注册号：",G4,")、",H4,"（注册号：",I4,")")))</f>
        <v/>
      </c>
      <c r="L5" s="1954"/>
      <c r="M5" s="1954"/>
      <c r="N5" s="1955"/>
      <c r="O5" s="1956"/>
      <c r="P5" s="1955"/>
      <c r="Q5" s="1955"/>
      <c r="R5" s="1955"/>
    </row>
    <row r="6" spans="1:19" ht="18" customHeight="1">
      <c r="A6" s="1974" t="s">
        <v>1782</v>
      </c>
      <c r="B6" s="2828" t="s">
        <v>3198</v>
      </c>
      <c r="C6" s="1975"/>
      <c r="D6" s="1976"/>
      <c r="E6" s="1960"/>
      <c r="F6" s="1968"/>
      <c r="G6" s="1968"/>
      <c r="H6" s="1968"/>
      <c r="I6" s="1968"/>
      <c r="J6" s="1968"/>
      <c r="K6" s="1977" t="str">
        <f>IF(COUNTIF(B6,"*上海银行*"),"上海银行","")</f>
        <v/>
      </c>
      <c r="L6" s="1954"/>
      <c r="M6" s="1954"/>
      <c r="N6" s="1955"/>
      <c r="O6" s="1956"/>
      <c r="P6" s="1955"/>
      <c r="Q6" s="1955"/>
      <c r="R6" s="1955"/>
    </row>
    <row r="7" spans="1:19" ht="18" customHeight="1">
      <c r="A7" s="1974" t="s">
        <v>1783</v>
      </c>
      <c r="B7" s="1978" t="str">
        <f>C11</f>
        <v>上海融创天衡置业有限公司</v>
      </c>
      <c r="C7" s="1975"/>
      <c r="D7" s="1976"/>
      <c r="E7" s="1960"/>
      <c r="F7" s="1968"/>
      <c r="G7" s="1968"/>
      <c r="H7" s="1968"/>
      <c r="I7" s="1968"/>
      <c r="J7" s="1968"/>
      <c r="K7" s="1979"/>
      <c r="L7" s="1954"/>
      <c r="M7" s="1954"/>
      <c r="N7" s="1955"/>
      <c r="O7" s="1956"/>
      <c r="P7" s="1955"/>
      <c r="Q7" s="1955"/>
      <c r="R7" s="1955"/>
    </row>
    <row r="8" spans="1:19" ht="18" customHeight="1">
      <c r="A8" s="1974" t="s">
        <v>1784</v>
      </c>
      <c r="B8" s="1980" t="s">
        <v>3200</v>
      </c>
      <c r="C8" s="1981"/>
      <c r="D8" s="3094" t="s">
        <v>1785</v>
      </c>
      <c r="E8" s="1982" t="s">
        <v>3453</v>
      </c>
      <c r="F8" s="1983"/>
      <c r="G8" s="1952"/>
      <c r="H8" s="1952"/>
      <c r="I8" s="1952"/>
      <c r="J8" s="1968"/>
      <c r="K8" s="1969"/>
      <c r="L8" s="1954"/>
      <c r="M8" s="1954"/>
      <c r="N8" s="1955"/>
      <c r="O8" s="1956"/>
      <c r="P8" s="1955"/>
      <c r="Q8" s="1955"/>
      <c r="R8" s="1955"/>
    </row>
    <row r="9" spans="1:19" ht="18" customHeight="1" thickBot="1">
      <c r="A9" s="1966" t="s">
        <v>1786</v>
      </c>
      <c r="B9" s="1984" t="s">
        <v>3201</v>
      </c>
      <c r="C9" s="1985"/>
      <c r="D9" s="3095"/>
      <c r="E9" s="1984"/>
      <c r="F9" s="1986"/>
      <c r="G9" s="1987"/>
      <c r="H9" s="1987"/>
      <c r="I9" s="1987"/>
      <c r="J9" s="1968"/>
      <c r="K9" s="1979"/>
      <c r="L9" s="1954"/>
      <c r="M9" s="1954"/>
      <c r="N9" s="1955"/>
      <c r="O9" s="1956"/>
      <c r="P9" s="1955"/>
      <c r="Q9" s="1955"/>
      <c r="R9" s="1955"/>
    </row>
    <row r="10" spans="1:19" ht="18" customHeight="1" thickTop="1">
      <c r="A10" s="1988" t="s">
        <v>1787</v>
      </c>
      <c r="B10" s="1989" t="s">
        <v>3197</v>
      </c>
      <c r="C10" s="2830" t="s">
        <v>3202</v>
      </c>
      <c r="D10" s="1973"/>
      <c r="E10" s="1990" t="s">
        <v>1788</v>
      </c>
      <c r="F10" s="1991" t="s">
        <v>3209</v>
      </c>
      <c r="G10" s="1992"/>
      <c r="H10" s="1993"/>
      <c r="I10" s="1973"/>
      <c r="J10" s="1968"/>
      <c r="K10" s="1979"/>
      <c r="L10" s="1954"/>
      <c r="M10" s="1954"/>
      <c r="N10" s="1955"/>
      <c r="O10" s="1956"/>
      <c r="P10" s="1955"/>
      <c r="Q10" s="1955"/>
      <c r="R10" s="1955"/>
    </row>
    <row r="11" spans="1:19" ht="18" customHeight="1">
      <c r="A11" s="1994" t="s">
        <v>1789</v>
      </c>
      <c r="B11" s="1995" t="s">
        <v>3196</v>
      </c>
      <c r="C11" s="2829" t="s">
        <v>3199</v>
      </c>
      <c r="D11" s="1996"/>
      <c r="E11" s="1968"/>
      <c r="F11" s="1968"/>
      <c r="G11" s="1968"/>
      <c r="H11" s="1968"/>
      <c r="I11" s="1968"/>
      <c r="J11" s="1968"/>
      <c r="K11" s="1979"/>
      <c r="L11" s="1954"/>
      <c r="M11" s="1954"/>
      <c r="N11" s="1955"/>
      <c r="O11" s="1956"/>
      <c r="P11" s="1955"/>
      <c r="Q11" s="1955"/>
      <c r="R11" s="1955"/>
    </row>
    <row r="12" spans="1:19" ht="18" customHeight="1">
      <c r="A12" s="1997" t="s">
        <v>1790</v>
      </c>
      <c r="B12" s="1995" t="s">
        <v>3195</v>
      </c>
      <c r="C12" s="1998" t="s">
        <v>1791</v>
      </c>
      <c r="D12" s="1999" t="s">
        <v>1792</v>
      </c>
      <c r="E12" s="1999" t="s">
        <v>1793</v>
      </c>
      <c r="F12" s="1999" t="s">
        <v>1794</v>
      </c>
      <c r="G12" s="1999" t="s">
        <v>1795</v>
      </c>
      <c r="H12" s="1999" t="s">
        <v>1796</v>
      </c>
      <c r="I12" s="1999" t="s">
        <v>1797</v>
      </c>
      <c r="J12" s="1968"/>
      <c r="K12" s="1979"/>
      <c r="L12" s="1954"/>
      <c r="M12" s="1954"/>
      <c r="N12" s="1955"/>
      <c r="O12" s="1956"/>
      <c r="P12" s="1955"/>
      <c r="Q12" s="1955"/>
      <c r="R12" s="1955"/>
    </row>
    <row r="13" spans="1:19" ht="18" customHeight="1">
      <c r="A13" s="2000"/>
      <c r="B13" s="2001"/>
      <c r="C13" s="2002" t="s">
        <v>1798</v>
      </c>
      <c r="D13" s="2003">
        <v>68110</v>
      </c>
      <c r="E13" s="2003">
        <v>57153</v>
      </c>
      <c r="F13" s="2003"/>
      <c r="G13" s="2003">
        <v>60805</v>
      </c>
      <c r="H13" s="2003"/>
      <c r="I13" s="993"/>
      <c r="J13" s="1968"/>
      <c r="K13" s="1979"/>
      <c r="L13" s="1954"/>
      <c r="M13" s="1954"/>
      <c r="N13" s="1955"/>
      <c r="O13" s="1956"/>
      <c r="P13" s="1955"/>
      <c r="Q13" s="1955"/>
      <c r="R13" s="1955"/>
    </row>
    <row r="14" spans="1:19" ht="18" customHeight="1">
      <c r="A14" s="2000"/>
      <c r="B14" s="2001"/>
      <c r="C14" s="2002" t="s">
        <v>1799</v>
      </c>
      <c r="D14" s="996">
        <v>70</v>
      </c>
      <c r="E14" s="996">
        <v>40</v>
      </c>
      <c r="F14" s="996"/>
      <c r="G14" s="996">
        <v>50</v>
      </c>
      <c r="H14" s="996"/>
      <c r="I14" s="996"/>
      <c r="J14" s="1968"/>
      <c r="K14" s="2004"/>
      <c r="L14" s="1954"/>
      <c r="M14" s="1954"/>
      <c r="N14" s="1955"/>
      <c r="O14" s="1956"/>
      <c r="P14" s="1955"/>
      <c r="Q14" s="1955"/>
      <c r="R14" s="1955"/>
    </row>
    <row r="15" spans="1:19" ht="18" customHeight="1">
      <c r="A15" s="1988"/>
      <c r="B15" s="2005"/>
      <c r="C15" s="2002" t="s">
        <v>1800</v>
      </c>
      <c r="D15" s="995">
        <f>IF(B12="出让",IF(D13="","",ROUNDDOWN(MIN((D13-$D$3)/365,D14),2)),D14)</f>
        <v>68.010000000000005</v>
      </c>
      <c r="E15" s="995">
        <f>IF(B12="出让",IF(E13="","",ROUNDDOWN(MIN((E13-$D$3)/365,E14),2)),E14)</f>
        <v>37.99</v>
      </c>
      <c r="F15" s="995" t="str">
        <f>IF(B12="出让",IF(F13="","",ROUNDDOWN(MIN((F13-$D$3)/365,F14),2)),F14)</f>
        <v/>
      </c>
      <c r="G15" s="995">
        <f>IF(B12="出让",IF(G13="","",ROUNDDOWN(MIN((G13-$D$3)/365,G14),2)),G14)</f>
        <v>48</v>
      </c>
      <c r="H15" s="995" t="str">
        <f>IF(B12="出让",IF(H13="","",ROUNDDOWN(MIN((H13-$D$3)/365,H14),2)),H14)</f>
        <v/>
      </c>
      <c r="I15" s="995" t="str">
        <f>IF(B12="出让",IF(I13="","",ROUNDDOWN(MIN((I13-$D$3)/365,I14),2)),I14)</f>
        <v/>
      </c>
      <c r="J15" s="1968"/>
      <c r="K15" s="2006"/>
      <c r="L15" s="2007"/>
      <c r="M15" s="2007"/>
      <c r="N15" s="2008"/>
      <c r="O15" s="2007"/>
      <c r="P15" s="2008"/>
      <c r="Q15" s="1955"/>
      <c r="R15" s="1955"/>
    </row>
    <row r="16" spans="1:19" ht="30.75" customHeight="1">
      <c r="A16" s="1990" t="s">
        <v>1801</v>
      </c>
      <c r="B16" s="3101" t="s">
        <v>3203</v>
      </c>
      <c r="C16" s="3102"/>
      <c r="D16" s="3103"/>
      <c r="E16" s="2009" t="s">
        <v>1802</v>
      </c>
      <c r="F16" s="3104" t="s">
        <v>3204</v>
      </c>
      <c r="G16" s="3105"/>
      <c r="H16" s="3105"/>
      <c r="I16" s="3106"/>
      <c r="J16" s="1955"/>
      <c r="K16" s="2006"/>
      <c r="L16" s="2007"/>
      <c r="M16" s="2007"/>
      <c r="N16" s="2008"/>
      <c r="O16" s="2007"/>
      <c r="P16" s="2008"/>
      <c r="Q16" s="1955"/>
      <c r="R16" s="1955"/>
    </row>
    <row r="17" spans="1:22" ht="18" customHeight="1">
      <c r="A17" s="2010" t="s">
        <v>1803</v>
      </c>
      <c r="B17" s="1961" t="s">
        <v>1804</v>
      </c>
      <c r="C17" s="1000">
        <f>'数据-汇总表'!E3</f>
        <v>119454.59</v>
      </c>
      <c r="D17" s="2011" t="s">
        <v>1805</v>
      </c>
      <c r="E17" s="3107" t="s">
        <v>3205</v>
      </c>
      <c r="F17" s="3108"/>
      <c r="G17" s="3108"/>
      <c r="H17" s="3108"/>
      <c r="I17" s="3109"/>
      <c r="J17" s="1955"/>
      <c r="K17" s="2012"/>
      <c r="L17" s="2007"/>
      <c r="M17" s="2007"/>
      <c r="N17" s="2008"/>
      <c r="O17" s="2007"/>
      <c r="P17" s="2008"/>
      <c r="Q17" s="1955"/>
      <c r="R17" s="1955"/>
      <c r="S17" s="1955"/>
      <c r="T17" s="1955"/>
      <c r="U17" s="1955"/>
      <c r="V17" s="1955"/>
    </row>
    <row r="18" spans="1:22" ht="36" customHeight="1" thickBot="1">
      <c r="A18" s="2013" t="s">
        <v>70</v>
      </c>
      <c r="B18" s="1964" t="s">
        <v>1806</v>
      </c>
      <c r="C18" s="1375">
        <f>'数据-汇总表'!D3</f>
        <v>43598.5</v>
      </c>
      <c r="D18" s="2014" t="s">
        <v>1805</v>
      </c>
      <c r="E18" s="3110" t="s">
        <v>3206</v>
      </c>
      <c r="F18" s="3111"/>
      <c r="G18" s="3111"/>
      <c r="H18" s="3111"/>
      <c r="I18" s="3112"/>
      <c r="J18" s="1955"/>
      <c r="K18" s="2012"/>
      <c r="L18" s="2007"/>
      <c r="M18" s="2007"/>
      <c r="N18" s="2008"/>
      <c r="O18" s="2007"/>
      <c r="P18" s="2008"/>
      <c r="Q18" s="1955"/>
      <c r="R18" s="1955"/>
      <c r="S18" s="1955"/>
      <c r="T18" s="1955"/>
      <c r="U18" s="1955"/>
      <c r="V18" s="1955"/>
    </row>
    <row r="19" spans="1:22" ht="37.5" customHeight="1" thickTop="1" thickBot="1">
      <c r="A19" s="316" t="s">
        <v>1807</v>
      </c>
      <c r="B19" s="295" t="s">
        <v>1808</v>
      </c>
      <c r="C19" s="2015" t="s">
        <v>3194</v>
      </c>
      <c r="D19" s="2016" t="s">
        <v>1809</v>
      </c>
      <c r="E19" s="2017" t="s">
        <v>3207</v>
      </c>
      <c r="F19" s="2018" t="str">
        <f>IF(AND(C19="是",E19="否"),"是否提供他项权证或相关说明","")</f>
        <v>是否提供他项权证或相关说明</v>
      </c>
      <c r="G19" s="2019"/>
      <c r="H19" s="1968"/>
      <c r="I19" s="1968"/>
      <c r="J19" s="1968"/>
      <c r="K19" s="1979"/>
      <c r="L19" s="1954"/>
      <c r="M19" s="1954"/>
      <c r="N19" s="2008"/>
      <c r="O19" s="2007"/>
      <c r="P19" s="2008"/>
      <c r="Q19" s="1955"/>
      <c r="R19" s="1955"/>
      <c r="S19" s="1955"/>
      <c r="T19" s="1955"/>
      <c r="U19" s="1955"/>
      <c r="V19" s="1955"/>
    </row>
    <row r="20" spans="1:22" ht="18" customHeight="1">
      <c r="A20" s="2020" t="s">
        <v>1810</v>
      </c>
      <c r="B20" s="3097" t="s">
        <v>1811</v>
      </c>
      <c r="C20" s="3098"/>
      <c r="D20" s="3099" t="s">
        <v>1812</v>
      </c>
      <c r="E20" s="3100"/>
      <c r="F20" s="2021" t="s">
        <v>1813</v>
      </c>
      <c r="G20" s="1968"/>
      <c r="H20" s="1968"/>
      <c r="I20" s="1968"/>
      <c r="J20" s="1968"/>
      <c r="K20" s="3096" t="s">
        <v>1814</v>
      </c>
      <c r="L20" s="691"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1954"/>
      <c r="N20" s="2008"/>
      <c r="O20" s="2007"/>
      <c r="P20" s="2008"/>
      <c r="Q20" s="1955"/>
      <c r="R20" s="1955"/>
      <c r="S20" s="1955"/>
      <c r="T20" s="1955"/>
      <c r="U20" s="1955"/>
      <c r="V20" s="1955"/>
    </row>
    <row r="21" spans="1:22" ht="24.75" customHeight="1">
      <c r="A21" s="2020"/>
      <c r="B21" s="2022"/>
      <c r="C21" s="2023"/>
      <c r="D21" s="2024"/>
      <c r="E21" s="2025"/>
      <c r="F21" s="2026"/>
      <c r="G21" s="1968"/>
      <c r="H21" s="1968"/>
      <c r="I21" s="1968"/>
      <c r="J21" s="1968"/>
      <c r="K21" s="309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54"/>
      <c r="N21" s="2008"/>
      <c r="O21" s="2007"/>
      <c r="P21" s="2008"/>
      <c r="Q21" s="1955"/>
      <c r="R21" s="1955"/>
      <c r="S21" s="1955"/>
      <c r="T21" s="1955"/>
      <c r="U21" s="1955"/>
      <c r="V21" s="1955"/>
    </row>
    <row r="22" spans="1:22" ht="24.75" customHeight="1" thickBot="1">
      <c r="A22" s="2020"/>
      <c r="B22" s="2027" t="s">
        <v>1815</v>
      </c>
      <c r="C22" s="2023" t="s">
        <v>1816</v>
      </c>
      <c r="D22" s="1952"/>
      <c r="E22" s="1952"/>
      <c r="F22" s="2028"/>
      <c r="G22" s="1968"/>
      <c r="H22" s="1968"/>
      <c r="I22" s="1968"/>
      <c r="J22" s="1968"/>
      <c r="K22" s="309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54"/>
      <c r="N22" s="2008"/>
      <c r="O22" s="2007"/>
      <c r="P22" s="2008"/>
      <c r="Q22" s="1955"/>
      <c r="R22" s="1955"/>
      <c r="S22" s="1955"/>
      <c r="T22" s="1955"/>
      <c r="U22" s="1955"/>
      <c r="V22" s="1955"/>
    </row>
    <row r="23" spans="1:22" ht="18" customHeight="1">
      <c r="A23" s="2029" t="s">
        <v>1817</v>
      </c>
      <c r="B23" s="126" t="s">
        <v>1818</v>
      </c>
      <c r="C23" s="2030"/>
      <c r="D23" s="2031" t="s">
        <v>1818</v>
      </c>
      <c r="E23" s="2032"/>
      <c r="F23" s="2028"/>
      <c r="G23" s="1968"/>
      <c r="H23" s="1968"/>
      <c r="I23" s="1968"/>
      <c r="J23" s="1968"/>
      <c r="K23" s="2033"/>
      <c r="L23" s="691"/>
      <c r="M23" s="1954"/>
      <c r="N23" s="2008"/>
      <c r="O23" s="2007"/>
      <c r="P23" s="2008"/>
      <c r="Q23" s="1955"/>
      <c r="R23" s="1955"/>
      <c r="S23" s="1955"/>
      <c r="T23" s="1955"/>
      <c r="U23" s="1955"/>
      <c r="V23" s="1955"/>
    </row>
    <row r="24" spans="1:22" ht="18" customHeight="1">
      <c r="A24" s="2034"/>
      <c r="B24" s="126" t="s">
        <v>1819</v>
      </c>
      <c r="C24" s="2035"/>
      <c r="D24" s="2029" t="s">
        <v>1819</v>
      </c>
      <c r="E24" s="2036"/>
      <c r="F24" s="2028"/>
      <c r="G24" s="1968"/>
      <c r="H24" s="1968"/>
      <c r="I24" s="1968"/>
      <c r="J24" s="1968"/>
      <c r="K24" s="2033"/>
      <c r="L24" s="691"/>
      <c r="M24" s="1954"/>
      <c r="N24" s="2008"/>
      <c r="O24" s="2007"/>
      <c r="P24" s="2008"/>
      <c r="Q24" s="1955"/>
      <c r="R24" s="1955"/>
      <c r="S24" s="1955"/>
      <c r="T24" s="1955"/>
      <c r="U24" s="1955"/>
      <c r="V24" s="1955"/>
    </row>
    <row r="25" spans="1:22" ht="18" customHeight="1">
      <c r="A25" s="2034"/>
      <c r="B25" s="126" t="s">
        <v>1820</v>
      </c>
      <c r="C25" s="2035"/>
      <c r="D25" s="2029" t="s">
        <v>1820</v>
      </c>
      <c r="E25" s="2036"/>
      <c r="F25" s="2028"/>
      <c r="G25" s="1968"/>
      <c r="H25" s="1968"/>
      <c r="I25" s="1968"/>
      <c r="J25" s="1968"/>
      <c r="K25" s="1979"/>
      <c r="L25" s="1954"/>
      <c r="M25" s="1954"/>
      <c r="N25" s="2008"/>
      <c r="O25" s="2007"/>
      <c r="P25" s="2008"/>
      <c r="Q25" s="1955"/>
      <c r="R25" s="1955"/>
      <c r="S25" s="1955"/>
      <c r="T25" s="1955"/>
      <c r="U25" s="1955"/>
      <c r="V25" s="1955"/>
    </row>
    <row r="26" spans="1:22" ht="18" customHeight="1" thickBot="1">
      <c r="A26" s="2037"/>
      <c r="B26" s="2038" t="s">
        <v>1821</v>
      </c>
      <c r="C26" s="2039"/>
      <c r="D26" s="2040" t="s">
        <v>1822</v>
      </c>
      <c r="E26" s="2041"/>
      <c r="F26" s="2042"/>
      <c r="G26" s="1987"/>
      <c r="H26" s="1987"/>
      <c r="I26" s="1987"/>
      <c r="J26" s="1968"/>
      <c r="K26" s="1979"/>
      <c r="L26" s="1954"/>
      <c r="M26" s="1954"/>
      <c r="N26" s="2008"/>
      <c r="O26" s="2007"/>
      <c r="P26" s="2008"/>
      <c r="Q26" s="1955"/>
      <c r="R26" s="1955"/>
      <c r="S26" s="1955"/>
      <c r="T26" s="1955"/>
      <c r="U26" s="1955"/>
      <c r="V26" s="1955"/>
    </row>
    <row r="27" spans="1:22" ht="18" customHeight="1" thickTop="1">
      <c r="A27" s="3114" t="s">
        <v>1823</v>
      </c>
      <c r="B27" s="1988" t="s">
        <v>1824</v>
      </c>
      <c r="C27" s="2043" t="s">
        <v>3208</v>
      </c>
      <c r="D27" s="2044"/>
      <c r="E27" s="1968"/>
      <c r="F27" s="1968"/>
      <c r="G27" s="1968"/>
      <c r="H27" s="1968"/>
      <c r="I27" s="1968"/>
      <c r="J27" s="1955"/>
      <c r="K27" s="2006"/>
      <c r="L27" s="2007"/>
      <c r="M27" s="2007"/>
      <c r="N27" s="2008"/>
      <c r="O27" s="2007"/>
      <c r="P27" s="2008"/>
      <c r="Q27" s="1955"/>
      <c r="R27" s="1955"/>
      <c r="S27" s="1955"/>
      <c r="T27" s="1955"/>
      <c r="U27" s="1955"/>
      <c r="V27" s="1955"/>
    </row>
    <row r="28" spans="1:22" ht="18" customHeight="1">
      <c r="A28" s="3114"/>
      <c r="B28" s="1961" t="s">
        <v>1825</v>
      </c>
      <c r="C28" s="2045"/>
      <c r="D28" s="2046"/>
      <c r="E28" s="1968"/>
      <c r="F28" s="1968"/>
      <c r="G28" s="1968"/>
      <c r="H28" s="1968"/>
      <c r="I28" s="1968"/>
      <c r="J28" s="1955"/>
      <c r="K28" s="2047"/>
      <c r="L28" s="1954"/>
      <c r="M28" s="1954"/>
      <c r="N28" s="1955"/>
      <c r="O28" s="1956"/>
      <c r="P28" s="1955"/>
      <c r="Q28" s="1955"/>
      <c r="R28" s="1955"/>
      <c r="S28" s="1955"/>
      <c r="T28" s="1955"/>
      <c r="U28" s="1955"/>
      <c r="V28" s="1955"/>
    </row>
    <row r="29" spans="1:22" ht="18" customHeight="1">
      <c r="A29" s="3114"/>
      <c r="B29" s="1961" t="s">
        <v>1826</v>
      </c>
      <c r="C29" s="2048"/>
      <c r="D29" s="2049"/>
      <c r="E29" s="1968"/>
      <c r="F29" s="1968"/>
      <c r="G29" s="1968"/>
      <c r="H29" s="1968"/>
      <c r="I29" s="1968"/>
      <c r="J29" s="1955"/>
      <c r="K29" s="2047"/>
      <c r="L29" s="1954"/>
      <c r="M29" s="1954"/>
      <c r="N29" s="1955"/>
      <c r="O29" s="1956"/>
      <c r="P29" s="1955"/>
      <c r="Q29" s="1955"/>
      <c r="R29" s="1955"/>
      <c r="S29" s="1955"/>
      <c r="T29" s="1955"/>
      <c r="U29" s="1955"/>
      <c r="V29" s="1955"/>
    </row>
    <row r="30" spans="1:22" ht="18" customHeight="1">
      <c r="A30" s="3115"/>
      <c r="B30" s="1961" t="s">
        <v>1827</v>
      </c>
      <c r="C30" s="3116"/>
      <c r="D30" s="3117"/>
      <c r="E30" s="1968"/>
      <c r="F30" s="1968"/>
      <c r="G30" s="1968"/>
      <c r="H30" s="1968"/>
      <c r="I30" s="1968"/>
      <c r="J30" s="1955"/>
      <c r="K30" s="2047"/>
      <c r="L30" s="1954"/>
      <c r="M30" s="1954"/>
      <c r="N30" s="1955"/>
      <c r="O30" s="1956"/>
      <c r="P30" s="1955"/>
      <c r="Q30" s="1955"/>
      <c r="R30" s="1955"/>
      <c r="S30" s="1955"/>
      <c r="T30" s="1955"/>
      <c r="U30" s="1955"/>
      <c r="V30" s="1955"/>
    </row>
    <row r="31" spans="1:22" ht="18" customHeight="1">
      <c r="A31" s="3118" t="s">
        <v>1828</v>
      </c>
      <c r="B31" s="2050" t="s">
        <v>3210</v>
      </c>
      <c r="C31" s="2051" t="str">
        <f>IF(B31="现房","成新及维护状况正常否",IF(B31="在建","工程状态是否正常",IF(B31="土地","是否闲置","-")))</f>
        <v>工程状态是否正常</v>
      </c>
      <c r="D31" s="2052"/>
      <c r="E31" s="2053"/>
      <c r="F31" s="1968"/>
      <c r="G31" s="1968"/>
      <c r="H31" s="1968"/>
      <c r="I31" s="1968"/>
      <c r="J31" s="1968"/>
      <c r="K31" s="1977"/>
      <c r="L31" s="1954"/>
      <c r="M31" s="1954"/>
      <c r="N31" s="1955"/>
      <c r="O31" s="1956"/>
      <c r="P31" s="1955"/>
      <c r="Q31" s="1955"/>
      <c r="R31" s="1955"/>
      <c r="S31" s="1955"/>
      <c r="T31" s="1955"/>
      <c r="U31" s="1955"/>
      <c r="V31" s="1955"/>
    </row>
    <row r="32" spans="1:22" ht="18" customHeight="1">
      <c r="A32" s="3119"/>
      <c r="B32" s="2050"/>
      <c r="C32" s="2051" t="str">
        <f>IF(B32="现房","成新及维护状况是否正常",IF(B32="在建","工程状态是否正常",IF(B32="土地","是否闲置","-")))</f>
        <v>-</v>
      </c>
      <c r="D32" s="2052"/>
      <c r="E32" s="2053"/>
      <c r="F32" s="1968"/>
      <c r="G32" s="1968"/>
      <c r="H32" s="1968"/>
      <c r="I32" s="1968"/>
      <c r="J32" s="1968"/>
      <c r="K32" s="1979"/>
      <c r="L32" s="1954"/>
      <c r="M32" s="1954"/>
      <c r="N32" s="1955"/>
      <c r="O32" s="1956"/>
      <c r="P32" s="1955"/>
      <c r="Q32" s="1955"/>
      <c r="R32" s="1955"/>
      <c r="S32" s="1955"/>
      <c r="T32" s="1955"/>
      <c r="U32" s="1955"/>
      <c r="V32" s="1955"/>
    </row>
    <row r="33" spans="1:22" ht="18" customHeight="1">
      <c r="A33" s="3119"/>
      <c r="B33" s="2054"/>
      <c r="C33" s="1994" t="str">
        <f>IF(B33="现房","成新及维护状况是否正常",IF(B33="在建","工程状态是否正常",IF(B33="土地","是否闲置","-")))</f>
        <v>-</v>
      </c>
      <c r="D33" s="2055"/>
      <c r="E33" s="2056"/>
      <c r="F33" s="1968"/>
      <c r="G33" s="1968"/>
      <c r="H33" s="1968"/>
      <c r="I33" s="1968"/>
      <c r="J33" s="1968"/>
      <c r="K33" s="1979"/>
      <c r="L33" s="1954"/>
      <c r="M33" s="1954"/>
      <c r="N33" s="1955"/>
      <c r="O33" s="1956"/>
      <c r="P33" s="1955"/>
      <c r="Q33" s="1955"/>
      <c r="R33" s="1955"/>
      <c r="S33" s="1955"/>
      <c r="T33" s="1955"/>
      <c r="U33" s="1955"/>
      <c r="V33" s="1955"/>
    </row>
    <row r="34" spans="1:22" ht="18" customHeight="1">
      <c r="A34" s="1961" t="s">
        <v>1829</v>
      </c>
      <c r="B34" s="2057" t="s">
        <v>3211</v>
      </c>
      <c r="C34" s="2057" t="s">
        <v>3212</v>
      </c>
      <c r="D34" s="2057" t="s">
        <v>3213</v>
      </c>
      <c r="E34" s="2057" t="s">
        <v>3214</v>
      </c>
      <c r="F34" s="2057" t="s">
        <v>3215</v>
      </c>
      <c r="G34" s="2057" t="s">
        <v>3216</v>
      </c>
      <c r="H34" s="2057" t="s">
        <v>70</v>
      </c>
      <c r="I34" s="1968"/>
      <c r="J34" s="1968"/>
      <c r="K34" s="1723">
        <f>COUNTIF(B34:H34,"——")</f>
        <v>1</v>
      </c>
      <c r="L34" s="1998" t="s">
        <v>1830</v>
      </c>
      <c r="M34" s="1998" t="s">
        <v>1831</v>
      </c>
      <c r="N34" s="1998" t="s">
        <v>1832</v>
      </c>
      <c r="O34" s="1998" t="s">
        <v>1833</v>
      </c>
      <c r="P34" s="1998" t="s">
        <v>1834</v>
      </c>
      <c r="Q34" s="1998" t="s">
        <v>1835</v>
      </c>
      <c r="R34" s="1998" t="s">
        <v>1836</v>
      </c>
      <c r="S34" s="3113" t="s">
        <v>1837</v>
      </c>
      <c r="T34" s="2058" t="str">
        <f>NUMBERSTRING(7-K34,1)&amp;"通"</f>
        <v>六通</v>
      </c>
      <c r="U34" s="1955"/>
      <c r="V34" s="1955"/>
    </row>
    <row r="35" spans="1:22" ht="18" customHeight="1">
      <c r="A35" s="2059"/>
      <c r="B35" s="3120" t="s">
        <v>1838</v>
      </c>
      <c r="C35" s="3120"/>
      <c r="D35" s="3120"/>
      <c r="E35" s="3120"/>
      <c r="F35" s="2060" t="str">
        <f>C10</f>
        <v>上海市</v>
      </c>
      <c r="G35" s="1968"/>
      <c r="H35" s="1968"/>
      <c r="I35" s="1968"/>
      <c r="J35" s="1968"/>
      <c r="K35" s="1998"/>
      <c r="L35" s="199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3"/>
      <c r="T35" s="48" t="str">
        <f>IF(T34="一通",L35,IF(T34="二通",M35,IF(T34="三通",N35,IF(T34="四通",O35,IF(T34="五通",P35,IF(T34="六通",Q35,R35))))))</f>
        <v>通路、通电、通讯、通上水、通下水、燃气</v>
      </c>
      <c r="U35" s="1955"/>
      <c r="V35" s="1955"/>
    </row>
    <row r="36" spans="1:22" ht="18" customHeight="1">
      <c r="A36" s="2061"/>
      <c r="B36" s="2060" t="s">
        <v>1839</v>
      </c>
      <c r="C36" s="2060" t="s">
        <v>1840</v>
      </c>
      <c r="D36" s="2060" t="s">
        <v>1841</v>
      </c>
      <c r="E36" s="2060" t="s">
        <v>1842</v>
      </c>
      <c r="F36" s="2062"/>
      <c r="G36" s="1968"/>
      <c r="H36" s="1968"/>
      <c r="I36" s="1968"/>
      <c r="J36" s="1968"/>
      <c r="K36" s="1979"/>
      <c r="L36" s="1954"/>
      <c r="M36" s="1954"/>
      <c r="N36" s="1955"/>
      <c r="O36" s="1956"/>
      <c r="P36" s="1955"/>
      <c r="Q36" s="1955"/>
      <c r="R36" s="1955"/>
      <c r="S36" s="1955"/>
      <c r="T36" s="1955"/>
      <c r="U36" s="1955"/>
      <c r="V36" s="1955"/>
    </row>
    <row r="37" spans="1:22" ht="18" customHeight="1">
      <c r="A37" s="2063" t="s">
        <v>1843</v>
      </c>
      <c r="B37" s="2064" t="s">
        <v>528</v>
      </c>
      <c r="C37" s="2064"/>
      <c r="D37" s="2064" t="s">
        <v>528</v>
      </c>
      <c r="E37" s="2064"/>
      <c r="F37" s="2062"/>
      <c r="G37" s="1968"/>
      <c r="H37" s="1968"/>
      <c r="I37" s="1968"/>
      <c r="J37" s="1968"/>
      <c r="K37" s="1979"/>
      <c r="L37" s="1954"/>
      <c r="M37" s="1954"/>
      <c r="N37" s="1955"/>
      <c r="O37" s="1956"/>
      <c r="P37" s="1955"/>
      <c r="Q37" s="1955"/>
      <c r="R37" s="1955"/>
      <c r="S37" s="1955"/>
      <c r="T37" s="1955"/>
      <c r="U37" s="1955"/>
      <c r="V37" s="1955"/>
    </row>
    <row r="38" spans="1:22" ht="18" customHeight="1" thickBot="1">
      <c r="A38" s="2065" t="s">
        <v>1844</v>
      </c>
      <c r="B38" s="2066"/>
      <c r="C38" s="2066"/>
      <c r="D38" s="2066"/>
      <c r="E38" s="2066"/>
      <c r="F38" s="2067"/>
      <c r="G38" s="1987"/>
      <c r="H38" s="1987"/>
      <c r="I38" s="1987"/>
      <c r="J38" s="1968"/>
      <c r="K38" s="1979"/>
      <c r="L38" s="1954"/>
      <c r="M38" s="1954"/>
      <c r="N38" s="1955"/>
      <c r="O38" s="1956"/>
      <c r="P38" s="1955"/>
      <c r="Q38" s="1955"/>
      <c r="R38" s="1955"/>
      <c r="S38" s="1955"/>
      <c r="T38" s="1955"/>
      <c r="U38" s="1955"/>
      <c r="V38" s="1955"/>
    </row>
    <row r="39" spans="1:22" s="2072" customFormat="1" ht="18" customHeight="1" thickTop="1" thickBot="1">
      <c r="A39" s="2068" t="s">
        <v>1845</v>
      </c>
      <c r="B39" s="2069"/>
      <c r="C39" s="2069"/>
      <c r="D39" s="2069"/>
      <c r="E39" s="2069"/>
      <c r="F39" s="2069"/>
      <c r="G39" s="2069"/>
      <c r="H39" s="2069"/>
      <c r="I39" s="2069"/>
      <c r="J39" s="2069"/>
      <c r="K39" s="2070"/>
      <c r="L39" s="2069"/>
      <c r="M39" s="2069"/>
      <c r="N39" s="2069"/>
      <c r="O39" s="2071"/>
      <c r="P39" s="2069"/>
      <c r="Q39" s="2069"/>
      <c r="R39" s="2069"/>
      <c r="S39" s="2069"/>
      <c r="T39" s="2069"/>
      <c r="U39" s="2069"/>
      <c r="V39" s="2069"/>
    </row>
    <row r="40" spans="1:22" ht="18" customHeight="1">
      <c r="A40" s="1955"/>
      <c r="B40" s="1955"/>
      <c r="C40" s="1955"/>
      <c r="D40" s="1955"/>
      <c r="E40" s="1955"/>
      <c r="F40" s="1955"/>
      <c r="G40" s="1955"/>
      <c r="H40" s="1955"/>
      <c r="I40" s="2073"/>
      <c r="J40" s="2008"/>
      <c r="K40" s="609"/>
      <c r="L40" s="2007"/>
      <c r="M40" s="2007"/>
      <c r="N40" s="2008"/>
      <c r="O40" s="2007"/>
      <c r="P40" s="1955"/>
      <c r="Q40" s="1955"/>
      <c r="R40" s="1955"/>
      <c r="S40" s="1955"/>
      <c r="T40" s="1955"/>
      <c r="U40" s="1955"/>
      <c r="V40" s="1955"/>
    </row>
    <row r="41" spans="1:22" ht="18" customHeight="1">
      <c r="A41" s="8" t="s">
        <v>1846</v>
      </c>
      <c r="B41" s="2074"/>
      <c r="C41" s="2075"/>
      <c r="D41" s="1955"/>
      <c r="E41" s="1955"/>
      <c r="F41" s="1955"/>
      <c r="G41" s="1955"/>
      <c r="H41" s="1955"/>
      <c r="I41" s="1956"/>
      <c r="J41" s="1955"/>
      <c r="K41" s="2047"/>
      <c r="L41" s="1954"/>
      <c r="M41" s="1954"/>
      <c r="N41" s="1955"/>
      <c r="O41" s="1956"/>
      <c r="P41" s="1955"/>
      <c r="Q41" s="1955"/>
      <c r="R41" s="1955"/>
      <c r="S41" s="1955"/>
      <c r="T41" s="1955"/>
      <c r="U41" s="1955"/>
      <c r="V41" s="1955"/>
    </row>
    <row r="42" spans="1:22" ht="18" customHeight="1">
      <c r="A42" s="1998" t="s">
        <v>1847</v>
      </c>
      <c r="B42" s="1723" t="s">
        <v>1848</v>
      </c>
      <c r="C42" s="1723" t="s">
        <v>1849</v>
      </c>
      <c r="D42" s="1723" t="s">
        <v>1850</v>
      </c>
      <c r="E42" s="1723" t="s">
        <v>1851</v>
      </c>
      <c r="F42" s="1723" t="s">
        <v>1852</v>
      </c>
      <c r="G42" s="1723" t="s">
        <v>1853</v>
      </c>
      <c r="H42" s="1723" t="s">
        <v>1854</v>
      </c>
      <c r="I42" s="1723" t="s">
        <v>1855</v>
      </c>
      <c r="J42" s="2076" t="s">
        <v>1856</v>
      </c>
      <c r="K42" s="1999" t="s">
        <v>1857</v>
      </c>
      <c r="L42" s="1999" t="s">
        <v>1858</v>
      </c>
      <c r="M42" s="1999" t="s">
        <v>1859</v>
      </c>
      <c r="N42" s="1723" t="s">
        <v>1860</v>
      </c>
      <c r="O42" s="1723" t="s">
        <v>1861</v>
      </c>
      <c r="P42" s="1723" t="s">
        <v>1862</v>
      </c>
      <c r="Q42" s="1998" t="s">
        <v>1863</v>
      </c>
      <c r="R42" s="1998" t="s">
        <v>1864</v>
      </c>
      <c r="S42" s="1955"/>
      <c r="T42" s="1955"/>
      <c r="U42" s="1955"/>
      <c r="V42" s="1955"/>
    </row>
    <row r="43" spans="1:22" s="2081" customFormat="1" ht="18" customHeight="1">
      <c r="A43" s="2077"/>
      <c r="B43" s="1204"/>
      <c r="C43" s="1204"/>
      <c r="D43" s="1204"/>
      <c r="E43" s="1204"/>
      <c r="F43" s="1204"/>
      <c r="G43" s="1204"/>
      <c r="H43" s="9"/>
      <c r="I43" s="9"/>
      <c r="J43" s="2078"/>
      <c r="K43" s="2079"/>
      <c r="L43" s="2079"/>
      <c r="M43" s="9"/>
      <c r="N43" s="1204"/>
      <c r="O43" s="9"/>
      <c r="P43" s="1204"/>
      <c r="Q43" s="1204"/>
      <c r="R43" s="1204"/>
      <c r="S43" s="2080"/>
      <c r="T43" s="2080"/>
      <c r="U43" s="2080"/>
      <c r="V43" s="2080"/>
    </row>
    <row r="44" spans="1:22" s="2081" customFormat="1" ht="18" customHeight="1">
      <c r="A44" s="2077"/>
      <c r="B44" s="2077"/>
      <c r="C44" s="1204"/>
      <c r="D44" s="1204"/>
      <c r="E44" s="1204"/>
      <c r="F44" s="1204"/>
      <c r="G44" s="1204"/>
      <c r="H44" s="9"/>
      <c r="I44" s="9"/>
      <c r="J44" s="2078"/>
      <c r="K44" s="2079"/>
      <c r="L44" s="2079"/>
      <c r="M44" s="9"/>
      <c r="N44" s="1204"/>
      <c r="O44" s="9"/>
      <c r="P44" s="1204"/>
      <c r="Q44" s="1204"/>
      <c r="R44" s="1204"/>
      <c r="S44" s="2080"/>
      <c r="T44" s="2080"/>
      <c r="U44" s="2080"/>
      <c r="V44" s="2080"/>
    </row>
    <row r="45" spans="1:22" s="2081" customFormat="1" ht="18" customHeight="1">
      <c r="A45" s="2077"/>
      <c r="B45" s="2077"/>
      <c r="C45" s="1204"/>
      <c r="D45" s="1204"/>
      <c r="E45" s="1204"/>
      <c r="F45" s="1204"/>
      <c r="G45" s="1204"/>
      <c r="H45" s="9"/>
      <c r="I45" s="9"/>
      <c r="J45" s="2078"/>
      <c r="K45" s="2079"/>
      <c r="L45" s="2079"/>
      <c r="M45" s="9"/>
      <c r="N45" s="1204"/>
      <c r="O45" s="9"/>
      <c r="P45" s="1204"/>
      <c r="Q45" s="1204"/>
      <c r="R45" s="1204"/>
      <c r="S45" s="2080"/>
      <c r="T45" s="2080"/>
      <c r="U45" s="2080"/>
      <c r="V45" s="2080"/>
    </row>
    <row r="46" spans="1:22" s="2081" customFormat="1" ht="18" customHeight="1">
      <c r="A46" s="2077"/>
      <c r="B46" s="2077"/>
      <c r="C46" s="1204"/>
      <c r="D46" s="1204"/>
      <c r="E46" s="1204"/>
      <c r="F46" s="1204"/>
      <c r="G46" s="1204"/>
      <c r="H46" s="9"/>
      <c r="I46" s="9"/>
      <c r="J46" s="2078"/>
      <c r="K46" s="2079"/>
      <c r="L46" s="2079"/>
      <c r="M46" s="9"/>
      <c r="N46" s="1204"/>
      <c r="O46" s="9"/>
      <c r="P46" s="1204"/>
      <c r="Q46" s="1204"/>
      <c r="R46" s="1204"/>
      <c r="S46" s="2080"/>
      <c r="T46" s="2080"/>
      <c r="U46" s="2080"/>
      <c r="V46" s="2080"/>
    </row>
    <row r="47" spans="1:22" s="2081" customFormat="1" ht="18" customHeight="1">
      <c r="A47" s="2077"/>
      <c r="B47" s="2077"/>
      <c r="C47" s="1204"/>
      <c r="D47" s="1204"/>
      <c r="E47" s="1204"/>
      <c r="F47" s="1204"/>
      <c r="G47" s="1204"/>
      <c r="H47" s="9"/>
      <c r="I47" s="9"/>
      <c r="J47" s="2078"/>
      <c r="K47" s="2079"/>
      <c r="L47" s="2079"/>
      <c r="M47" s="9"/>
      <c r="N47" s="1204"/>
      <c r="O47" s="9"/>
      <c r="P47" s="1204"/>
      <c r="Q47" s="1204"/>
      <c r="R47" s="1204"/>
      <c r="S47" s="2080"/>
      <c r="T47" s="2080"/>
      <c r="U47" s="2080"/>
      <c r="V47" s="2080"/>
    </row>
    <row r="48" spans="1:22" s="2081" customFormat="1" ht="18" customHeight="1">
      <c r="A48" s="2077"/>
      <c r="B48" s="2077"/>
      <c r="C48" s="1204"/>
      <c r="D48" s="1204"/>
      <c r="E48" s="1204"/>
      <c r="F48" s="1204"/>
      <c r="G48" s="1204"/>
      <c r="H48" s="9"/>
      <c r="I48" s="9"/>
      <c r="J48" s="2078"/>
      <c r="K48" s="2079"/>
      <c r="L48" s="2079"/>
      <c r="M48" s="9"/>
      <c r="N48" s="1204"/>
      <c r="O48" s="9"/>
      <c r="P48" s="1204"/>
      <c r="Q48" s="1204"/>
      <c r="R48" s="1204"/>
      <c r="S48" s="2080"/>
      <c r="T48" s="2080"/>
      <c r="U48" s="2080"/>
      <c r="V48" s="2080"/>
    </row>
    <row r="49" spans="1:22" s="2081" customFormat="1" ht="18" customHeight="1">
      <c r="A49" s="2077"/>
      <c r="B49" s="2077"/>
      <c r="C49" s="1204"/>
      <c r="D49" s="1204"/>
      <c r="E49" s="1204"/>
      <c r="F49" s="1204"/>
      <c r="G49" s="1204"/>
      <c r="H49" s="9"/>
      <c r="I49" s="9"/>
      <c r="J49" s="2078"/>
      <c r="K49" s="2079"/>
      <c r="L49" s="2079"/>
      <c r="M49" s="9"/>
      <c r="N49" s="1204"/>
      <c r="O49" s="9"/>
      <c r="P49" s="1204"/>
      <c r="Q49" s="1204"/>
      <c r="R49" s="1204"/>
      <c r="S49" s="2080"/>
      <c r="T49" s="2080"/>
      <c r="U49" s="2080"/>
      <c r="V49" s="2080"/>
    </row>
    <row r="50" spans="1:22" s="2081" customFormat="1" ht="18" customHeight="1">
      <c r="A50" s="2077"/>
      <c r="B50" s="2077"/>
      <c r="C50" s="1204"/>
      <c r="D50" s="1204"/>
      <c r="E50" s="1204"/>
      <c r="F50" s="1204"/>
      <c r="G50" s="1204"/>
      <c r="H50" s="9"/>
      <c r="I50" s="9"/>
      <c r="J50" s="2078"/>
      <c r="K50" s="2079"/>
      <c r="L50" s="2079"/>
      <c r="M50" s="9"/>
      <c r="N50" s="1204"/>
      <c r="O50" s="9"/>
      <c r="P50" s="1204"/>
      <c r="Q50" s="1204"/>
      <c r="R50" s="1204"/>
      <c r="S50" s="2080"/>
      <c r="T50" s="2080"/>
      <c r="U50" s="2080"/>
      <c r="V50" s="2080"/>
    </row>
    <row r="51" spans="1:22" s="2081" customFormat="1" ht="18" customHeight="1">
      <c r="A51" s="2077"/>
      <c r="B51" s="2077"/>
      <c r="C51" s="1204"/>
      <c r="D51" s="1204"/>
      <c r="E51" s="1204"/>
      <c r="F51" s="1204"/>
      <c r="G51" s="1204"/>
      <c r="H51" s="9"/>
      <c r="I51" s="9"/>
      <c r="J51" s="2078"/>
      <c r="K51" s="2079"/>
      <c r="L51" s="2079"/>
      <c r="M51" s="9"/>
      <c r="N51" s="1204"/>
      <c r="O51" s="9"/>
      <c r="P51" s="1204"/>
      <c r="Q51" s="1204"/>
      <c r="R51" s="1204"/>
    </row>
    <row r="52" spans="1:22" s="2081" customFormat="1" ht="18" customHeight="1">
      <c r="A52" s="10"/>
      <c r="B52" s="10"/>
      <c r="C52" s="10"/>
      <c r="D52" s="10"/>
      <c r="E52" s="10"/>
      <c r="F52" s="9"/>
      <c r="G52" s="10"/>
      <c r="H52" s="10"/>
      <c r="I52" s="10"/>
      <c r="J52" s="2082"/>
      <c r="K52" s="2079"/>
      <c r="L52" s="2079"/>
      <c r="M52" s="2079"/>
      <c r="N52" s="10"/>
      <c r="O52" s="10"/>
      <c r="P52" s="10"/>
      <c r="Q52" s="10"/>
      <c r="R52" s="10"/>
    </row>
    <row r="53" spans="1:22" s="2081" customFormat="1" ht="18" customHeight="1">
      <c r="A53" s="10"/>
      <c r="B53" s="10"/>
      <c r="C53" s="10"/>
      <c r="D53" s="10"/>
      <c r="E53" s="10"/>
      <c r="F53" s="9"/>
      <c r="G53" s="10"/>
      <c r="H53" s="10"/>
      <c r="I53" s="10"/>
      <c r="J53" s="2082"/>
      <c r="K53" s="2079"/>
      <c r="L53" s="2079"/>
      <c r="M53" s="2079"/>
      <c r="N53" s="10"/>
      <c r="O53" s="10"/>
      <c r="P53" s="10"/>
      <c r="Q53" s="10"/>
      <c r="R53" s="10"/>
    </row>
    <row r="54" spans="1:22" s="2081" customFormat="1" ht="18" customHeight="1">
      <c r="A54" s="10"/>
      <c r="B54" s="10"/>
      <c r="C54" s="10"/>
      <c r="D54" s="10"/>
      <c r="E54" s="10"/>
      <c r="F54" s="9"/>
      <c r="G54" s="10"/>
      <c r="H54" s="10"/>
      <c r="I54" s="10"/>
      <c r="J54" s="2082"/>
      <c r="K54" s="2079"/>
      <c r="L54" s="2079"/>
      <c r="M54" s="2079"/>
      <c r="N54" s="10"/>
      <c r="O54" s="10"/>
      <c r="P54" s="10"/>
      <c r="Q54" s="10"/>
      <c r="R54" s="10"/>
    </row>
    <row r="55" spans="1:22" s="2081" customFormat="1" ht="18" customHeight="1">
      <c r="A55" s="10"/>
      <c r="B55" s="10"/>
      <c r="C55" s="10"/>
      <c r="D55" s="10"/>
      <c r="E55" s="10"/>
      <c r="F55" s="9"/>
      <c r="G55" s="10"/>
      <c r="H55" s="10"/>
      <c r="I55" s="10"/>
      <c r="J55" s="2082"/>
      <c r="K55" s="2079"/>
      <c r="L55" s="2079"/>
      <c r="M55" s="2079"/>
      <c r="N55" s="10"/>
      <c r="O55" s="10"/>
      <c r="P55" s="10"/>
      <c r="Q55" s="10"/>
      <c r="R55" s="10"/>
    </row>
    <row r="56" spans="1:22" s="2081" customFormat="1" ht="18" customHeight="1">
      <c r="A56" s="10"/>
      <c r="B56" s="10"/>
      <c r="C56" s="10"/>
      <c r="D56" s="10"/>
      <c r="E56" s="10"/>
      <c r="F56" s="9"/>
      <c r="G56" s="10"/>
      <c r="H56" s="10"/>
      <c r="I56" s="10"/>
      <c r="J56" s="2082"/>
      <c r="K56" s="2079"/>
      <c r="L56" s="2079"/>
      <c r="M56" s="207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R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083" customWidth="1"/>
    <col min="2" max="2" width="11" style="2083" customWidth="1"/>
    <col min="3" max="3" width="10.375" style="2083" customWidth="1"/>
    <col min="4" max="4" width="9.125" style="2083" customWidth="1"/>
    <col min="5" max="6" width="10" style="2146" customWidth="1"/>
    <col min="7" max="8" width="10" style="2083" customWidth="1"/>
    <col min="9" max="9" width="10.625" style="2083" customWidth="1"/>
    <col min="10" max="10" width="9.5" style="2083" customWidth="1"/>
    <col min="11" max="11" width="11" style="2083" customWidth="1"/>
    <col min="12" max="14" width="9.5" style="2083" customWidth="1"/>
    <col min="15" max="15" width="9.875" style="2083" customWidth="1"/>
    <col min="16" max="16" width="9.75" style="2083" customWidth="1"/>
    <col min="17" max="17" width="9.375" style="2083" customWidth="1"/>
    <col min="18" max="18" width="9.25" style="2083" customWidth="1"/>
    <col min="19" max="19" width="10.875" style="2083" hidden="1" customWidth="1"/>
    <col min="20" max="21" width="10.75" style="2083" hidden="1" customWidth="1"/>
    <col min="22" max="22" width="10.875" style="2083" hidden="1" customWidth="1"/>
    <col min="23" max="27" width="10.75" style="2083" hidden="1" customWidth="1"/>
    <col min="28" max="28" width="10.875" style="2083" hidden="1" customWidth="1"/>
    <col min="29" max="29" width="11" style="2083" bestFit="1" customWidth="1"/>
    <col min="30" max="30" width="10" style="2083" bestFit="1" customWidth="1"/>
    <col min="31" max="31" width="9.75" style="2083" customWidth="1"/>
    <col min="32" max="46" width="9.5" style="2083" customWidth="1"/>
    <col min="47" max="47" width="18.125" style="2083" customWidth="1"/>
    <col min="48" max="50" width="9.75" style="2083" customWidth="1"/>
    <col min="51" max="55" width="10.5" style="2083" bestFit="1" customWidth="1"/>
    <col min="56" max="56" width="9.5" style="2083" bestFit="1" customWidth="1"/>
    <col min="57" max="63" width="9.125" style="2083" bestFit="1" customWidth="1"/>
    <col min="64" max="64" width="9.5" style="2083" bestFit="1" customWidth="1"/>
    <col min="65" max="65" width="9.125" style="2083" bestFit="1" customWidth="1"/>
    <col min="66" max="66" width="9.5" style="2083" bestFit="1" customWidth="1"/>
    <col min="67" max="69" width="9.125" style="2083" bestFit="1" customWidth="1"/>
    <col min="70" max="70" width="9.5" style="2083" bestFit="1" customWidth="1"/>
    <col min="71" max="71" width="9" style="2083" customWidth="1"/>
    <col min="72" max="72" width="9.125" style="2083" bestFit="1" customWidth="1"/>
    <col min="73" max="16384" width="8.875" style="2083"/>
  </cols>
  <sheetData>
    <row r="1" spans="1:72" ht="20.25">
      <c r="A1" s="2086" t="s">
        <v>1865</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1956"/>
      <c r="AO1" s="1956"/>
      <c r="AP1" s="1956"/>
      <c r="AQ1" s="1956"/>
      <c r="AR1" s="1956"/>
      <c r="AS1" s="1956"/>
      <c r="AT1" s="1956"/>
      <c r="AU1" s="1956"/>
      <c r="AV1" s="2087" t="s">
        <v>1866</v>
      </c>
      <c r="AW1" s="1956"/>
      <c r="AX1" s="1956"/>
      <c r="AY1" s="1956"/>
      <c r="AZ1" s="1956"/>
      <c r="BA1" s="1956"/>
      <c r="BB1" s="1956"/>
      <c r="BC1" s="1956"/>
      <c r="BD1" s="1956"/>
      <c r="BE1" s="1956"/>
      <c r="BF1" s="1956"/>
      <c r="BG1" s="1956"/>
      <c r="BH1" s="1956"/>
      <c r="BI1" s="1956"/>
      <c r="BJ1" s="1956"/>
      <c r="BK1" s="1956"/>
      <c r="BL1" s="1956"/>
      <c r="BM1" s="1956"/>
      <c r="BN1" s="1956"/>
      <c r="BO1" s="1956"/>
      <c r="BP1" s="1956"/>
      <c r="BQ1" s="1956"/>
      <c r="BR1" s="1956"/>
      <c r="BS1" s="1956"/>
      <c r="BT1" s="1956"/>
    </row>
    <row r="2" spans="1:72" s="2091" customFormat="1" ht="24">
      <c r="A2" s="11" t="s">
        <v>1867</v>
      </c>
      <c r="B2" s="11" t="s">
        <v>1868</v>
      </c>
      <c r="C2" s="11" t="s">
        <v>1869</v>
      </c>
      <c r="D2" s="2088"/>
      <c r="E2" s="2089"/>
      <c r="F2" s="2090"/>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c r="AT2" s="2088"/>
      <c r="AU2" s="2088"/>
      <c r="AV2" s="2088"/>
      <c r="AW2" s="2088"/>
      <c r="AX2" s="2088"/>
      <c r="AY2" s="1201" t="s">
        <v>1870</v>
      </c>
      <c r="AZ2" s="1202" t="s">
        <v>1871</v>
      </c>
      <c r="BA2" s="11" t="s">
        <v>1872</v>
      </c>
      <c r="BB2" s="2088"/>
      <c r="BC2" s="2088"/>
      <c r="BD2" s="2088"/>
      <c r="BE2" s="2088"/>
      <c r="BF2" s="2088"/>
      <c r="BG2" s="2088"/>
      <c r="BH2" s="2088"/>
      <c r="BI2" s="2088"/>
      <c r="BJ2" s="2088"/>
      <c r="BK2" s="2088"/>
      <c r="BL2" s="2088"/>
      <c r="BM2" s="2088"/>
      <c r="BN2" s="2088"/>
      <c r="BO2" s="2088"/>
      <c r="BP2" s="2088"/>
      <c r="BQ2" s="2088"/>
      <c r="BR2" s="2088"/>
      <c r="BS2" s="2088"/>
      <c r="BT2" s="2088"/>
    </row>
    <row r="3" spans="1:72" s="2091" customFormat="1" ht="12.75">
      <c r="A3" s="13">
        <v>43598.5</v>
      </c>
      <c r="B3" s="14">
        <f>IF(C3="否",G5-AT5,G5)</f>
        <v>119454.59</v>
      </c>
      <c r="C3" s="2092" t="s">
        <v>3194</v>
      </c>
      <c r="D3" s="2088"/>
      <c r="E3" s="2088"/>
      <c r="F3" s="2088"/>
      <c r="G3" s="2088"/>
      <c r="H3" s="2088"/>
      <c r="I3" s="2088"/>
      <c r="J3" s="2088"/>
      <c r="K3" s="2088"/>
      <c r="L3" s="2088"/>
      <c r="M3" s="2088"/>
      <c r="N3" s="2088"/>
      <c r="O3" s="2088"/>
      <c r="P3" s="2088"/>
      <c r="Q3" s="2088"/>
      <c r="R3" s="2088"/>
      <c r="S3" s="2088"/>
      <c r="T3" s="2088"/>
      <c r="U3" s="2088"/>
      <c r="V3" s="2088"/>
      <c r="W3" s="2088"/>
      <c r="X3" s="2088"/>
      <c r="Y3" s="2088"/>
      <c r="Z3" s="2088"/>
      <c r="AA3" s="2088"/>
      <c r="AB3" s="2088"/>
      <c r="AC3" s="2088"/>
      <c r="AD3" s="2088"/>
      <c r="AE3" s="2088"/>
      <c r="AF3" s="2088"/>
      <c r="AG3" s="2088"/>
      <c r="AH3" s="2088"/>
      <c r="AI3" s="2088"/>
      <c r="AJ3" s="2088"/>
      <c r="AK3" s="2088"/>
      <c r="AL3" s="2088"/>
      <c r="AM3" s="2088"/>
      <c r="AN3" s="2088"/>
      <c r="AO3" s="2088"/>
      <c r="AP3" s="2088"/>
      <c r="AQ3" s="2088"/>
      <c r="AR3" s="2088"/>
      <c r="AS3" s="2088"/>
      <c r="AT3" s="2088"/>
      <c r="AU3" s="2088"/>
      <c r="AV3" s="2088"/>
      <c r="AW3" s="2088"/>
      <c r="AX3" s="2088"/>
      <c r="AY3" s="1203"/>
      <c r="AZ3" s="1204"/>
      <c r="BA3" s="1205"/>
      <c r="BB3" s="2088"/>
      <c r="BC3" s="2088"/>
      <c r="BD3" s="2088"/>
      <c r="BE3" s="2088"/>
      <c r="BF3" s="2088"/>
      <c r="BG3" s="2088"/>
      <c r="BH3" s="2088"/>
      <c r="BI3" s="2088"/>
      <c r="BJ3" s="2088"/>
      <c r="BK3" s="2088"/>
      <c r="BL3" s="2088"/>
      <c r="BM3" s="2088"/>
      <c r="BN3" s="2088"/>
      <c r="BO3" s="2088"/>
      <c r="BP3" s="2088"/>
      <c r="BQ3" s="2088"/>
      <c r="BR3" s="2088"/>
      <c r="BS3" s="2088"/>
      <c r="BT3" s="2088"/>
    </row>
    <row r="4" spans="1:72" s="2097" customFormat="1" ht="13.5" thickBot="1">
      <c r="A4" s="2093"/>
      <c r="B4" s="2094"/>
      <c r="C4" s="2095"/>
      <c r="D4" s="2088"/>
      <c r="E4" s="2088"/>
      <c r="F4" s="2088"/>
      <c r="G4" s="2088"/>
      <c r="H4" s="2088"/>
      <c r="I4" s="2088"/>
      <c r="J4" s="2088"/>
      <c r="K4" s="2088"/>
      <c r="L4" s="2088"/>
      <c r="M4" s="2088"/>
      <c r="N4" s="2088"/>
      <c r="O4" s="2088"/>
      <c r="P4" s="2088"/>
      <c r="Q4" s="2088"/>
      <c r="R4" s="2088"/>
      <c r="S4" s="2088"/>
      <c r="T4" s="2088"/>
      <c r="U4" s="2088"/>
      <c r="V4" s="2088"/>
      <c r="W4" s="2088"/>
      <c r="X4" s="2088"/>
      <c r="Y4" s="2088"/>
      <c r="Z4" s="2088"/>
      <c r="AA4" s="2088"/>
      <c r="AB4" s="2088"/>
      <c r="AC4" s="2088"/>
      <c r="AD4" s="2088"/>
      <c r="AE4" s="2088"/>
      <c r="AF4" s="2088"/>
      <c r="AG4" s="2088"/>
      <c r="AH4" s="2088"/>
      <c r="AI4" s="2088"/>
      <c r="AJ4" s="2088"/>
      <c r="AK4" s="2088"/>
      <c r="AL4" s="2088"/>
      <c r="AM4" s="2088"/>
      <c r="AN4" s="2088"/>
      <c r="AO4" s="2088"/>
      <c r="AP4" s="2088"/>
      <c r="AQ4" s="2088"/>
      <c r="AR4" s="2088"/>
      <c r="AS4" s="2088"/>
      <c r="AT4" s="2088"/>
      <c r="AU4" s="2088"/>
      <c r="AV4" s="2088"/>
      <c r="AW4" s="2088"/>
      <c r="AX4" s="2088"/>
      <c r="AY4" s="2088"/>
      <c r="AZ4" s="2088"/>
      <c r="BA4" s="2096"/>
      <c r="BB4" s="2088"/>
      <c r="BC4" s="2088"/>
      <c r="BD4" s="2088"/>
      <c r="BE4" s="2088"/>
      <c r="BF4" s="2088"/>
      <c r="BG4" s="2088"/>
      <c r="BH4" s="2088"/>
      <c r="BI4" s="2088"/>
      <c r="BJ4" s="2088"/>
      <c r="BK4" s="2088"/>
      <c r="BL4" s="2088"/>
      <c r="BM4" s="2088"/>
      <c r="BN4" s="2088"/>
      <c r="BO4" s="2088"/>
      <c r="BP4" s="2088"/>
      <c r="BQ4" s="2088"/>
      <c r="BR4" s="2088"/>
      <c r="BS4" s="2088"/>
      <c r="BT4" s="2088"/>
    </row>
    <row r="5" spans="1:72" s="2091" customFormat="1" ht="12.75">
      <c r="A5" s="15" t="s">
        <v>1873</v>
      </c>
      <c r="B5" s="1731"/>
      <c r="C5" s="1731"/>
      <c r="D5" s="1733"/>
      <c r="E5" s="16" t="s">
        <v>1</v>
      </c>
      <c r="F5" s="16">
        <f>SUM(F13:F587)</f>
        <v>0</v>
      </c>
      <c r="G5" s="16">
        <f>SUM(G13:G587)</f>
        <v>119454.59</v>
      </c>
      <c r="H5" s="16">
        <f t="shared" ref="H5:AT5" si="0">SUM(H13:H656)</f>
        <v>110876.37</v>
      </c>
      <c r="I5" s="16">
        <f t="shared" si="0"/>
        <v>4023.76</v>
      </c>
      <c r="J5" s="16">
        <f t="shared" si="0"/>
        <v>0</v>
      </c>
      <c r="K5" s="16">
        <f t="shared" si="0"/>
        <v>76697.34</v>
      </c>
      <c r="L5" s="16">
        <f t="shared" si="0"/>
        <v>0</v>
      </c>
      <c r="M5" s="16">
        <f t="shared" si="0"/>
        <v>30155.269999999997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8578.2200000000012</v>
      </c>
      <c r="AD5" s="16">
        <f t="shared" si="0"/>
        <v>1450.5999999999995</v>
      </c>
      <c r="AE5" s="16">
        <f t="shared" si="0"/>
        <v>0</v>
      </c>
      <c r="AF5" s="16">
        <f t="shared" si="0"/>
        <v>0</v>
      </c>
      <c r="AG5" s="16">
        <f t="shared" si="0"/>
        <v>0</v>
      </c>
      <c r="AH5" s="16">
        <f t="shared" si="0"/>
        <v>259.19</v>
      </c>
      <c r="AI5" s="16">
        <f t="shared" si="0"/>
        <v>0</v>
      </c>
      <c r="AJ5" s="16">
        <f t="shared" si="0"/>
        <v>0</v>
      </c>
      <c r="AK5" s="16">
        <f t="shared" si="0"/>
        <v>0</v>
      </c>
      <c r="AL5" s="16">
        <f t="shared" si="0"/>
        <v>544.01499999999999</v>
      </c>
      <c r="AM5" s="16">
        <f t="shared" si="0"/>
        <v>0</v>
      </c>
      <c r="AN5" s="16">
        <f t="shared" si="0"/>
        <v>6324.4150000000009</v>
      </c>
      <c r="AO5" s="16">
        <f t="shared" si="0"/>
        <v>0</v>
      </c>
      <c r="AP5" s="16">
        <f t="shared" si="0"/>
        <v>0</v>
      </c>
      <c r="AQ5" s="16">
        <f t="shared" si="0"/>
        <v>0</v>
      </c>
      <c r="AR5" s="16">
        <f t="shared" si="0"/>
        <v>0</v>
      </c>
      <c r="AS5" s="16">
        <f t="shared" si="0"/>
        <v>0</v>
      </c>
      <c r="AT5" s="16">
        <f t="shared" si="0"/>
        <v>0</v>
      </c>
      <c r="AU5" s="1730"/>
      <c r="AV5" s="15" t="s">
        <v>1873</v>
      </c>
      <c r="AW5" s="1731"/>
      <c r="AX5" s="1731"/>
      <c r="AY5" s="17" t="s">
        <v>3</v>
      </c>
      <c r="AZ5" s="18">
        <f t="shared" ref="AZ5:BT5" si="1">SUM(AZ13:AZ656)</f>
        <v>119454.59</v>
      </c>
      <c r="BA5" s="18">
        <f t="shared" si="1"/>
        <v>110876.37</v>
      </c>
      <c r="BB5" s="18">
        <f t="shared" si="1"/>
        <v>4023.76</v>
      </c>
      <c r="BC5" s="18">
        <f t="shared" si="1"/>
        <v>76697.34</v>
      </c>
      <c r="BD5" s="18">
        <f t="shared" si="1"/>
        <v>30155.269999999997</v>
      </c>
      <c r="BE5" s="18">
        <f t="shared" si="1"/>
        <v>0</v>
      </c>
      <c r="BF5" s="18">
        <f t="shared" si="1"/>
        <v>0</v>
      </c>
      <c r="BG5" s="18">
        <f t="shared" si="1"/>
        <v>0</v>
      </c>
      <c r="BH5" s="18">
        <f t="shared" si="1"/>
        <v>0</v>
      </c>
      <c r="BI5" s="18">
        <f t="shared" si="1"/>
        <v>0</v>
      </c>
      <c r="BJ5" s="18">
        <f t="shared" si="1"/>
        <v>0</v>
      </c>
      <c r="BK5" s="18">
        <f t="shared" si="1"/>
        <v>0</v>
      </c>
      <c r="BL5" s="18">
        <f t="shared" si="1"/>
        <v>8578.2200000000012</v>
      </c>
      <c r="BM5" s="18">
        <f t="shared" si="1"/>
        <v>1450.5999999999995</v>
      </c>
      <c r="BN5" s="18">
        <f t="shared" si="1"/>
        <v>0</v>
      </c>
      <c r="BO5" s="18">
        <f t="shared" si="1"/>
        <v>259.19</v>
      </c>
      <c r="BP5" s="18">
        <f t="shared" si="1"/>
        <v>0</v>
      </c>
      <c r="BQ5" s="18">
        <f t="shared" si="1"/>
        <v>544.01499999999999</v>
      </c>
      <c r="BR5" s="18">
        <f t="shared" si="1"/>
        <v>6324.4150000000009</v>
      </c>
      <c r="BS5" s="18">
        <f t="shared" si="1"/>
        <v>0</v>
      </c>
      <c r="BT5" s="19">
        <f t="shared" si="1"/>
        <v>0</v>
      </c>
    </row>
    <row r="6" spans="1:72" s="2101" customFormat="1" ht="12.75">
      <c r="A6" s="15" t="s">
        <v>1874</v>
      </c>
      <c r="B6" s="2098"/>
      <c r="C6" s="2098"/>
      <c r="D6" s="2099"/>
      <c r="E6" s="16">
        <f>H6+AC6+AT6</f>
        <v>43598.490000000005</v>
      </c>
      <c r="F6" s="16" t="s">
        <v>1</v>
      </c>
      <c r="G6" s="16" t="s">
        <v>2</v>
      </c>
      <c r="H6" s="20">
        <f>SUMIF(I$12:AB$12,"总值",I6:AB6)</f>
        <v>40467.620000000003</v>
      </c>
      <c r="I6" s="16">
        <f t="shared" ref="I6:AB6" si="2">ROUND($A$3*I5/$B$3,2)</f>
        <v>1468.59</v>
      </c>
      <c r="J6" s="16">
        <f t="shared" si="2"/>
        <v>0</v>
      </c>
      <c r="K6" s="16">
        <f t="shared" si="2"/>
        <v>27992.97</v>
      </c>
      <c r="L6" s="16">
        <f t="shared" si="2"/>
        <v>0</v>
      </c>
      <c r="M6" s="16">
        <f t="shared" si="2"/>
        <v>11006.06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3130.8700000000003</v>
      </c>
      <c r="AD6" s="16">
        <f t="shared" ref="AD6:AS6" si="3">ROUND($A$3*AD5/$B$3,2)</f>
        <v>529.44000000000005</v>
      </c>
      <c r="AE6" s="16">
        <f t="shared" si="3"/>
        <v>0</v>
      </c>
      <c r="AF6" s="16">
        <f t="shared" si="3"/>
        <v>0</v>
      </c>
      <c r="AG6" s="16">
        <f t="shared" si="3"/>
        <v>0</v>
      </c>
      <c r="AH6" s="16">
        <f t="shared" si="3"/>
        <v>94.6</v>
      </c>
      <c r="AI6" s="16">
        <f t="shared" si="3"/>
        <v>0</v>
      </c>
      <c r="AJ6" s="16">
        <f t="shared" si="3"/>
        <v>0</v>
      </c>
      <c r="AK6" s="16">
        <f t="shared" si="3"/>
        <v>0</v>
      </c>
      <c r="AL6" s="16">
        <f t="shared" si="3"/>
        <v>198.55</v>
      </c>
      <c r="AM6" s="16">
        <f t="shared" si="3"/>
        <v>0</v>
      </c>
      <c r="AN6" s="16">
        <f t="shared" si="3"/>
        <v>2308.2800000000002</v>
      </c>
      <c r="AO6" s="16">
        <f t="shared" si="3"/>
        <v>0</v>
      </c>
      <c r="AP6" s="16">
        <f t="shared" si="3"/>
        <v>0</v>
      </c>
      <c r="AQ6" s="16">
        <f t="shared" si="3"/>
        <v>0</v>
      </c>
      <c r="AR6" s="16">
        <f t="shared" si="3"/>
        <v>0</v>
      </c>
      <c r="AS6" s="16">
        <f t="shared" si="3"/>
        <v>0</v>
      </c>
      <c r="AT6" s="20">
        <f>IF(C3="是",ROUND($A$3*AT5/$B$3,2),0)</f>
        <v>0</v>
      </c>
      <c r="AU6" s="2100"/>
      <c r="AV6" s="15" t="s">
        <v>1874</v>
      </c>
      <c r="AW6" s="2098"/>
      <c r="AX6" s="2098"/>
      <c r="AY6" s="21">
        <f>IF(AY3&gt;0,AY3,ROUND($A$3*AZ5/$B$3,2))</f>
        <v>43598.5</v>
      </c>
      <c r="AZ6" s="16" t="s">
        <v>3</v>
      </c>
      <c r="BA6" s="16">
        <f>ROUND($AY$6*BA5/$AZ$5,2)</f>
        <v>40467.620000000003</v>
      </c>
      <c r="BB6" s="16">
        <f>ROUND($AY$6*BB5/$AZ$5,2)</f>
        <v>1468.59</v>
      </c>
      <c r="BC6" s="16">
        <f t="shared" ref="BC6:BH6" si="4">ROUND($AY$6*BC5/$AZ$5,2)</f>
        <v>27992.97</v>
      </c>
      <c r="BD6" s="16">
        <f t="shared" si="4"/>
        <v>11006.06</v>
      </c>
      <c r="BE6" s="16">
        <f t="shared" si="4"/>
        <v>0</v>
      </c>
      <c r="BF6" s="16">
        <f t="shared" si="4"/>
        <v>0</v>
      </c>
      <c r="BG6" s="16">
        <f t="shared" si="4"/>
        <v>0</v>
      </c>
      <c r="BH6" s="16">
        <f t="shared" si="4"/>
        <v>0</v>
      </c>
      <c r="BI6" s="16">
        <f t="shared" ref="BI6:BT6" si="5">ROUND($AY$6*BI5/$AZ$5,2)</f>
        <v>0</v>
      </c>
      <c r="BJ6" s="16">
        <f t="shared" si="5"/>
        <v>0</v>
      </c>
      <c r="BK6" s="16">
        <f t="shared" si="5"/>
        <v>0</v>
      </c>
      <c r="BL6" s="16">
        <f t="shared" si="5"/>
        <v>3130.88</v>
      </c>
      <c r="BM6" s="16">
        <f t="shared" si="5"/>
        <v>529.44000000000005</v>
      </c>
      <c r="BN6" s="16">
        <f t="shared" si="5"/>
        <v>0</v>
      </c>
      <c r="BO6" s="16">
        <f t="shared" si="5"/>
        <v>94.6</v>
      </c>
      <c r="BP6" s="16">
        <f t="shared" si="5"/>
        <v>0</v>
      </c>
      <c r="BQ6" s="16">
        <f t="shared" si="5"/>
        <v>198.55</v>
      </c>
      <c r="BR6" s="16">
        <f t="shared" si="5"/>
        <v>2308.2800000000002</v>
      </c>
      <c r="BS6" s="16">
        <f t="shared" si="5"/>
        <v>0</v>
      </c>
      <c r="BT6" s="22">
        <f t="shared" si="5"/>
        <v>0</v>
      </c>
    </row>
    <row r="7" spans="1:72" s="2091" customFormat="1" ht="24.75">
      <c r="A7" s="2033" t="s">
        <v>1875</v>
      </c>
      <c r="B7" s="2033" t="s">
        <v>1876</v>
      </c>
      <c r="C7" s="2033" t="s">
        <v>1877</v>
      </c>
      <c r="D7" s="2033" t="s">
        <v>1878</v>
      </c>
      <c r="E7" s="2033" t="s">
        <v>1879</v>
      </c>
      <c r="F7" s="2033" t="s">
        <v>1880</v>
      </c>
      <c r="G7" s="2102" t="s">
        <v>1881</v>
      </c>
      <c r="H7" s="2103"/>
      <c r="I7" s="2103"/>
      <c r="J7" s="2103"/>
      <c r="K7" s="2103"/>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c r="AP7" s="2103"/>
      <c r="AQ7" s="2103"/>
      <c r="AR7" s="2103"/>
      <c r="AS7" s="2103"/>
      <c r="AT7" s="1733"/>
      <c r="AU7" s="2103" t="s">
        <v>1882</v>
      </c>
      <c r="AV7" s="23" t="s">
        <v>1883</v>
      </c>
      <c r="AW7" s="2090" t="s">
        <v>1884</v>
      </c>
      <c r="AX7" s="23" t="s">
        <v>1877</v>
      </c>
      <c r="AY7" s="1731" t="s">
        <v>1885</v>
      </c>
      <c r="AZ7" s="2104"/>
      <c r="BA7" s="2103"/>
      <c r="BB7" s="2103"/>
      <c r="BC7" s="2103"/>
      <c r="BD7" s="2103"/>
      <c r="BE7" s="2103"/>
      <c r="BF7" s="2103"/>
      <c r="BG7" s="2103"/>
      <c r="BH7" s="2103"/>
      <c r="BI7" s="2103"/>
      <c r="BJ7" s="2103"/>
      <c r="BK7" s="2103"/>
      <c r="BL7" s="2103"/>
      <c r="BM7" s="2103"/>
      <c r="BN7" s="2103"/>
      <c r="BO7" s="2103"/>
      <c r="BP7" s="2103"/>
      <c r="BQ7" s="2103"/>
      <c r="BR7" s="2103"/>
      <c r="BS7" s="2103"/>
      <c r="BT7" s="2105"/>
    </row>
    <row r="8" spans="1:72" s="2113" customFormat="1" ht="24">
      <c r="A8" s="2106"/>
      <c r="B8" s="2106"/>
      <c r="C8" s="2106"/>
      <c r="D8" s="2106"/>
      <c r="E8" s="2106"/>
      <c r="F8" s="2106"/>
      <c r="G8" s="2107" t="s">
        <v>1886</v>
      </c>
      <c r="H8" s="2108" t="s">
        <v>1887</v>
      </c>
      <c r="I8" s="2109"/>
      <c r="J8" s="1744"/>
      <c r="K8" s="1744"/>
      <c r="L8" s="1744"/>
      <c r="M8" s="1744"/>
      <c r="N8" s="1744"/>
      <c r="O8" s="1744"/>
      <c r="P8" s="1744"/>
      <c r="Q8" s="1744"/>
      <c r="R8" s="1744"/>
      <c r="S8" s="1744"/>
      <c r="T8" s="1744"/>
      <c r="U8" s="1744"/>
      <c r="V8" s="2110"/>
      <c r="W8" s="1744"/>
      <c r="X8" s="1744"/>
      <c r="Y8" s="1744"/>
      <c r="Z8" s="1744"/>
      <c r="AA8" s="2110"/>
      <c r="AB8" s="2111"/>
      <c r="AC8" s="927" t="s">
        <v>1888</v>
      </c>
      <c r="AD8" s="2112"/>
      <c r="AE8" s="2104"/>
      <c r="AF8" s="1744"/>
      <c r="AG8" s="1744"/>
      <c r="AH8" s="1744"/>
      <c r="AI8" s="1744"/>
      <c r="AJ8" s="1744"/>
      <c r="AK8" s="1744"/>
      <c r="AL8" s="1744"/>
      <c r="AM8" s="1744"/>
      <c r="AN8" s="1744"/>
      <c r="AO8" s="1744"/>
      <c r="AP8" s="1744"/>
      <c r="AQ8" s="1744"/>
      <c r="AR8" s="1744"/>
      <c r="AS8" s="1744"/>
      <c r="AT8" s="1224" t="s">
        <v>1889</v>
      </c>
      <c r="AU8" s="2106" t="s">
        <v>1890</v>
      </c>
      <c r="AV8" s="1224"/>
      <c r="AW8" s="2089"/>
      <c r="AX8" s="1224"/>
      <c r="AY8" s="2090" t="s">
        <v>1891</v>
      </c>
      <c r="AZ8" s="1743" t="s">
        <v>1892</v>
      </c>
      <c r="BA8" s="1744"/>
      <c r="BB8" s="1744"/>
      <c r="BC8" s="1744"/>
      <c r="BD8" s="1744"/>
      <c r="BE8" s="1744"/>
      <c r="BF8" s="1744"/>
      <c r="BG8" s="1744"/>
      <c r="BH8" s="1744"/>
      <c r="BI8" s="1744"/>
      <c r="BJ8" s="1744"/>
      <c r="BK8" s="1744"/>
      <c r="BL8" s="1744"/>
      <c r="BM8" s="1744"/>
      <c r="BN8" s="1744"/>
      <c r="BO8" s="1744"/>
      <c r="BP8" s="1744"/>
      <c r="BQ8" s="1744"/>
      <c r="BR8" s="1744"/>
      <c r="BS8" s="1744"/>
      <c r="BT8" s="26"/>
    </row>
    <row r="9" spans="1:72" s="2113" customFormat="1" ht="12.75">
      <c r="A9" s="2106"/>
      <c r="B9" s="2106"/>
      <c r="C9" s="2106"/>
      <c r="D9" s="2106"/>
      <c r="E9" s="2106"/>
      <c r="F9" s="2106"/>
      <c r="G9" s="1224"/>
      <c r="H9" s="2114" t="s">
        <v>1893</v>
      </c>
      <c r="I9" s="2115" t="s">
        <v>3192</v>
      </c>
      <c r="J9" s="927"/>
      <c r="K9" s="2115" t="s">
        <v>3192</v>
      </c>
      <c r="L9" s="927"/>
      <c r="M9" s="2115" t="s">
        <v>3262</v>
      </c>
      <c r="N9" s="927"/>
      <c r="O9" s="2115"/>
      <c r="P9" s="927"/>
      <c r="Q9" s="2115"/>
      <c r="R9" s="927"/>
      <c r="S9" s="2115"/>
      <c r="T9" s="927"/>
      <c r="U9" s="2115"/>
      <c r="V9" s="927"/>
      <c r="W9" s="2115"/>
      <c r="X9" s="2116"/>
      <c r="Y9" s="2115"/>
      <c r="Z9" s="927"/>
      <c r="AA9" s="2115"/>
      <c r="AB9" s="927"/>
      <c r="AC9" s="2107" t="s">
        <v>1893</v>
      </c>
      <c r="AD9" s="15" t="s">
        <v>1894</v>
      </c>
      <c r="AE9" s="1230"/>
      <c r="AF9" s="15" t="s">
        <v>1895</v>
      </c>
      <c r="AG9" s="1230"/>
      <c r="AH9" s="15" t="s">
        <v>1894</v>
      </c>
      <c r="AI9" s="1230"/>
      <c r="AJ9" s="15" t="s">
        <v>1895</v>
      </c>
      <c r="AK9" s="1230"/>
      <c r="AL9" s="15" t="s">
        <v>1894</v>
      </c>
      <c r="AM9" s="1230"/>
      <c r="AN9" s="15" t="s">
        <v>1895</v>
      </c>
      <c r="AO9" s="1230"/>
      <c r="AP9" s="15" t="s">
        <v>1894</v>
      </c>
      <c r="AQ9" s="1230"/>
      <c r="AR9" s="15" t="s">
        <v>1895</v>
      </c>
      <c r="AS9" s="2117"/>
      <c r="AT9" s="2106"/>
      <c r="AU9" s="2106" t="s">
        <v>1896</v>
      </c>
      <c r="AV9" s="1224"/>
      <c r="AW9" s="2089"/>
      <c r="AX9" s="1224"/>
      <c r="AY9" s="28"/>
      <c r="AZ9" s="28" t="s">
        <v>1886</v>
      </c>
      <c r="BA9" s="2118" t="s">
        <v>1897</v>
      </c>
      <c r="BB9" s="2119"/>
      <c r="BC9" s="1270"/>
      <c r="BD9" s="1270"/>
      <c r="BE9" s="1270"/>
      <c r="BF9" s="1270"/>
      <c r="BG9" s="1270"/>
      <c r="BH9" s="1270"/>
      <c r="BI9" s="1270"/>
      <c r="BJ9" s="1270"/>
      <c r="BK9" s="2120"/>
      <c r="BL9" s="15" t="s">
        <v>1898</v>
      </c>
      <c r="BM9" s="1744"/>
      <c r="BN9" s="2109"/>
      <c r="BO9" s="1744"/>
      <c r="BP9" s="1744"/>
      <c r="BQ9" s="1744"/>
      <c r="BR9" s="1744"/>
      <c r="BS9" s="1744"/>
      <c r="BT9" s="26"/>
    </row>
    <row r="10" spans="1:72" s="2113" customFormat="1" ht="12.75">
      <c r="A10" s="2106"/>
      <c r="B10" s="2106"/>
      <c r="C10" s="2106"/>
      <c r="D10" s="2106"/>
      <c r="E10" s="2106"/>
      <c r="F10" s="2106"/>
      <c r="G10" s="1224"/>
      <c r="H10" s="28"/>
      <c r="I10" s="2115" t="s">
        <v>3193</v>
      </c>
      <c r="J10" s="927"/>
      <c r="K10" s="2121" t="s">
        <v>3193</v>
      </c>
      <c r="L10" s="927"/>
      <c r="M10" s="2121" t="s">
        <v>3301</v>
      </c>
      <c r="N10" s="927"/>
      <c r="O10" s="2121"/>
      <c r="P10" s="927"/>
      <c r="Q10" s="2121"/>
      <c r="R10" s="927"/>
      <c r="S10" s="2121"/>
      <c r="T10" s="927"/>
      <c r="U10" s="2121"/>
      <c r="V10" s="927"/>
      <c r="W10" s="2121"/>
      <c r="X10" s="927"/>
      <c r="Y10" s="2121"/>
      <c r="Z10" s="927"/>
      <c r="AA10" s="2121"/>
      <c r="AB10" s="927"/>
      <c r="AC10" s="1224"/>
      <c r="AD10" s="15" t="s">
        <v>1899</v>
      </c>
      <c r="AE10" s="2122"/>
      <c r="AF10" s="15" t="s">
        <v>1899</v>
      </c>
      <c r="AG10" s="2122"/>
      <c r="AH10" s="15" t="s">
        <v>1900</v>
      </c>
      <c r="AI10" s="2122"/>
      <c r="AJ10" s="15" t="s">
        <v>1900</v>
      </c>
      <c r="AK10" s="2122"/>
      <c r="AL10" s="15" t="s">
        <v>1901</v>
      </c>
      <c r="AM10" s="1230"/>
      <c r="AN10" s="15" t="s">
        <v>1901</v>
      </c>
      <c r="AO10" s="1230"/>
      <c r="AP10" s="15" t="s">
        <v>1902</v>
      </c>
      <c r="AQ10" s="1230"/>
      <c r="AR10" s="15" t="s">
        <v>1902</v>
      </c>
      <c r="AS10" s="1230"/>
      <c r="AT10" s="2106"/>
      <c r="AU10" s="2106"/>
      <c r="AV10" s="1224"/>
      <c r="AW10" s="2089"/>
      <c r="AX10" s="1224"/>
      <c r="AY10" s="28"/>
      <c r="AZ10" s="28"/>
      <c r="BA10" s="2123" t="s">
        <v>1893</v>
      </c>
      <c r="BB10" s="2124"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743" t="str">
        <f>AD9</f>
        <v>地上</v>
      </c>
      <c r="BN10" s="29" t="str">
        <f>AF9</f>
        <v>地下</v>
      </c>
      <c r="BO10" s="1743" t="str">
        <f>AH9</f>
        <v>地上</v>
      </c>
      <c r="BP10" s="29" t="str">
        <f>AJ9</f>
        <v>地下</v>
      </c>
      <c r="BQ10" s="1743" t="str">
        <f>AL9</f>
        <v>地上</v>
      </c>
      <c r="BR10" s="29" t="str">
        <f>AN9</f>
        <v>地下</v>
      </c>
      <c r="BS10" s="1743" t="str">
        <f>AP9</f>
        <v>地上</v>
      </c>
      <c r="BT10" s="2125" t="str">
        <f>AR9</f>
        <v>地下</v>
      </c>
    </row>
    <row r="11" spans="1:72" s="2113" customFormat="1" ht="12.75">
      <c r="A11" s="2106"/>
      <c r="B11" s="2106"/>
      <c r="C11" s="2106"/>
      <c r="D11" s="2106"/>
      <c r="E11" s="2106"/>
      <c r="F11" s="2106"/>
      <c r="G11" s="1224"/>
      <c r="H11" s="2123"/>
      <c r="I11" s="2126"/>
      <c r="J11" s="2127"/>
      <c r="K11" s="2126"/>
      <c r="L11" s="2127"/>
      <c r="M11" s="2126"/>
      <c r="N11" s="2127"/>
      <c r="O11" s="2126"/>
      <c r="P11" s="2127"/>
      <c r="Q11" s="2126"/>
      <c r="R11" s="2127"/>
      <c r="S11" s="2126"/>
      <c r="T11" s="2127"/>
      <c r="U11" s="2126"/>
      <c r="V11" s="2127"/>
      <c r="W11" s="2126"/>
      <c r="X11" s="2127"/>
      <c r="Y11" s="2126"/>
      <c r="Z11" s="2127"/>
      <c r="AA11" s="2126"/>
      <c r="AB11" s="2127"/>
      <c r="AC11" s="1224"/>
      <c r="AD11" s="2128" t="s">
        <v>1903</v>
      </c>
      <c r="AE11" s="1745"/>
      <c r="AF11" s="2128" t="s">
        <v>1903</v>
      </c>
      <c r="AG11" s="1745"/>
      <c r="AH11" s="2128" t="s">
        <v>1904</v>
      </c>
      <c r="AI11" s="2129"/>
      <c r="AJ11" s="2128" t="s">
        <v>1904</v>
      </c>
      <c r="AK11" s="1745"/>
      <c r="AL11" s="1743"/>
      <c r="AM11" s="1745"/>
      <c r="AN11" s="1743"/>
      <c r="AO11" s="1745"/>
      <c r="AP11" s="1743"/>
      <c r="AQ11" s="1745"/>
      <c r="AR11" s="1743"/>
      <c r="AS11" s="1745"/>
      <c r="AT11" s="2089"/>
      <c r="AU11" s="2106"/>
      <c r="AV11" s="1224"/>
      <c r="AW11" s="2089"/>
      <c r="AX11" s="1224"/>
      <c r="AY11" s="28"/>
      <c r="AZ11" s="28"/>
      <c r="BA11" s="28"/>
      <c r="BB11" s="2111" t="str">
        <f>I10</f>
        <v>住宅</v>
      </c>
      <c r="BC11" s="2111" t="str">
        <f>K10</f>
        <v>住宅</v>
      </c>
      <c r="BD11" s="2111" t="str">
        <f>M10</f>
        <v>车库</v>
      </c>
      <c r="BE11" s="2111">
        <f>O10</f>
        <v>0</v>
      </c>
      <c r="BF11" s="2111">
        <f>Q10</f>
        <v>0</v>
      </c>
      <c r="BG11" s="2111">
        <f>S10</f>
        <v>0</v>
      </c>
      <c r="BH11" s="2111">
        <f>U10</f>
        <v>0</v>
      </c>
      <c r="BI11" s="2111">
        <f>W10</f>
        <v>0</v>
      </c>
      <c r="BJ11" s="2111">
        <f>Y10</f>
        <v>0</v>
      </c>
      <c r="BK11" s="2111">
        <f>AA10</f>
        <v>0</v>
      </c>
      <c r="BL11" s="1224"/>
      <c r="BM11" s="1743" t="str">
        <f>AD10</f>
        <v>公共配套设施</v>
      </c>
      <c r="BN11" s="1743" t="str">
        <f>AF10</f>
        <v>公共配套设施</v>
      </c>
      <c r="BO11" s="24" t="str">
        <f>AH10</f>
        <v>物业管理用房</v>
      </c>
      <c r="BP11" s="24" t="str">
        <f>AJ10</f>
        <v>物业管理用房</v>
      </c>
      <c r="BQ11" s="24" t="str">
        <f>AL10</f>
        <v>设备及其他</v>
      </c>
      <c r="BR11" s="24" t="str">
        <f>AN10</f>
        <v>设备及其他</v>
      </c>
      <c r="BS11" s="25" t="str">
        <f>AP10</f>
        <v>未注明</v>
      </c>
      <c r="BT11" s="2130" t="str">
        <f>AR10</f>
        <v>未注明</v>
      </c>
    </row>
    <row r="12" spans="1:72" s="2091" customFormat="1" ht="12.75">
      <c r="A12" s="2131"/>
      <c r="B12" s="2131"/>
      <c r="C12" s="2131"/>
      <c r="D12" s="2131"/>
      <c r="E12" s="2131"/>
      <c r="F12" s="2131"/>
      <c r="G12" s="30"/>
      <c r="H12" s="2132"/>
      <c r="I12" s="173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30" t="s">
        <v>1906</v>
      </c>
      <c r="W12" s="11" t="s">
        <v>1905</v>
      </c>
      <c r="X12" s="11" t="s">
        <v>1906</v>
      </c>
      <c r="Y12" s="11" t="s">
        <v>1905</v>
      </c>
      <c r="Z12" s="11" t="s">
        <v>1906</v>
      </c>
      <c r="AA12" s="11" t="s">
        <v>1905</v>
      </c>
      <c r="AB12" s="11" t="s">
        <v>1906</v>
      </c>
      <c r="AC12" s="2133"/>
      <c r="AD12" s="173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31" t="s">
        <v>1906</v>
      </c>
      <c r="AT12" s="2134"/>
      <c r="AU12" s="2131"/>
      <c r="AV12" s="31"/>
      <c r="AW12" s="2090"/>
      <c r="AX12" s="31"/>
      <c r="AY12" s="2135"/>
      <c r="AZ12" s="28"/>
      <c r="BA12" s="2123"/>
      <c r="BB12" s="24">
        <f>I11</f>
        <v>0</v>
      </c>
      <c r="BC12" s="2136">
        <f>K11</f>
        <v>0</v>
      </c>
      <c r="BD12" s="2136">
        <f>M11</f>
        <v>0</v>
      </c>
      <c r="BE12" s="2111">
        <f>O11</f>
        <v>0</v>
      </c>
      <c r="BF12" s="2111">
        <f>Q11</f>
        <v>0</v>
      </c>
      <c r="BG12" s="2111">
        <f>S11</f>
        <v>0</v>
      </c>
      <c r="BH12" s="2111">
        <f>U11</f>
        <v>0</v>
      </c>
      <c r="BI12" s="2111">
        <f>W11</f>
        <v>0</v>
      </c>
      <c r="BJ12" s="2111">
        <f>Y11</f>
        <v>0</v>
      </c>
      <c r="BK12" s="2111">
        <f>AA11</f>
        <v>0</v>
      </c>
      <c r="BL12" s="1224"/>
      <c r="BM12" s="1743" t="str">
        <f>AD11</f>
        <v>（住宅）</v>
      </c>
      <c r="BN12" s="1743" t="str">
        <f>AF11</f>
        <v>（住宅）</v>
      </c>
      <c r="BO12" s="24" t="str">
        <f>AH11</f>
        <v>（住宅、计出让金）</v>
      </c>
      <c r="BP12" s="24" t="str">
        <f>AJ11</f>
        <v>（住宅、计出让金）</v>
      </c>
      <c r="BQ12" s="24">
        <f>AL11</f>
        <v>0</v>
      </c>
      <c r="BR12" s="24">
        <f>AN11</f>
        <v>0</v>
      </c>
      <c r="BS12" s="25">
        <f>AP11</f>
        <v>0</v>
      </c>
      <c r="BT12" s="2130">
        <f>AR11</f>
        <v>0</v>
      </c>
    </row>
    <row r="13" spans="1:72" s="2091" customFormat="1" ht="12.75">
      <c r="A13" s="1204"/>
      <c r="B13" s="1204"/>
      <c r="C13" s="1204"/>
      <c r="D13" s="2137" t="s">
        <v>3194</v>
      </c>
      <c r="E13" s="16">
        <f>IF($C$3="是",ROUND($A$3*G13/$B$3,2),ROUND($A$3*(G13-AT13)/$B$3,2))</f>
        <v>43598.5</v>
      </c>
      <c r="F13" s="32"/>
      <c r="G13" s="33">
        <f>H13+AC13+AT13</f>
        <v>119454.59</v>
      </c>
      <c r="H13" s="20">
        <f>SUMIF(I$12:AB$12,"总值",I13:AB13)</f>
        <v>110876.37</v>
      </c>
      <c r="I13" s="2138">
        <f>测绘!M3</f>
        <v>4023.76</v>
      </c>
      <c r="J13" s="2138"/>
      <c r="K13" s="2138">
        <f>测绘!M2</f>
        <v>76697.34</v>
      </c>
      <c r="L13" s="2138"/>
      <c r="M13" s="2138">
        <f>测绘!M6</f>
        <v>30155.269999999997</v>
      </c>
      <c r="N13" s="2138"/>
      <c r="O13" s="2138"/>
      <c r="P13" s="2138"/>
      <c r="Q13" s="2138"/>
      <c r="R13" s="2138"/>
      <c r="S13" s="2138"/>
      <c r="T13" s="2138"/>
      <c r="U13" s="2138"/>
      <c r="V13" s="2138"/>
      <c r="W13" s="2138"/>
      <c r="X13" s="2138"/>
      <c r="Y13" s="2138"/>
      <c r="Z13" s="2138"/>
      <c r="AA13" s="2138"/>
      <c r="AB13" s="2138"/>
      <c r="AC13" s="16">
        <f>SUMIF(AD$12:AS$12,"总值",AD13:AS13)</f>
        <v>8578.2200000000012</v>
      </c>
      <c r="AD13" s="2139">
        <f>测绘!H5</f>
        <v>1450.5999999999995</v>
      </c>
      <c r="AE13" s="2139"/>
      <c r="AF13" s="2139"/>
      <c r="AG13" s="2139"/>
      <c r="AH13" s="2139">
        <f>测绘!H34</f>
        <v>259.19</v>
      </c>
      <c r="AI13" s="2139"/>
      <c r="AJ13" s="2139"/>
      <c r="AK13" s="2139"/>
      <c r="AL13" s="2139">
        <f>测绘!M5</f>
        <v>544.01499999999999</v>
      </c>
      <c r="AM13" s="2139"/>
      <c r="AN13" s="2139">
        <f>测绘!M7</f>
        <v>6324.4150000000009</v>
      </c>
      <c r="AO13" s="2139"/>
      <c r="AP13" s="2139"/>
      <c r="AQ13" s="2139"/>
      <c r="AR13" s="2139"/>
      <c r="AS13" s="2139"/>
      <c r="AT13" s="2140"/>
      <c r="AU13" s="2141"/>
      <c r="AV13" s="11">
        <f t="shared" ref="AV13:AX17" si="6">A13</f>
        <v>0</v>
      </c>
      <c r="AW13" s="11">
        <f t="shared" si="6"/>
        <v>0</v>
      </c>
      <c r="AX13" s="11">
        <f t="shared" si="6"/>
        <v>0</v>
      </c>
      <c r="AY13" s="1733">
        <f>ROUND($AY$6*AZ13/$AZ$5,2)</f>
        <v>43598.5</v>
      </c>
      <c r="AZ13" s="16">
        <f>BA13+BL13</f>
        <v>119454.59</v>
      </c>
      <c r="BA13" s="16">
        <f>SUM(BB13:BK13)</f>
        <v>110876.37</v>
      </c>
      <c r="BB13" s="16">
        <f>IF($D13="是",I13-J13,0)</f>
        <v>4023.76</v>
      </c>
      <c r="BC13" s="16">
        <f>IF($D13="是",K13-L13,0)</f>
        <v>76697.34</v>
      </c>
      <c r="BD13" s="16">
        <f>IF($D13="是",M13-N13,0)</f>
        <v>30155.269999999997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8578.2200000000012</v>
      </c>
      <c r="BM13" s="16">
        <f>IF($D13="是",AD13-AE13,0)</f>
        <v>1450.5999999999995</v>
      </c>
      <c r="BN13" s="16">
        <f>IF($D13="是",AF13-AG13,0)</f>
        <v>0</v>
      </c>
      <c r="BO13" s="16">
        <f>IF($D13="是",AH13-AI13,0)</f>
        <v>259.19</v>
      </c>
      <c r="BP13" s="16">
        <f>IF($D13="是",AJ13-AK13,0)</f>
        <v>0</v>
      </c>
      <c r="BQ13" s="16">
        <f>IF($D13="是",AL13-AM13,0)</f>
        <v>544.01499999999999</v>
      </c>
      <c r="BR13" s="16">
        <f>IF($D13="是",AN13-AO13,0)</f>
        <v>6324.4150000000009</v>
      </c>
      <c r="BS13" s="16">
        <f>IF($D13="是",AP13-AQ13,0)</f>
        <v>0</v>
      </c>
      <c r="BT13" s="22">
        <f>IF($D13="是",AR13-AS13,0)</f>
        <v>0</v>
      </c>
    </row>
    <row r="14" spans="1:72" s="2091" customFormat="1" ht="12.75">
      <c r="A14" s="1204"/>
      <c r="B14" s="1204"/>
      <c r="C14" s="2077"/>
      <c r="D14" s="2137"/>
      <c r="E14" s="16">
        <f>IF($C$3="是",ROUND($A$3*G14/$B$3,2),ROUND($A$3*(G14-AT14)/$B$3,2))</f>
        <v>0</v>
      </c>
      <c r="F14" s="32"/>
      <c r="G14" s="33">
        <f>H14+AC14+AT14</f>
        <v>0</v>
      </c>
      <c r="H14" s="20">
        <f>SUMIF(I$12:AB$12,"总值",I14:AB14)</f>
        <v>0</v>
      </c>
      <c r="I14" s="2138"/>
      <c r="J14" s="2138"/>
      <c r="K14" s="2138"/>
      <c r="L14" s="2138"/>
      <c r="M14" s="2138"/>
      <c r="N14" s="2138"/>
      <c r="O14" s="2138"/>
      <c r="P14" s="2138"/>
      <c r="Q14" s="2138"/>
      <c r="R14" s="2138"/>
      <c r="S14" s="2138"/>
      <c r="T14" s="2138"/>
      <c r="U14" s="2138"/>
      <c r="V14" s="2138"/>
      <c r="W14" s="2138"/>
      <c r="X14" s="2138"/>
      <c r="Y14" s="2138"/>
      <c r="Z14" s="2138"/>
      <c r="AA14" s="2138"/>
      <c r="AB14" s="2138"/>
      <c r="AC14" s="16">
        <f>SUMIF(AD$12:AS$12,"总值",AD14:AS14)</f>
        <v>0</v>
      </c>
      <c r="AD14" s="2139"/>
      <c r="AE14" s="2139"/>
      <c r="AF14" s="2139"/>
      <c r="AG14" s="2139"/>
      <c r="AH14" s="2139"/>
      <c r="AI14" s="2139"/>
      <c r="AJ14" s="2139"/>
      <c r="AK14" s="2139"/>
      <c r="AL14" s="2139"/>
      <c r="AM14" s="2139"/>
      <c r="AN14" s="2139"/>
      <c r="AO14" s="2139"/>
      <c r="AP14" s="2139"/>
      <c r="AQ14" s="2139"/>
      <c r="AR14" s="2139"/>
      <c r="AS14" s="2139"/>
      <c r="AT14" s="2140"/>
      <c r="AU14" s="2141"/>
      <c r="AV14" s="11">
        <f t="shared" si="6"/>
        <v>0</v>
      </c>
      <c r="AW14" s="11">
        <f t="shared" si="6"/>
        <v>0</v>
      </c>
      <c r="AX14" s="11">
        <f t="shared" si="6"/>
        <v>0</v>
      </c>
      <c r="AY14" s="17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91" customFormat="1" ht="12.75">
      <c r="A15" s="1204"/>
      <c r="B15" s="1204"/>
      <c r="C15" s="2077"/>
      <c r="D15" s="2137"/>
      <c r="E15" s="16">
        <f>IF($C$3="是",ROUND($A$3*G15/$B$3,2),ROUND($A$3*(G15-AT15)/$B$3,2))</f>
        <v>0</v>
      </c>
      <c r="F15" s="32"/>
      <c r="G15" s="33">
        <f>H15+AC15+AT15</f>
        <v>0</v>
      </c>
      <c r="H15" s="20">
        <f>SUMIF(I$12:AB$12,"总值",I15:AB15)</f>
        <v>0</v>
      </c>
      <c r="I15" s="2138"/>
      <c r="J15" s="2138"/>
      <c r="K15" s="2138"/>
      <c r="L15" s="2138"/>
      <c r="M15" s="2138"/>
      <c r="N15" s="2138"/>
      <c r="O15" s="2138"/>
      <c r="P15" s="2138"/>
      <c r="Q15" s="2138"/>
      <c r="R15" s="2138"/>
      <c r="S15" s="2138"/>
      <c r="T15" s="2138"/>
      <c r="U15" s="2138"/>
      <c r="V15" s="2138"/>
      <c r="W15" s="2138"/>
      <c r="X15" s="2138"/>
      <c r="Y15" s="2138"/>
      <c r="Z15" s="2138"/>
      <c r="AA15" s="2138"/>
      <c r="AB15" s="2138"/>
      <c r="AC15" s="16">
        <f>SUMIF(AD$12:AS$12,"总值",AD15:AS15)</f>
        <v>0</v>
      </c>
      <c r="AD15" s="2139"/>
      <c r="AE15" s="2139"/>
      <c r="AF15" s="2139"/>
      <c r="AG15" s="2139"/>
      <c r="AH15" s="2139"/>
      <c r="AI15" s="2139"/>
      <c r="AJ15" s="2139"/>
      <c r="AK15" s="2139"/>
      <c r="AL15" s="2139"/>
      <c r="AM15" s="2139"/>
      <c r="AN15" s="2139"/>
      <c r="AO15" s="2139"/>
      <c r="AP15" s="2139"/>
      <c r="AQ15" s="2139"/>
      <c r="AR15" s="2139"/>
      <c r="AS15" s="2139"/>
      <c r="AT15" s="2140"/>
      <c r="AU15" s="2141"/>
      <c r="AV15" s="11">
        <f t="shared" si="6"/>
        <v>0</v>
      </c>
      <c r="AW15" s="11">
        <f t="shared" si="6"/>
        <v>0</v>
      </c>
      <c r="AX15" s="11">
        <f t="shared" si="6"/>
        <v>0</v>
      </c>
      <c r="AY15" s="17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91" customFormat="1" ht="12.75">
      <c r="A16" s="1204"/>
      <c r="B16" s="1204"/>
      <c r="C16" s="2077"/>
      <c r="D16" s="2137"/>
      <c r="E16" s="16">
        <f>IF($C$3="是",ROUND($A$3*G16/$B$3,2),ROUND($A$3*(G16-AT16)/$B$3,2))</f>
        <v>0</v>
      </c>
      <c r="F16" s="32"/>
      <c r="G16" s="33">
        <f>H16+AC16+AT16</f>
        <v>0</v>
      </c>
      <c r="H16" s="20">
        <f>SUMIF(I$12:AB$12,"总值",I16:AB16)</f>
        <v>0</v>
      </c>
      <c r="I16" s="2138"/>
      <c r="J16" s="2138"/>
      <c r="K16" s="2138"/>
      <c r="L16" s="2138"/>
      <c r="M16" s="2138"/>
      <c r="N16" s="2138"/>
      <c r="O16" s="2138"/>
      <c r="P16" s="2138"/>
      <c r="Q16" s="2138"/>
      <c r="R16" s="2138"/>
      <c r="S16" s="2138"/>
      <c r="T16" s="2138"/>
      <c r="U16" s="2138"/>
      <c r="V16" s="2138"/>
      <c r="W16" s="2138"/>
      <c r="X16" s="2138"/>
      <c r="Y16" s="2138"/>
      <c r="Z16" s="2138"/>
      <c r="AA16" s="2138"/>
      <c r="AB16" s="2138"/>
      <c r="AC16" s="16">
        <f>SUMIF(AD$12:AS$12,"总值",AD16:AS16)</f>
        <v>0</v>
      </c>
      <c r="AD16" s="2139"/>
      <c r="AE16" s="2139"/>
      <c r="AF16" s="2139"/>
      <c r="AG16" s="2139"/>
      <c r="AH16" s="2139"/>
      <c r="AI16" s="2139"/>
      <c r="AJ16" s="2139"/>
      <c r="AK16" s="2139"/>
      <c r="AL16" s="2139"/>
      <c r="AM16" s="2139"/>
      <c r="AN16" s="2139"/>
      <c r="AO16" s="2139"/>
      <c r="AP16" s="2139"/>
      <c r="AQ16" s="2139"/>
      <c r="AR16" s="2139"/>
      <c r="AS16" s="2139"/>
      <c r="AT16" s="2140"/>
      <c r="AU16" s="2141"/>
      <c r="AV16" s="11">
        <f t="shared" si="6"/>
        <v>0</v>
      </c>
      <c r="AW16" s="11">
        <f t="shared" si="6"/>
        <v>0</v>
      </c>
      <c r="AX16" s="11">
        <f t="shared" si="6"/>
        <v>0</v>
      </c>
      <c r="AY16" s="17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91" customFormat="1" ht="12.75">
      <c r="A17" s="1204"/>
      <c r="B17" s="1204"/>
      <c r="C17" s="2077"/>
      <c r="D17" s="2137"/>
      <c r="E17" s="16">
        <f>IF($C$3="是",ROUND($A$3*G17/$B$3,2),ROUND($A$3*(G17-AT17)/$B$3,2))</f>
        <v>0</v>
      </c>
      <c r="F17" s="32"/>
      <c r="G17" s="33">
        <f>H17+AC17+AT17</f>
        <v>0</v>
      </c>
      <c r="H17" s="20">
        <f>SUMIF(I$12:AB$12,"总值",I17:AB17)</f>
        <v>0</v>
      </c>
      <c r="I17" s="2138"/>
      <c r="J17" s="2138"/>
      <c r="K17" s="2138"/>
      <c r="L17" s="2138"/>
      <c r="M17" s="2138"/>
      <c r="N17" s="2138"/>
      <c r="O17" s="2138"/>
      <c r="P17" s="2138"/>
      <c r="Q17" s="2138"/>
      <c r="R17" s="2138"/>
      <c r="S17" s="2138"/>
      <c r="T17" s="2138"/>
      <c r="U17" s="2138"/>
      <c r="V17" s="2138"/>
      <c r="W17" s="2138"/>
      <c r="X17" s="2138"/>
      <c r="Y17" s="2138"/>
      <c r="Z17" s="2138"/>
      <c r="AA17" s="2138"/>
      <c r="AB17" s="2138"/>
      <c r="AC17" s="16">
        <f>SUMIF(AD$12:AS$12,"总值",AD17:AS17)</f>
        <v>0</v>
      </c>
      <c r="AD17" s="2139"/>
      <c r="AE17" s="2139"/>
      <c r="AF17" s="2139"/>
      <c r="AG17" s="2139"/>
      <c r="AH17" s="2139"/>
      <c r="AI17" s="2139"/>
      <c r="AJ17" s="2139"/>
      <c r="AK17" s="2139"/>
      <c r="AL17" s="2139"/>
      <c r="AM17" s="2139"/>
      <c r="AN17" s="2139"/>
      <c r="AO17" s="2139"/>
      <c r="AP17" s="2139"/>
      <c r="AQ17" s="2139"/>
      <c r="AR17" s="2139"/>
      <c r="AS17" s="2139"/>
      <c r="AT17" s="2140"/>
      <c r="AU17" s="2141"/>
      <c r="AV17" s="11">
        <f t="shared" si="6"/>
        <v>0</v>
      </c>
      <c r="AW17" s="11">
        <f t="shared" si="6"/>
        <v>0</v>
      </c>
      <c r="AX17" s="11">
        <f t="shared" si="6"/>
        <v>0</v>
      </c>
      <c r="AY17" s="17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4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43"/>
      <c r="AV18" s="1723">
        <f t="shared" ref="AV18:AV112" si="11">A18</f>
        <v>0</v>
      </c>
      <c r="AW18" s="1723">
        <f t="shared" ref="AW18:AW112" si="12">B18</f>
        <v>0</v>
      </c>
      <c r="AX18" s="172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4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43"/>
      <c r="AV19" s="1723">
        <f t="shared" si="11"/>
        <v>0</v>
      </c>
      <c r="AW19" s="1723">
        <f t="shared" si="12"/>
        <v>0</v>
      </c>
      <c r="AX19" s="1723">
        <f t="shared" si="13"/>
        <v>0</v>
      </c>
      <c r="AY19" s="42">
        <f t="shared" si="14"/>
        <v>0</v>
      </c>
      <c r="AZ19" s="35">
        <f t="shared" si="15"/>
        <v>0</v>
      </c>
      <c r="BA19" s="35">
        <f t="shared" si="16"/>
        <v>0</v>
      </c>
      <c r="BB19" s="35">
        <f t="shared" si="17"/>
        <v>0</v>
      </c>
      <c r="BC19" s="35">
        <f t="shared" si="18"/>
        <v>0</v>
      </c>
      <c r="BD19" s="35">
        <f>IF($D19="是",M19-N19,0)</f>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4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43"/>
      <c r="AV20" s="1723">
        <f t="shared" si="11"/>
        <v>0</v>
      </c>
      <c r="AW20" s="1723">
        <f t="shared" si="12"/>
        <v>0</v>
      </c>
      <c r="AX20" s="172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4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43"/>
      <c r="AV21" s="1723">
        <f t="shared" si="11"/>
        <v>0</v>
      </c>
      <c r="AW21" s="1723">
        <f t="shared" si="12"/>
        <v>0</v>
      </c>
      <c r="AX21" s="172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4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43"/>
      <c r="AV22" s="1723">
        <f t="shared" si="11"/>
        <v>0</v>
      </c>
      <c r="AW22" s="1723">
        <f t="shared" si="12"/>
        <v>0</v>
      </c>
      <c r="AX22" s="172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4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43"/>
      <c r="AV23" s="1723">
        <f t="shared" si="11"/>
        <v>0</v>
      </c>
      <c r="AW23" s="1723">
        <f t="shared" si="12"/>
        <v>0</v>
      </c>
      <c r="AX23" s="17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4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43"/>
      <c r="AV24" s="1723">
        <f t="shared" si="11"/>
        <v>0</v>
      </c>
      <c r="AW24" s="1723">
        <f t="shared" si="12"/>
        <v>0</v>
      </c>
      <c r="AX24" s="17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4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43"/>
      <c r="AV25" s="1723">
        <f t="shared" si="11"/>
        <v>0</v>
      </c>
      <c r="AW25" s="1723">
        <f t="shared" si="12"/>
        <v>0</v>
      </c>
      <c r="AX25" s="17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4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43"/>
      <c r="AV26" s="1723">
        <f t="shared" si="11"/>
        <v>0</v>
      </c>
      <c r="AW26" s="1723">
        <f t="shared" si="12"/>
        <v>0</v>
      </c>
      <c r="AX26" s="17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4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43"/>
      <c r="AV27" s="1723">
        <f t="shared" si="11"/>
        <v>0</v>
      </c>
      <c r="AW27" s="1723">
        <f t="shared" si="12"/>
        <v>0</v>
      </c>
      <c r="AX27" s="17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4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43"/>
      <c r="AV28" s="1723">
        <f t="shared" si="11"/>
        <v>0</v>
      </c>
      <c r="AW28" s="1723">
        <f t="shared" si="12"/>
        <v>0</v>
      </c>
      <c r="AX28" s="17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4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43"/>
      <c r="AV29" s="1723">
        <f t="shared" si="11"/>
        <v>0</v>
      </c>
      <c r="AW29" s="1723">
        <f t="shared" si="12"/>
        <v>0</v>
      </c>
      <c r="AX29" s="17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4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43"/>
      <c r="AV30" s="1723">
        <f t="shared" si="11"/>
        <v>0</v>
      </c>
      <c r="AW30" s="1723">
        <f t="shared" si="12"/>
        <v>0</v>
      </c>
      <c r="AX30" s="17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4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43"/>
      <c r="AV31" s="1723">
        <f t="shared" si="11"/>
        <v>0</v>
      </c>
      <c r="AW31" s="1723">
        <f t="shared" si="12"/>
        <v>0</v>
      </c>
      <c r="AX31" s="17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4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43"/>
      <c r="AV32" s="1723">
        <f t="shared" si="11"/>
        <v>0</v>
      </c>
      <c r="AW32" s="1723">
        <f t="shared" si="12"/>
        <v>0</v>
      </c>
      <c r="AX32" s="17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4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43"/>
      <c r="AV33" s="1723">
        <f t="shared" si="11"/>
        <v>0</v>
      </c>
      <c r="AW33" s="1723">
        <f t="shared" si="12"/>
        <v>0</v>
      </c>
      <c r="AX33" s="17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4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43"/>
      <c r="AV34" s="1723">
        <f t="shared" si="11"/>
        <v>0</v>
      </c>
      <c r="AW34" s="1723">
        <f t="shared" si="12"/>
        <v>0</v>
      </c>
      <c r="AX34" s="17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4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43"/>
      <c r="AV35" s="1723">
        <f t="shared" si="11"/>
        <v>0</v>
      </c>
      <c r="AW35" s="1723">
        <f t="shared" si="12"/>
        <v>0</v>
      </c>
      <c r="AX35" s="17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4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43"/>
      <c r="AV36" s="1723">
        <f t="shared" si="11"/>
        <v>0</v>
      </c>
      <c r="AW36" s="1723">
        <f t="shared" si="12"/>
        <v>0</v>
      </c>
      <c r="AX36" s="17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4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43"/>
      <c r="AV37" s="1723">
        <f t="shared" si="11"/>
        <v>0</v>
      </c>
      <c r="AW37" s="1723">
        <f t="shared" si="12"/>
        <v>0</v>
      </c>
      <c r="AX37" s="17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4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43"/>
      <c r="AV38" s="1723">
        <f t="shared" si="11"/>
        <v>0</v>
      </c>
      <c r="AW38" s="1723">
        <f t="shared" si="12"/>
        <v>0</v>
      </c>
      <c r="AX38" s="17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4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43"/>
      <c r="AV39" s="1723">
        <f t="shared" si="11"/>
        <v>0</v>
      </c>
      <c r="AW39" s="1723">
        <f t="shared" si="12"/>
        <v>0</v>
      </c>
      <c r="AX39" s="17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4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43"/>
      <c r="AV40" s="1723">
        <f t="shared" si="11"/>
        <v>0</v>
      </c>
      <c r="AW40" s="1723">
        <f t="shared" si="12"/>
        <v>0</v>
      </c>
      <c r="AX40" s="17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4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43"/>
      <c r="AV41" s="1723">
        <f t="shared" si="11"/>
        <v>0</v>
      </c>
      <c r="AW41" s="1723">
        <f t="shared" si="12"/>
        <v>0</v>
      </c>
      <c r="AX41" s="17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4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43"/>
      <c r="AV42" s="1723">
        <f t="shared" si="11"/>
        <v>0</v>
      </c>
      <c r="AW42" s="1723">
        <f t="shared" si="12"/>
        <v>0</v>
      </c>
      <c r="AX42" s="17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4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43"/>
      <c r="AV43" s="1723">
        <f t="shared" si="11"/>
        <v>0</v>
      </c>
      <c r="AW43" s="1723">
        <f t="shared" si="12"/>
        <v>0</v>
      </c>
      <c r="AX43" s="17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4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43"/>
      <c r="AV44" s="1723">
        <f t="shared" si="11"/>
        <v>0</v>
      </c>
      <c r="AW44" s="1723">
        <f t="shared" si="12"/>
        <v>0</v>
      </c>
      <c r="AX44" s="17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4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43"/>
      <c r="AV45" s="1723">
        <f t="shared" si="11"/>
        <v>0</v>
      </c>
      <c r="AW45" s="1723">
        <f t="shared" si="12"/>
        <v>0</v>
      </c>
      <c r="AX45" s="17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4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43"/>
      <c r="AV46" s="1723">
        <f t="shared" si="11"/>
        <v>0</v>
      </c>
      <c r="AW46" s="1723">
        <f t="shared" si="12"/>
        <v>0</v>
      </c>
      <c r="AX46" s="17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4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43"/>
      <c r="AV47" s="1723">
        <f t="shared" si="11"/>
        <v>0</v>
      </c>
      <c r="AW47" s="1723">
        <f t="shared" si="12"/>
        <v>0</v>
      </c>
      <c r="AX47" s="17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4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43"/>
      <c r="AV48" s="1723">
        <f t="shared" si="11"/>
        <v>0</v>
      </c>
      <c r="AW48" s="1723">
        <f t="shared" si="12"/>
        <v>0</v>
      </c>
      <c r="AX48" s="17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4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43"/>
      <c r="AV49" s="1723">
        <f t="shared" si="11"/>
        <v>0</v>
      </c>
      <c r="AW49" s="1723">
        <f t="shared" si="12"/>
        <v>0</v>
      </c>
      <c r="AX49" s="17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4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43"/>
      <c r="AV50" s="1723">
        <f t="shared" si="11"/>
        <v>0</v>
      </c>
      <c r="AW50" s="1723">
        <f t="shared" si="12"/>
        <v>0</v>
      </c>
      <c r="AX50" s="17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4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43"/>
      <c r="AV51" s="1723">
        <f t="shared" si="11"/>
        <v>0</v>
      </c>
      <c r="AW51" s="1723">
        <f t="shared" si="12"/>
        <v>0</v>
      </c>
      <c r="AX51" s="17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4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43"/>
      <c r="AV52" s="1723">
        <f t="shared" si="11"/>
        <v>0</v>
      </c>
      <c r="AW52" s="1723">
        <f t="shared" si="12"/>
        <v>0</v>
      </c>
      <c r="AX52" s="17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4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43"/>
      <c r="AV53" s="1723">
        <f t="shared" si="11"/>
        <v>0</v>
      </c>
      <c r="AW53" s="1723">
        <f t="shared" si="12"/>
        <v>0</v>
      </c>
      <c r="AX53" s="17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4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43"/>
      <c r="AV54" s="1723">
        <f t="shared" si="11"/>
        <v>0</v>
      </c>
      <c r="AW54" s="1723">
        <f t="shared" si="12"/>
        <v>0</v>
      </c>
      <c r="AX54" s="17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4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43"/>
      <c r="AV55" s="1723">
        <f t="shared" si="11"/>
        <v>0</v>
      </c>
      <c r="AW55" s="1723">
        <f t="shared" si="12"/>
        <v>0</v>
      </c>
      <c r="AX55" s="17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4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43"/>
      <c r="AV56" s="1723">
        <f t="shared" si="11"/>
        <v>0</v>
      </c>
      <c r="AW56" s="1723">
        <f t="shared" si="12"/>
        <v>0</v>
      </c>
      <c r="AX56" s="17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4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43"/>
      <c r="AV57" s="1723">
        <f t="shared" si="11"/>
        <v>0</v>
      </c>
      <c r="AW57" s="1723">
        <f t="shared" si="12"/>
        <v>0</v>
      </c>
      <c r="AX57" s="17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4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43"/>
      <c r="AV58" s="1723">
        <f t="shared" si="11"/>
        <v>0</v>
      </c>
      <c r="AW58" s="1723">
        <f t="shared" si="12"/>
        <v>0</v>
      </c>
      <c r="AX58" s="17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4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43"/>
      <c r="AV59" s="1723">
        <f t="shared" si="11"/>
        <v>0</v>
      </c>
      <c r="AW59" s="1723">
        <f t="shared" si="12"/>
        <v>0</v>
      </c>
      <c r="AX59" s="17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4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43"/>
      <c r="AV60" s="1723">
        <f t="shared" si="11"/>
        <v>0</v>
      </c>
      <c r="AW60" s="1723">
        <f t="shared" si="12"/>
        <v>0</v>
      </c>
      <c r="AX60" s="17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4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43"/>
      <c r="AV61" s="1723">
        <f t="shared" si="11"/>
        <v>0</v>
      </c>
      <c r="AW61" s="1723">
        <f t="shared" si="12"/>
        <v>0</v>
      </c>
      <c r="AX61" s="17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4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43"/>
      <c r="AV62" s="1723">
        <f t="shared" si="11"/>
        <v>0</v>
      </c>
      <c r="AW62" s="1723">
        <f t="shared" si="12"/>
        <v>0</v>
      </c>
      <c r="AX62" s="17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4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43"/>
      <c r="AV63" s="1723">
        <f t="shared" si="11"/>
        <v>0</v>
      </c>
      <c r="AW63" s="1723">
        <f t="shared" si="12"/>
        <v>0</v>
      </c>
      <c r="AX63" s="17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4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43"/>
      <c r="AV64" s="1723">
        <f t="shared" si="11"/>
        <v>0</v>
      </c>
      <c r="AW64" s="1723">
        <f t="shared" si="12"/>
        <v>0</v>
      </c>
      <c r="AX64" s="17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4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43"/>
      <c r="AV65" s="1723">
        <f t="shared" si="11"/>
        <v>0</v>
      </c>
      <c r="AW65" s="1723">
        <f t="shared" si="12"/>
        <v>0</v>
      </c>
      <c r="AX65" s="17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4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43"/>
      <c r="AV66" s="1723">
        <f t="shared" si="11"/>
        <v>0</v>
      </c>
      <c r="AW66" s="1723">
        <f t="shared" si="12"/>
        <v>0</v>
      </c>
      <c r="AX66" s="17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4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43"/>
      <c r="AV67" s="1723">
        <f t="shared" si="11"/>
        <v>0</v>
      </c>
      <c r="AW67" s="1723">
        <f t="shared" si="12"/>
        <v>0</v>
      </c>
      <c r="AX67" s="17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4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43"/>
      <c r="AV68" s="1723">
        <f t="shared" si="11"/>
        <v>0</v>
      </c>
      <c r="AW68" s="1723">
        <f t="shared" si="12"/>
        <v>0</v>
      </c>
      <c r="AX68" s="17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4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43"/>
      <c r="AV69" s="1723">
        <f t="shared" si="11"/>
        <v>0</v>
      </c>
      <c r="AW69" s="1723">
        <f t="shared" si="12"/>
        <v>0</v>
      </c>
      <c r="AX69" s="17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4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43"/>
      <c r="AV70" s="1723">
        <f t="shared" si="11"/>
        <v>0</v>
      </c>
      <c r="AW70" s="1723">
        <f t="shared" si="12"/>
        <v>0</v>
      </c>
      <c r="AX70" s="17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4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43"/>
      <c r="AV71" s="1723">
        <f t="shared" si="11"/>
        <v>0</v>
      </c>
      <c r="AW71" s="1723">
        <f t="shared" si="12"/>
        <v>0</v>
      </c>
      <c r="AX71" s="17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4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43"/>
      <c r="AV72" s="1723">
        <f t="shared" si="11"/>
        <v>0</v>
      </c>
      <c r="AW72" s="1723">
        <f t="shared" si="12"/>
        <v>0</v>
      </c>
      <c r="AX72" s="17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4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43"/>
      <c r="AV73" s="1723">
        <f t="shared" si="11"/>
        <v>0</v>
      </c>
      <c r="AW73" s="1723">
        <f t="shared" si="12"/>
        <v>0</v>
      </c>
      <c r="AX73" s="17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4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43"/>
      <c r="AV74" s="1723">
        <f t="shared" si="11"/>
        <v>0</v>
      </c>
      <c r="AW74" s="1723">
        <f t="shared" si="12"/>
        <v>0</v>
      </c>
      <c r="AX74" s="17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4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43"/>
      <c r="AV75" s="1723">
        <f t="shared" si="11"/>
        <v>0</v>
      </c>
      <c r="AW75" s="1723">
        <f t="shared" si="12"/>
        <v>0</v>
      </c>
      <c r="AX75" s="17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4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43"/>
      <c r="AV76" s="1723">
        <f t="shared" si="11"/>
        <v>0</v>
      </c>
      <c r="AW76" s="1723">
        <f t="shared" si="12"/>
        <v>0</v>
      </c>
      <c r="AX76" s="17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4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43"/>
      <c r="AV77" s="1723">
        <f t="shared" si="11"/>
        <v>0</v>
      </c>
      <c r="AW77" s="1723">
        <f t="shared" si="12"/>
        <v>0</v>
      </c>
      <c r="AX77" s="17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4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43"/>
      <c r="AV78" s="1723">
        <f t="shared" si="11"/>
        <v>0</v>
      </c>
      <c r="AW78" s="1723">
        <f t="shared" si="12"/>
        <v>0</v>
      </c>
      <c r="AX78" s="17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4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43"/>
      <c r="AV79" s="1723">
        <f t="shared" si="11"/>
        <v>0</v>
      </c>
      <c r="AW79" s="1723">
        <f t="shared" si="12"/>
        <v>0</v>
      </c>
      <c r="AX79" s="17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4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43"/>
      <c r="AV80" s="1723">
        <f t="shared" si="11"/>
        <v>0</v>
      </c>
      <c r="AW80" s="1723">
        <f t="shared" si="12"/>
        <v>0</v>
      </c>
      <c r="AX80" s="17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4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43"/>
      <c r="AV81" s="1723">
        <f t="shared" si="11"/>
        <v>0</v>
      </c>
      <c r="AW81" s="1723">
        <f t="shared" si="12"/>
        <v>0</v>
      </c>
      <c r="AX81" s="17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4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43"/>
      <c r="AV82" s="1723">
        <f t="shared" si="11"/>
        <v>0</v>
      </c>
      <c r="AW82" s="1723">
        <f t="shared" si="12"/>
        <v>0</v>
      </c>
      <c r="AX82" s="17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4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43"/>
      <c r="AV83" s="1723">
        <f t="shared" si="11"/>
        <v>0</v>
      </c>
      <c r="AW83" s="1723">
        <f t="shared" si="12"/>
        <v>0</v>
      </c>
      <c r="AX83" s="17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4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43"/>
      <c r="AV84" s="1723">
        <f t="shared" si="11"/>
        <v>0</v>
      </c>
      <c r="AW84" s="1723">
        <f t="shared" si="12"/>
        <v>0</v>
      </c>
      <c r="AX84" s="17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4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43"/>
      <c r="AV85" s="1723">
        <f t="shared" si="11"/>
        <v>0</v>
      </c>
      <c r="AW85" s="1723">
        <f t="shared" si="12"/>
        <v>0</v>
      </c>
      <c r="AX85" s="17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4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43"/>
      <c r="AV86" s="1723">
        <f t="shared" si="11"/>
        <v>0</v>
      </c>
      <c r="AW86" s="1723">
        <f t="shared" si="12"/>
        <v>0</v>
      </c>
      <c r="AX86" s="17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4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43"/>
      <c r="AV87" s="1723">
        <f t="shared" si="11"/>
        <v>0</v>
      </c>
      <c r="AW87" s="1723">
        <f t="shared" si="12"/>
        <v>0</v>
      </c>
      <c r="AX87" s="17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4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43"/>
      <c r="AV88" s="1723">
        <f t="shared" si="11"/>
        <v>0</v>
      </c>
      <c r="AW88" s="1723">
        <f t="shared" si="12"/>
        <v>0</v>
      </c>
      <c r="AX88" s="17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4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43"/>
      <c r="AV89" s="1723">
        <f t="shared" si="11"/>
        <v>0</v>
      </c>
      <c r="AW89" s="1723">
        <f t="shared" si="12"/>
        <v>0</v>
      </c>
      <c r="AX89" s="17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4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43"/>
      <c r="AV90" s="1723">
        <f t="shared" si="11"/>
        <v>0</v>
      </c>
      <c r="AW90" s="1723">
        <f t="shared" si="12"/>
        <v>0</v>
      </c>
      <c r="AX90" s="17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4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43"/>
      <c r="AV91" s="1723">
        <f t="shared" si="11"/>
        <v>0</v>
      </c>
      <c r="AW91" s="1723">
        <f t="shared" si="12"/>
        <v>0</v>
      </c>
      <c r="AX91" s="17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4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43"/>
      <c r="AV92" s="1723">
        <f t="shared" si="11"/>
        <v>0</v>
      </c>
      <c r="AW92" s="1723">
        <f t="shared" si="12"/>
        <v>0</v>
      </c>
      <c r="AX92" s="17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4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43"/>
      <c r="AV93" s="1723">
        <f t="shared" si="11"/>
        <v>0</v>
      </c>
      <c r="AW93" s="1723">
        <f t="shared" si="12"/>
        <v>0</v>
      </c>
      <c r="AX93" s="17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4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43"/>
      <c r="AV94" s="1723">
        <f t="shared" si="11"/>
        <v>0</v>
      </c>
      <c r="AW94" s="1723">
        <f t="shared" si="12"/>
        <v>0</v>
      </c>
      <c r="AX94" s="17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4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43"/>
      <c r="AV95" s="1723">
        <f t="shared" si="11"/>
        <v>0</v>
      </c>
      <c r="AW95" s="1723">
        <f t="shared" si="12"/>
        <v>0</v>
      </c>
      <c r="AX95" s="17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4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43"/>
      <c r="AV96" s="1723">
        <f t="shared" si="11"/>
        <v>0</v>
      </c>
      <c r="AW96" s="1723">
        <f t="shared" si="12"/>
        <v>0</v>
      </c>
      <c r="AX96" s="17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4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43"/>
      <c r="AV97" s="1723">
        <f t="shared" si="11"/>
        <v>0</v>
      </c>
      <c r="AW97" s="1723">
        <f t="shared" si="12"/>
        <v>0</v>
      </c>
      <c r="AX97" s="17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4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43"/>
      <c r="AV98" s="1723">
        <f t="shared" si="11"/>
        <v>0</v>
      </c>
      <c r="AW98" s="1723">
        <f t="shared" si="12"/>
        <v>0</v>
      </c>
      <c r="AX98" s="17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4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43"/>
      <c r="AV99" s="1723">
        <f t="shared" si="11"/>
        <v>0</v>
      </c>
      <c r="AW99" s="1723">
        <f t="shared" si="12"/>
        <v>0</v>
      </c>
      <c r="AX99" s="17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4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43"/>
      <c r="AV100" s="1723">
        <f t="shared" si="11"/>
        <v>0</v>
      </c>
      <c r="AW100" s="1723">
        <f t="shared" si="12"/>
        <v>0</v>
      </c>
      <c r="AX100" s="17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4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43"/>
      <c r="AV101" s="1723">
        <f t="shared" si="11"/>
        <v>0</v>
      </c>
      <c r="AW101" s="1723">
        <f t="shared" si="12"/>
        <v>0</v>
      </c>
      <c r="AX101" s="17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4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43"/>
      <c r="AV102" s="1723">
        <f t="shared" si="11"/>
        <v>0</v>
      </c>
      <c r="AW102" s="1723">
        <f t="shared" si="12"/>
        <v>0</v>
      </c>
      <c r="AX102" s="17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4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43"/>
      <c r="AV103" s="1723">
        <f t="shared" si="11"/>
        <v>0</v>
      </c>
      <c r="AW103" s="1723">
        <f t="shared" si="12"/>
        <v>0</v>
      </c>
      <c r="AX103" s="17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4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43"/>
      <c r="AV104" s="1723">
        <f t="shared" si="11"/>
        <v>0</v>
      </c>
      <c r="AW104" s="1723">
        <f t="shared" si="12"/>
        <v>0</v>
      </c>
      <c r="AX104" s="17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4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43"/>
      <c r="AV105" s="1723">
        <f t="shared" si="11"/>
        <v>0</v>
      </c>
      <c r="AW105" s="1723">
        <f t="shared" si="12"/>
        <v>0</v>
      </c>
      <c r="AX105" s="17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4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43"/>
      <c r="AV106" s="1723">
        <f t="shared" si="11"/>
        <v>0</v>
      </c>
      <c r="AW106" s="1723">
        <f t="shared" si="12"/>
        <v>0</v>
      </c>
      <c r="AX106" s="17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4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43"/>
      <c r="AV107" s="1723">
        <f t="shared" si="11"/>
        <v>0</v>
      </c>
      <c r="AW107" s="1723">
        <f t="shared" si="12"/>
        <v>0</v>
      </c>
      <c r="AX107" s="17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4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43"/>
      <c r="AV108" s="1723">
        <f t="shared" si="11"/>
        <v>0</v>
      </c>
      <c r="AW108" s="1723">
        <f t="shared" si="12"/>
        <v>0</v>
      </c>
      <c r="AX108" s="17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4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43"/>
      <c r="AV109" s="1723">
        <f t="shared" si="11"/>
        <v>0</v>
      </c>
      <c r="AW109" s="1723">
        <f t="shared" si="12"/>
        <v>0</v>
      </c>
      <c r="AX109" s="17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4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8"/>
      <c r="AV110" s="1723">
        <f t="shared" si="11"/>
        <v>0</v>
      </c>
      <c r="AW110" s="1723">
        <f t="shared" si="12"/>
        <v>0</v>
      </c>
      <c r="AX110" s="17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4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8"/>
      <c r="AV111" s="1723">
        <f t="shared" si="11"/>
        <v>0</v>
      </c>
      <c r="AW111" s="1723">
        <f t="shared" si="12"/>
        <v>0</v>
      </c>
      <c r="AX111" s="17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4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8"/>
      <c r="AV112" s="1723">
        <f t="shared" si="11"/>
        <v>0</v>
      </c>
      <c r="AW112" s="1723">
        <f t="shared" si="12"/>
        <v>0</v>
      </c>
      <c r="AX112" s="17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4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43"/>
      <c r="AV113" s="1723">
        <f t="shared" ref="AV113:AV144" si="62">A113</f>
        <v>0</v>
      </c>
      <c r="AW113" s="1723">
        <f t="shared" ref="AW113:AW144" si="63">B113</f>
        <v>0</v>
      </c>
      <c r="AX113" s="17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4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43"/>
      <c r="AV114" s="1723">
        <f t="shared" si="62"/>
        <v>0</v>
      </c>
      <c r="AW114" s="1723">
        <f t="shared" si="63"/>
        <v>0</v>
      </c>
      <c r="AX114" s="17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4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43"/>
      <c r="AV115" s="1723">
        <f t="shared" si="62"/>
        <v>0</v>
      </c>
      <c r="AW115" s="1723">
        <f t="shared" si="63"/>
        <v>0</v>
      </c>
      <c r="AX115" s="17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4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43"/>
      <c r="AV116" s="1723">
        <f t="shared" si="62"/>
        <v>0</v>
      </c>
      <c r="AW116" s="1723">
        <f t="shared" si="63"/>
        <v>0</v>
      </c>
      <c r="AX116" s="17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4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43"/>
      <c r="AV117" s="1723">
        <f t="shared" si="62"/>
        <v>0</v>
      </c>
      <c r="AW117" s="1723">
        <f t="shared" si="63"/>
        <v>0</v>
      </c>
      <c r="AX117" s="17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4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43"/>
      <c r="AV118" s="1723">
        <f t="shared" si="62"/>
        <v>0</v>
      </c>
      <c r="AW118" s="1723">
        <f t="shared" si="63"/>
        <v>0</v>
      </c>
      <c r="AX118" s="17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4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43"/>
      <c r="AV119" s="1723">
        <f t="shared" si="62"/>
        <v>0</v>
      </c>
      <c r="AW119" s="1723">
        <f t="shared" si="63"/>
        <v>0</v>
      </c>
      <c r="AX119" s="17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4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43"/>
      <c r="AV120" s="1723">
        <f t="shared" si="62"/>
        <v>0</v>
      </c>
      <c r="AW120" s="1723">
        <f t="shared" si="63"/>
        <v>0</v>
      </c>
      <c r="AX120" s="17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4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43"/>
      <c r="AV121" s="1723">
        <f t="shared" si="62"/>
        <v>0</v>
      </c>
      <c r="AW121" s="1723">
        <f t="shared" si="63"/>
        <v>0</v>
      </c>
      <c r="AX121" s="17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4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43"/>
      <c r="AV122" s="1723">
        <f t="shared" si="62"/>
        <v>0</v>
      </c>
      <c r="AW122" s="1723">
        <f t="shared" si="63"/>
        <v>0</v>
      </c>
      <c r="AX122" s="17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4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43"/>
      <c r="AV123" s="1723">
        <f t="shared" si="62"/>
        <v>0</v>
      </c>
      <c r="AW123" s="1723">
        <f t="shared" si="63"/>
        <v>0</v>
      </c>
      <c r="AX123" s="17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4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43"/>
      <c r="AV124" s="1723">
        <f t="shared" si="62"/>
        <v>0</v>
      </c>
      <c r="AW124" s="1723">
        <f t="shared" si="63"/>
        <v>0</v>
      </c>
      <c r="AX124" s="17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4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43"/>
      <c r="AV125" s="1723">
        <f t="shared" si="62"/>
        <v>0</v>
      </c>
      <c r="AW125" s="1723">
        <f t="shared" si="63"/>
        <v>0</v>
      </c>
      <c r="AX125" s="17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4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43"/>
      <c r="AV126" s="1723">
        <f t="shared" si="62"/>
        <v>0</v>
      </c>
      <c r="AW126" s="1723">
        <f t="shared" si="63"/>
        <v>0</v>
      </c>
      <c r="AX126" s="17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4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43"/>
      <c r="AV127" s="1723">
        <f t="shared" si="62"/>
        <v>0</v>
      </c>
      <c r="AW127" s="1723">
        <f t="shared" si="63"/>
        <v>0</v>
      </c>
      <c r="AX127" s="17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4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43"/>
      <c r="AV128" s="1723">
        <f t="shared" si="62"/>
        <v>0</v>
      </c>
      <c r="AW128" s="1723">
        <f t="shared" si="63"/>
        <v>0</v>
      </c>
      <c r="AX128" s="17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4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43"/>
      <c r="AV129" s="1723">
        <f t="shared" si="62"/>
        <v>0</v>
      </c>
      <c r="AW129" s="1723">
        <f t="shared" si="63"/>
        <v>0</v>
      </c>
      <c r="AX129" s="17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4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43"/>
      <c r="AV130" s="1723">
        <f t="shared" si="62"/>
        <v>0</v>
      </c>
      <c r="AW130" s="1723">
        <f t="shared" si="63"/>
        <v>0</v>
      </c>
      <c r="AX130" s="17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4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43"/>
      <c r="AV131" s="1723">
        <f t="shared" si="62"/>
        <v>0</v>
      </c>
      <c r="AW131" s="1723">
        <f t="shared" si="63"/>
        <v>0</v>
      </c>
      <c r="AX131" s="17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4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43"/>
      <c r="AV132" s="1723">
        <f t="shared" si="62"/>
        <v>0</v>
      </c>
      <c r="AW132" s="1723">
        <f t="shared" si="63"/>
        <v>0</v>
      </c>
      <c r="AX132" s="17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4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43"/>
      <c r="AV133" s="1723">
        <f t="shared" si="62"/>
        <v>0</v>
      </c>
      <c r="AW133" s="1723">
        <f t="shared" si="63"/>
        <v>0</v>
      </c>
      <c r="AX133" s="17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4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43"/>
      <c r="AV134" s="1723">
        <f t="shared" si="62"/>
        <v>0</v>
      </c>
      <c r="AW134" s="1723">
        <f t="shared" si="63"/>
        <v>0</v>
      </c>
      <c r="AX134" s="17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4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43"/>
      <c r="AV135" s="1723">
        <f t="shared" si="62"/>
        <v>0</v>
      </c>
      <c r="AW135" s="1723">
        <f t="shared" si="63"/>
        <v>0</v>
      </c>
      <c r="AX135" s="17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4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43"/>
      <c r="AV136" s="1723">
        <f t="shared" si="62"/>
        <v>0</v>
      </c>
      <c r="AW136" s="1723">
        <f t="shared" si="63"/>
        <v>0</v>
      </c>
      <c r="AX136" s="17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4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43"/>
      <c r="AV137" s="1723">
        <f t="shared" si="62"/>
        <v>0</v>
      </c>
      <c r="AW137" s="1723">
        <f t="shared" si="63"/>
        <v>0</v>
      </c>
      <c r="AX137" s="17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4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43"/>
      <c r="AV138" s="1723">
        <f t="shared" si="62"/>
        <v>0</v>
      </c>
      <c r="AW138" s="1723">
        <f t="shared" si="63"/>
        <v>0</v>
      </c>
      <c r="AX138" s="17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4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43"/>
      <c r="AV139" s="1723">
        <f t="shared" si="62"/>
        <v>0</v>
      </c>
      <c r="AW139" s="1723">
        <f t="shared" si="63"/>
        <v>0</v>
      </c>
      <c r="AX139" s="17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4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43"/>
      <c r="AV140" s="1723">
        <f t="shared" si="62"/>
        <v>0</v>
      </c>
      <c r="AW140" s="1723">
        <f t="shared" si="63"/>
        <v>0</v>
      </c>
      <c r="AX140" s="17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4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43"/>
      <c r="AV141" s="1723">
        <f t="shared" si="62"/>
        <v>0</v>
      </c>
      <c r="AW141" s="1723">
        <f t="shared" si="63"/>
        <v>0</v>
      </c>
      <c r="AX141" s="17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4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43"/>
      <c r="AV142" s="1723">
        <f t="shared" si="62"/>
        <v>0</v>
      </c>
      <c r="AW142" s="1723">
        <f t="shared" si="63"/>
        <v>0</v>
      </c>
      <c r="AX142" s="17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4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43"/>
      <c r="AV143" s="1723">
        <f t="shared" si="62"/>
        <v>0</v>
      </c>
      <c r="AW143" s="1723">
        <f t="shared" si="63"/>
        <v>0</v>
      </c>
      <c r="AX143" s="17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4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43"/>
      <c r="AV144" s="1723">
        <f t="shared" si="62"/>
        <v>0</v>
      </c>
      <c r="AW144" s="1723">
        <f t="shared" si="63"/>
        <v>0</v>
      </c>
      <c r="AX144" s="17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4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43"/>
      <c r="AV145" s="1723">
        <f t="shared" ref="AV145:AV176" si="91">A145</f>
        <v>0</v>
      </c>
      <c r="AW145" s="1723">
        <f t="shared" ref="AW145:AW176" si="92">B145</f>
        <v>0</v>
      </c>
      <c r="AX145" s="17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4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43"/>
      <c r="AV146" s="1723">
        <f t="shared" si="91"/>
        <v>0</v>
      </c>
      <c r="AW146" s="1723">
        <f t="shared" si="92"/>
        <v>0</v>
      </c>
      <c r="AX146" s="17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4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43"/>
      <c r="AV147" s="1723">
        <f t="shared" si="91"/>
        <v>0</v>
      </c>
      <c r="AW147" s="1723">
        <f t="shared" si="92"/>
        <v>0</v>
      </c>
      <c r="AX147" s="17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4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43"/>
      <c r="AV148" s="1723">
        <f t="shared" si="91"/>
        <v>0</v>
      </c>
      <c r="AW148" s="1723">
        <f t="shared" si="92"/>
        <v>0</v>
      </c>
      <c r="AX148" s="17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4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43"/>
      <c r="AV149" s="1723">
        <f t="shared" si="91"/>
        <v>0</v>
      </c>
      <c r="AW149" s="1723">
        <f t="shared" si="92"/>
        <v>0</v>
      </c>
      <c r="AX149" s="17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4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43"/>
      <c r="AV150" s="1723">
        <f t="shared" si="91"/>
        <v>0</v>
      </c>
      <c r="AW150" s="1723">
        <f t="shared" si="92"/>
        <v>0</v>
      </c>
      <c r="AX150" s="17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4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43"/>
      <c r="AV151" s="1723">
        <f t="shared" si="91"/>
        <v>0</v>
      </c>
      <c r="AW151" s="1723">
        <f t="shared" si="92"/>
        <v>0</v>
      </c>
      <c r="AX151" s="17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4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43"/>
      <c r="AV152" s="1723">
        <f t="shared" si="91"/>
        <v>0</v>
      </c>
      <c r="AW152" s="1723">
        <f t="shared" si="92"/>
        <v>0</v>
      </c>
      <c r="AX152" s="17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4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43"/>
      <c r="AV153" s="1723">
        <f t="shared" si="91"/>
        <v>0</v>
      </c>
      <c r="AW153" s="1723">
        <f t="shared" si="92"/>
        <v>0</v>
      </c>
      <c r="AX153" s="17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4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43"/>
      <c r="AV154" s="1723">
        <f t="shared" si="91"/>
        <v>0</v>
      </c>
      <c r="AW154" s="1723">
        <f t="shared" si="92"/>
        <v>0</v>
      </c>
      <c r="AX154" s="17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4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43"/>
      <c r="AV155" s="1723">
        <f t="shared" si="91"/>
        <v>0</v>
      </c>
      <c r="AW155" s="1723">
        <f t="shared" si="92"/>
        <v>0</v>
      </c>
      <c r="AX155" s="17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4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43"/>
      <c r="AV156" s="1723">
        <f t="shared" si="91"/>
        <v>0</v>
      </c>
      <c r="AW156" s="1723">
        <f t="shared" si="92"/>
        <v>0</v>
      </c>
      <c r="AX156" s="17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4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43"/>
      <c r="AV157" s="1723">
        <f t="shared" si="91"/>
        <v>0</v>
      </c>
      <c r="AW157" s="1723">
        <f t="shared" si="92"/>
        <v>0</v>
      </c>
      <c r="AX157" s="17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4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43"/>
      <c r="AV158" s="1723">
        <f t="shared" si="91"/>
        <v>0</v>
      </c>
      <c r="AW158" s="1723">
        <f t="shared" si="92"/>
        <v>0</v>
      </c>
      <c r="AX158" s="17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4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43"/>
      <c r="AV159" s="1723">
        <f t="shared" si="91"/>
        <v>0</v>
      </c>
      <c r="AW159" s="1723">
        <f t="shared" si="92"/>
        <v>0</v>
      </c>
      <c r="AX159" s="17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4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43"/>
      <c r="AV160" s="1723">
        <f t="shared" si="91"/>
        <v>0</v>
      </c>
      <c r="AW160" s="1723">
        <f t="shared" si="92"/>
        <v>0</v>
      </c>
      <c r="AX160" s="17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4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43"/>
      <c r="AV161" s="1723">
        <f t="shared" si="91"/>
        <v>0</v>
      </c>
      <c r="AW161" s="1723">
        <f t="shared" si="92"/>
        <v>0</v>
      </c>
      <c r="AX161" s="17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4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43"/>
      <c r="AV162" s="1723">
        <f t="shared" si="91"/>
        <v>0</v>
      </c>
      <c r="AW162" s="1723">
        <f t="shared" si="92"/>
        <v>0</v>
      </c>
      <c r="AX162" s="17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4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43"/>
      <c r="AV163" s="1723">
        <f t="shared" si="91"/>
        <v>0</v>
      </c>
      <c r="AW163" s="1723">
        <f t="shared" si="92"/>
        <v>0</v>
      </c>
      <c r="AX163" s="17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4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43"/>
      <c r="AV164" s="1723">
        <f t="shared" si="91"/>
        <v>0</v>
      </c>
      <c r="AW164" s="1723">
        <f t="shared" si="92"/>
        <v>0</v>
      </c>
      <c r="AX164" s="17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4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43"/>
      <c r="AV165" s="1723">
        <f t="shared" si="91"/>
        <v>0</v>
      </c>
      <c r="AW165" s="1723">
        <f t="shared" si="92"/>
        <v>0</v>
      </c>
      <c r="AX165" s="17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4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43"/>
      <c r="AV166" s="1723">
        <f t="shared" si="91"/>
        <v>0</v>
      </c>
      <c r="AW166" s="1723">
        <f t="shared" si="92"/>
        <v>0</v>
      </c>
      <c r="AX166" s="17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4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43"/>
      <c r="AV167" s="1723">
        <f t="shared" si="91"/>
        <v>0</v>
      </c>
      <c r="AW167" s="1723">
        <f t="shared" si="92"/>
        <v>0</v>
      </c>
      <c r="AX167" s="17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4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43"/>
      <c r="AV168" s="1723">
        <f t="shared" si="91"/>
        <v>0</v>
      </c>
      <c r="AW168" s="1723">
        <f t="shared" si="92"/>
        <v>0</v>
      </c>
      <c r="AX168" s="17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4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43"/>
      <c r="AV169" s="1723">
        <f t="shared" si="91"/>
        <v>0</v>
      </c>
      <c r="AW169" s="1723">
        <f t="shared" si="92"/>
        <v>0</v>
      </c>
      <c r="AX169" s="17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4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43"/>
      <c r="AV170" s="1723">
        <f t="shared" si="91"/>
        <v>0</v>
      </c>
      <c r="AW170" s="1723">
        <f t="shared" si="92"/>
        <v>0</v>
      </c>
      <c r="AX170" s="17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4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43"/>
      <c r="AV171" s="1723">
        <f t="shared" si="91"/>
        <v>0</v>
      </c>
      <c r="AW171" s="1723">
        <f t="shared" si="92"/>
        <v>0</v>
      </c>
      <c r="AX171" s="17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4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43"/>
      <c r="AV172" s="1723">
        <f t="shared" si="91"/>
        <v>0</v>
      </c>
      <c r="AW172" s="1723">
        <f t="shared" si="92"/>
        <v>0</v>
      </c>
      <c r="AX172" s="17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4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43"/>
      <c r="AV173" s="1723">
        <f t="shared" si="91"/>
        <v>0</v>
      </c>
      <c r="AW173" s="1723">
        <f t="shared" si="92"/>
        <v>0</v>
      </c>
      <c r="AX173" s="17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4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43"/>
      <c r="AV174" s="1723">
        <f t="shared" si="91"/>
        <v>0</v>
      </c>
      <c r="AW174" s="1723">
        <f t="shared" si="92"/>
        <v>0</v>
      </c>
      <c r="AX174" s="17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4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43"/>
      <c r="AV175" s="1723">
        <f t="shared" si="91"/>
        <v>0</v>
      </c>
      <c r="AW175" s="1723">
        <f t="shared" si="92"/>
        <v>0</v>
      </c>
      <c r="AX175" s="17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4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43"/>
      <c r="AV176" s="1723">
        <f t="shared" si="91"/>
        <v>0</v>
      </c>
      <c r="AW176" s="1723">
        <f t="shared" si="92"/>
        <v>0</v>
      </c>
      <c r="AX176" s="17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4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43"/>
      <c r="AV177" s="1723">
        <f t="shared" ref="AV177:AV207" si="120">A177</f>
        <v>0</v>
      </c>
      <c r="AW177" s="1723">
        <f t="shared" ref="AW177:AW207" si="121">B177</f>
        <v>0</v>
      </c>
      <c r="AX177" s="17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4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43"/>
      <c r="AV178" s="1723">
        <f t="shared" si="120"/>
        <v>0</v>
      </c>
      <c r="AW178" s="1723">
        <f t="shared" si="121"/>
        <v>0</v>
      </c>
      <c r="AX178" s="17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4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43"/>
      <c r="AV179" s="1723">
        <f t="shared" si="120"/>
        <v>0</v>
      </c>
      <c r="AW179" s="1723">
        <f t="shared" si="121"/>
        <v>0</v>
      </c>
      <c r="AX179" s="17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4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43"/>
      <c r="AV180" s="1723">
        <f t="shared" si="120"/>
        <v>0</v>
      </c>
      <c r="AW180" s="1723">
        <f t="shared" si="121"/>
        <v>0</v>
      </c>
      <c r="AX180" s="17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4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43"/>
      <c r="AV181" s="1723">
        <f t="shared" si="120"/>
        <v>0</v>
      </c>
      <c r="AW181" s="1723">
        <f t="shared" si="121"/>
        <v>0</v>
      </c>
      <c r="AX181" s="17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4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43"/>
      <c r="AV182" s="1723">
        <f t="shared" si="120"/>
        <v>0</v>
      </c>
      <c r="AW182" s="1723">
        <f t="shared" si="121"/>
        <v>0</v>
      </c>
      <c r="AX182" s="17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4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43"/>
      <c r="AV183" s="1723">
        <f t="shared" si="120"/>
        <v>0</v>
      </c>
      <c r="AW183" s="1723">
        <f t="shared" si="121"/>
        <v>0</v>
      </c>
      <c r="AX183" s="17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4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43"/>
      <c r="AV184" s="1723">
        <f t="shared" si="120"/>
        <v>0</v>
      </c>
      <c r="AW184" s="1723">
        <f t="shared" si="121"/>
        <v>0</v>
      </c>
      <c r="AX184" s="17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4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43"/>
      <c r="AV185" s="1723">
        <f t="shared" si="120"/>
        <v>0</v>
      </c>
      <c r="AW185" s="1723">
        <f t="shared" si="121"/>
        <v>0</v>
      </c>
      <c r="AX185" s="17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4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43"/>
      <c r="AV186" s="1723">
        <f t="shared" si="120"/>
        <v>0</v>
      </c>
      <c r="AW186" s="1723">
        <f t="shared" si="121"/>
        <v>0</v>
      </c>
      <c r="AX186" s="17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4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43"/>
      <c r="AV187" s="1723">
        <f t="shared" si="120"/>
        <v>0</v>
      </c>
      <c r="AW187" s="1723">
        <f t="shared" si="121"/>
        <v>0</v>
      </c>
      <c r="AX187" s="17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4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43"/>
      <c r="AV188" s="1723">
        <f t="shared" si="120"/>
        <v>0</v>
      </c>
      <c r="AW188" s="1723">
        <f t="shared" si="121"/>
        <v>0</v>
      </c>
      <c r="AX188" s="17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4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43"/>
      <c r="AV189" s="1723">
        <f t="shared" si="120"/>
        <v>0</v>
      </c>
      <c r="AW189" s="1723">
        <f t="shared" si="121"/>
        <v>0</v>
      </c>
      <c r="AX189" s="17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4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43"/>
      <c r="AV190" s="1723">
        <f t="shared" si="120"/>
        <v>0</v>
      </c>
      <c r="AW190" s="1723">
        <f t="shared" si="121"/>
        <v>0</v>
      </c>
      <c r="AX190" s="17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4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43"/>
      <c r="AV191" s="1723">
        <f t="shared" si="120"/>
        <v>0</v>
      </c>
      <c r="AW191" s="1723">
        <f t="shared" si="121"/>
        <v>0</v>
      </c>
      <c r="AX191" s="17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4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43"/>
      <c r="AV192" s="1723">
        <f t="shared" si="120"/>
        <v>0</v>
      </c>
      <c r="AW192" s="1723">
        <f t="shared" si="121"/>
        <v>0</v>
      </c>
      <c r="AX192" s="17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4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43"/>
      <c r="AV193" s="1723">
        <f t="shared" si="120"/>
        <v>0</v>
      </c>
      <c r="AW193" s="1723">
        <f t="shared" si="121"/>
        <v>0</v>
      </c>
      <c r="AX193" s="17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4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43"/>
      <c r="AV194" s="1723">
        <f t="shared" si="120"/>
        <v>0</v>
      </c>
      <c r="AW194" s="1723">
        <f t="shared" si="121"/>
        <v>0</v>
      </c>
      <c r="AX194" s="17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4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43"/>
      <c r="AV195" s="1723">
        <f t="shared" si="120"/>
        <v>0</v>
      </c>
      <c r="AW195" s="1723">
        <f t="shared" si="121"/>
        <v>0</v>
      </c>
      <c r="AX195" s="17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4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43"/>
      <c r="AV196" s="1723">
        <f t="shared" si="120"/>
        <v>0</v>
      </c>
      <c r="AW196" s="1723">
        <f t="shared" si="121"/>
        <v>0</v>
      </c>
      <c r="AX196" s="17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4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43"/>
      <c r="AV197" s="1723">
        <f t="shared" si="120"/>
        <v>0</v>
      </c>
      <c r="AW197" s="1723">
        <f t="shared" si="121"/>
        <v>0</v>
      </c>
      <c r="AX197" s="17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4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43"/>
      <c r="AV198" s="1723">
        <f t="shared" si="120"/>
        <v>0</v>
      </c>
      <c r="AW198" s="1723">
        <f t="shared" si="121"/>
        <v>0</v>
      </c>
      <c r="AX198" s="17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4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43"/>
      <c r="AV199" s="1723">
        <f t="shared" si="120"/>
        <v>0</v>
      </c>
      <c r="AW199" s="1723">
        <f t="shared" si="121"/>
        <v>0</v>
      </c>
      <c r="AX199" s="17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4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43"/>
      <c r="AV200" s="1723">
        <f t="shared" si="120"/>
        <v>0</v>
      </c>
      <c r="AW200" s="1723">
        <f t="shared" si="121"/>
        <v>0</v>
      </c>
      <c r="AX200" s="17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4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43"/>
      <c r="AV201" s="1723">
        <f t="shared" si="120"/>
        <v>0</v>
      </c>
      <c r="AW201" s="1723">
        <f t="shared" si="121"/>
        <v>0</v>
      </c>
      <c r="AX201" s="17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4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43"/>
      <c r="AV202" s="1723">
        <f t="shared" si="120"/>
        <v>0</v>
      </c>
      <c r="AW202" s="1723">
        <f t="shared" si="121"/>
        <v>0</v>
      </c>
      <c r="AX202" s="17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4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43"/>
      <c r="AV203" s="1723">
        <f t="shared" si="120"/>
        <v>0</v>
      </c>
      <c r="AW203" s="1723">
        <f t="shared" si="121"/>
        <v>0</v>
      </c>
      <c r="AX203" s="17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4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43"/>
      <c r="AV204" s="1723">
        <f t="shared" si="120"/>
        <v>0</v>
      </c>
      <c r="AW204" s="1723">
        <f t="shared" si="121"/>
        <v>0</v>
      </c>
      <c r="AX204" s="17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4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8"/>
      <c r="AV205" s="1723">
        <f t="shared" si="120"/>
        <v>0</v>
      </c>
      <c r="AW205" s="1723">
        <f t="shared" si="121"/>
        <v>0</v>
      </c>
      <c r="AX205" s="17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4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8"/>
      <c r="AV206" s="1723">
        <f t="shared" si="120"/>
        <v>0</v>
      </c>
      <c r="AW206" s="1723">
        <f t="shared" si="121"/>
        <v>0</v>
      </c>
      <c r="AX206" s="17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4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8"/>
      <c r="AV207" s="1723">
        <f t="shared" si="120"/>
        <v>0</v>
      </c>
      <c r="AW207" s="1723">
        <f t="shared" si="121"/>
        <v>0</v>
      </c>
      <c r="AX207" s="17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4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43"/>
      <c r="AV208" s="1723">
        <f t="shared" ref="AV208:AV302" si="127">A208</f>
        <v>0</v>
      </c>
      <c r="AW208" s="1723">
        <f t="shared" ref="AW208:AW302" si="128">B208</f>
        <v>0</v>
      </c>
      <c r="AX208" s="17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4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43"/>
      <c r="AV209" s="1723">
        <f t="shared" si="127"/>
        <v>0</v>
      </c>
      <c r="AW209" s="1723">
        <f t="shared" si="128"/>
        <v>0</v>
      </c>
      <c r="AX209" s="17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4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43"/>
      <c r="AV210" s="1723">
        <f t="shared" si="127"/>
        <v>0</v>
      </c>
      <c r="AW210" s="1723">
        <f t="shared" si="128"/>
        <v>0</v>
      </c>
      <c r="AX210" s="17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4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43"/>
      <c r="AV211" s="1723">
        <f t="shared" si="127"/>
        <v>0</v>
      </c>
      <c r="AW211" s="1723">
        <f t="shared" si="128"/>
        <v>0</v>
      </c>
      <c r="AX211" s="17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4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43"/>
      <c r="AV212" s="1723">
        <f t="shared" si="127"/>
        <v>0</v>
      </c>
      <c r="AW212" s="1723">
        <f t="shared" si="128"/>
        <v>0</v>
      </c>
      <c r="AX212" s="17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4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43"/>
      <c r="AV213" s="1723">
        <f t="shared" si="127"/>
        <v>0</v>
      </c>
      <c r="AW213" s="1723">
        <f t="shared" si="128"/>
        <v>0</v>
      </c>
      <c r="AX213" s="17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4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43"/>
      <c r="AV214" s="1723">
        <f t="shared" si="127"/>
        <v>0</v>
      </c>
      <c r="AW214" s="1723">
        <f t="shared" si="128"/>
        <v>0</v>
      </c>
      <c r="AX214" s="17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4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43"/>
      <c r="AV215" s="1723">
        <f t="shared" si="127"/>
        <v>0</v>
      </c>
      <c r="AW215" s="1723">
        <f t="shared" si="128"/>
        <v>0</v>
      </c>
      <c r="AX215" s="17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4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43"/>
      <c r="AV216" s="1723">
        <f t="shared" si="127"/>
        <v>0</v>
      </c>
      <c r="AW216" s="1723">
        <f t="shared" si="128"/>
        <v>0</v>
      </c>
      <c r="AX216" s="17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4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43"/>
      <c r="AV217" s="1723">
        <f t="shared" si="127"/>
        <v>0</v>
      </c>
      <c r="AW217" s="1723">
        <f t="shared" si="128"/>
        <v>0</v>
      </c>
      <c r="AX217" s="17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4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43"/>
      <c r="AV218" s="1723">
        <f t="shared" si="127"/>
        <v>0</v>
      </c>
      <c r="AW218" s="1723">
        <f t="shared" si="128"/>
        <v>0</v>
      </c>
      <c r="AX218" s="17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4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43"/>
      <c r="AV219" s="1723">
        <f t="shared" si="127"/>
        <v>0</v>
      </c>
      <c r="AW219" s="1723">
        <f t="shared" si="128"/>
        <v>0</v>
      </c>
      <c r="AX219" s="17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4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43"/>
      <c r="AV220" s="1723">
        <f t="shared" si="127"/>
        <v>0</v>
      </c>
      <c r="AW220" s="1723">
        <f t="shared" si="128"/>
        <v>0</v>
      </c>
      <c r="AX220" s="17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4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43"/>
      <c r="AV221" s="1723">
        <f t="shared" si="127"/>
        <v>0</v>
      </c>
      <c r="AW221" s="1723">
        <f t="shared" si="128"/>
        <v>0</v>
      </c>
      <c r="AX221" s="17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4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43"/>
      <c r="AV222" s="1723">
        <f t="shared" si="127"/>
        <v>0</v>
      </c>
      <c r="AW222" s="1723">
        <f t="shared" si="128"/>
        <v>0</v>
      </c>
      <c r="AX222" s="17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4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43"/>
      <c r="AV223" s="1723">
        <f t="shared" si="127"/>
        <v>0</v>
      </c>
      <c r="AW223" s="1723">
        <f t="shared" si="128"/>
        <v>0</v>
      </c>
      <c r="AX223" s="17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4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43"/>
      <c r="AV224" s="1723">
        <f t="shared" si="127"/>
        <v>0</v>
      </c>
      <c r="AW224" s="1723">
        <f t="shared" si="128"/>
        <v>0</v>
      </c>
      <c r="AX224" s="17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4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43"/>
      <c r="AV225" s="1723">
        <f t="shared" si="127"/>
        <v>0</v>
      </c>
      <c r="AW225" s="1723">
        <f t="shared" si="128"/>
        <v>0</v>
      </c>
      <c r="AX225" s="17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4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43"/>
      <c r="AV226" s="1723">
        <f t="shared" si="127"/>
        <v>0</v>
      </c>
      <c r="AW226" s="1723">
        <f t="shared" si="128"/>
        <v>0</v>
      </c>
      <c r="AX226" s="17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4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43"/>
      <c r="AV227" s="1723">
        <f t="shared" si="127"/>
        <v>0</v>
      </c>
      <c r="AW227" s="1723">
        <f t="shared" si="128"/>
        <v>0</v>
      </c>
      <c r="AX227" s="17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4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43"/>
      <c r="AV228" s="1723">
        <f t="shared" si="127"/>
        <v>0</v>
      </c>
      <c r="AW228" s="1723">
        <f t="shared" si="128"/>
        <v>0</v>
      </c>
      <c r="AX228" s="17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4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43"/>
      <c r="AV229" s="1723">
        <f t="shared" si="127"/>
        <v>0</v>
      </c>
      <c r="AW229" s="1723">
        <f t="shared" si="128"/>
        <v>0</v>
      </c>
      <c r="AX229" s="17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4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43"/>
      <c r="AV230" s="1723">
        <f t="shared" si="127"/>
        <v>0</v>
      </c>
      <c r="AW230" s="1723">
        <f t="shared" si="128"/>
        <v>0</v>
      </c>
      <c r="AX230" s="17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4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43"/>
      <c r="AV231" s="1723">
        <f t="shared" si="127"/>
        <v>0</v>
      </c>
      <c r="AW231" s="1723">
        <f t="shared" si="128"/>
        <v>0</v>
      </c>
      <c r="AX231" s="17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4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43"/>
      <c r="AV232" s="1723">
        <f t="shared" si="127"/>
        <v>0</v>
      </c>
      <c r="AW232" s="1723">
        <f t="shared" si="128"/>
        <v>0</v>
      </c>
      <c r="AX232" s="17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4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43"/>
      <c r="AV233" s="1723">
        <f t="shared" si="127"/>
        <v>0</v>
      </c>
      <c r="AW233" s="1723">
        <f t="shared" si="128"/>
        <v>0</v>
      </c>
      <c r="AX233" s="17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4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43"/>
      <c r="AV234" s="1723">
        <f t="shared" si="127"/>
        <v>0</v>
      </c>
      <c r="AW234" s="1723">
        <f t="shared" si="128"/>
        <v>0</v>
      </c>
      <c r="AX234" s="17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4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43"/>
      <c r="AV235" s="1723">
        <f t="shared" si="127"/>
        <v>0</v>
      </c>
      <c r="AW235" s="1723">
        <f t="shared" si="128"/>
        <v>0</v>
      </c>
      <c r="AX235" s="17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4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43"/>
      <c r="AV236" s="1723">
        <f t="shared" si="127"/>
        <v>0</v>
      </c>
      <c r="AW236" s="1723">
        <f t="shared" si="128"/>
        <v>0</v>
      </c>
      <c r="AX236" s="17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4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43"/>
      <c r="AV237" s="1723">
        <f t="shared" si="127"/>
        <v>0</v>
      </c>
      <c r="AW237" s="1723">
        <f t="shared" si="128"/>
        <v>0</v>
      </c>
      <c r="AX237" s="17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4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43"/>
      <c r="AV238" s="1723">
        <f t="shared" si="127"/>
        <v>0</v>
      </c>
      <c r="AW238" s="1723">
        <f t="shared" si="128"/>
        <v>0</v>
      </c>
      <c r="AX238" s="17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4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43"/>
      <c r="AV239" s="1723">
        <f t="shared" si="127"/>
        <v>0</v>
      </c>
      <c r="AW239" s="1723">
        <f t="shared" si="128"/>
        <v>0</v>
      </c>
      <c r="AX239" s="17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4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43"/>
      <c r="AV240" s="1723">
        <f t="shared" si="127"/>
        <v>0</v>
      </c>
      <c r="AW240" s="1723">
        <f t="shared" si="128"/>
        <v>0</v>
      </c>
      <c r="AX240" s="17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4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43"/>
      <c r="AV241" s="1723">
        <f t="shared" si="127"/>
        <v>0</v>
      </c>
      <c r="AW241" s="1723">
        <f t="shared" si="128"/>
        <v>0</v>
      </c>
      <c r="AX241" s="17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4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43"/>
      <c r="AV242" s="1723">
        <f t="shared" si="127"/>
        <v>0</v>
      </c>
      <c r="AW242" s="1723">
        <f t="shared" si="128"/>
        <v>0</v>
      </c>
      <c r="AX242" s="17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4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43"/>
      <c r="AV243" s="1723">
        <f t="shared" si="127"/>
        <v>0</v>
      </c>
      <c r="AW243" s="1723">
        <f t="shared" si="128"/>
        <v>0</v>
      </c>
      <c r="AX243" s="17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4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43"/>
      <c r="AV244" s="1723">
        <f t="shared" si="127"/>
        <v>0</v>
      </c>
      <c r="AW244" s="1723">
        <f t="shared" si="128"/>
        <v>0</v>
      </c>
      <c r="AX244" s="17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4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43"/>
      <c r="AV245" s="1723">
        <f t="shared" si="127"/>
        <v>0</v>
      </c>
      <c r="AW245" s="1723">
        <f t="shared" si="128"/>
        <v>0</v>
      </c>
      <c r="AX245" s="17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4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43"/>
      <c r="AV246" s="1723">
        <f t="shared" si="127"/>
        <v>0</v>
      </c>
      <c r="AW246" s="1723">
        <f t="shared" si="128"/>
        <v>0</v>
      </c>
      <c r="AX246" s="17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4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43"/>
      <c r="AV247" s="1723">
        <f t="shared" si="127"/>
        <v>0</v>
      </c>
      <c r="AW247" s="1723">
        <f t="shared" si="128"/>
        <v>0</v>
      </c>
      <c r="AX247" s="17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4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43"/>
      <c r="AV248" s="1723">
        <f t="shared" si="127"/>
        <v>0</v>
      </c>
      <c r="AW248" s="1723">
        <f t="shared" si="128"/>
        <v>0</v>
      </c>
      <c r="AX248" s="17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4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43"/>
      <c r="AV249" s="1723">
        <f t="shared" si="127"/>
        <v>0</v>
      </c>
      <c r="AW249" s="1723">
        <f t="shared" si="128"/>
        <v>0</v>
      </c>
      <c r="AX249" s="17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4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43"/>
      <c r="AV250" s="1723">
        <f t="shared" si="127"/>
        <v>0</v>
      </c>
      <c r="AW250" s="1723">
        <f t="shared" si="128"/>
        <v>0</v>
      </c>
      <c r="AX250" s="17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4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43"/>
      <c r="AV251" s="1723">
        <f t="shared" si="127"/>
        <v>0</v>
      </c>
      <c r="AW251" s="1723">
        <f t="shared" si="128"/>
        <v>0</v>
      </c>
      <c r="AX251" s="17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4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43"/>
      <c r="AV252" s="1723">
        <f t="shared" si="127"/>
        <v>0</v>
      </c>
      <c r="AW252" s="1723">
        <f t="shared" si="128"/>
        <v>0</v>
      </c>
      <c r="AX252" s="17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4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43"/>
      <c r="AV253" s="1723">
        <f t="shared" si="127"/>
        <v>0</v>
      </c>
      <c r="AW253" s="1723">
        <f t="shared" si="128"/>
        <v>0</v>
      </c>
      <c r="AX253" s="17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4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43"/>
      <c r="AV254" s="1723">
        <f t="shared" si="127"/>
        <v>0</v>
      </c>
      <c r="AW254" s="1723">
        <f t="shared" si="128"/>
        <v>0</v>
      </c>
      <c r="AX254" s="17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4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43"/>
      <c r="AV255" s="1723">
        <f t="shared" si="127"/>
        <v>0</v>
      </c>
      <c r="AW255" s="1723">
        <f t="shared" si="128"/>
        <v>0</v>
      </c>
      <c r="AX255" s="17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4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43"/>
      <c r="AV256" s="1723">
        <f t="shared" si="127"/>
        <v>0</v>
      </c>
      <c r="AW256" s="1723">
        <f t="shared" si="128"/>
        <v>0</v>
      </c>
      <c r="AX256" s="17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4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43"/>
      <c r="AV257" s="1723">
        <f t="shared" si="127"/>
        <v>0</v>
      </c>
      <c r="AW257" s="1723">
        <f t="shared" si="128"/>
        <v>0</v>
      </c>
      <c r="AX257" s="17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4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43"/>
      <c r="AV258" s="1723">
        <f t="shared" si="127"/>
        <v>0</v>
      </c>
      <c r="AW258" s="1723">
        <f t="shared" si="128"/>
        <v>0</v>
      </c>
      <c r="AX258" s="17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4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43"/>
      <c r="AV259" s="1723">
        <f t="shared" si="127"/>
        <v>0</v>
      </c>
      <c r="AW259" s="1723">
        <f t="shared" si="128"/>
        <v>0</v>
      </c>
      <c r="AX259" s="17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4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43"/>
      <c r="AV260" s="1723">
        <f t="shared" si="127"/>
        <v>0</v>
      </c>
      <c r="AW260" s="1723">
        <f t="shared" si="128"/>
        <v>0</v>
      </c>
      <c r="AX260" s="17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4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43"/>
      <c r="AV261" s="1723">
        <f t="shared" si="127"/>
        <v>0</v>
      </c>
      <c r="AW261" s="1723">
        <f t="shared" si="128"/>
        <v>0</v>
      </c>
      <c r="AX261" s="17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4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43"/>
      <c r="AV262" s="1723">
        <f t="shared" si="127"/>
        <v>0</v>
      </c>
      <c r="AW262" s="1723">
        <f t="shared" si="128"/>
        <v>0</v>
      </c>
      <c r="AX262" s="17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4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43"/>
      <c r="AV263" s="1723">
        <f t="shared" si="127"/>
        <v>0</v>
      </c>
      <c r="AW263" s="1723">
        <f t="shared" si="128"/>
        <v>0</v>
      </c>
      <c r="AX263" s="17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4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43"/>
      <c r="AV264" s="1723">
        <f t="shared" si="127"/>
        <v>0</v>
      </c>
      <c r="AW264" s="1723">
        <f t="shared" si="128"/>
        <v>0</v>
      </c>
      <c r="AX264" s="17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4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43"/>
      <c r="AV265" s="1723">
        <f t="shared" si="127"/>
        <v>0</v>
      </c>
      <c r="AW265" s="1723">
        <f t="shared" si="128"/>
        <v>0</v>
      </c>
      <c r="AX265" s="17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4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43"/>
      <c r="AV266" s="1723">
        <f t="shared" si="127"/>
        <v>0</v>
      </c>
      <c r="AW266" s="1723">
        <f t="shared" si="128"/>
        <v>0</v>
      </c>
      <c r="AX266" s="17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4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43"/>
      <c r="AV267" s="1723">
        <f t="shared" si="127"/>
        <v>0</v>
      </c>
      <c r="AW267" s="1723">
        <f t="shared" si="128"/>
        <v>0</v>
      </c>
      <c r="AX267" s="17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4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43"/>
      <c r="AV268" s="1723">
        <f t="shared" si="127"/>
        <v>0</v>
      </c>
      <c r="AW268" s="1723">
        <f t="shared" si="128"/>
        <v>0</v>
      </c>
      <c r="AX268" s="17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4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43"/>
      <c r="AV269" s="1723">
        <f t="shared" si="127"/>
        <v>0</v>
      </c>
      <c r="AW269" s="1723">
        <f t="shared" si="128"/>
        <v>0</v>
      </c>
      <c r="AX269" s="17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4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43"/>
      <c r="AV270" s="1723">
        <f t="shared" si="127"/>
        <v>0</v>
      </c>
      <c r="AW270" s="1723">
        <f t="shared" si="128"/>
        <v>0</v>
      </c>
      <c r="AX270" s="17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4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43"/>
      <c r="AV271" s="1723">
        <f t="shared" si="127"/>
        <v>0</v>
      </c>
      <c r="AW271" s="1723">
        <f t="shared" si="128"/>
        <v>0</v>
      </c>
      <c r="AX271" s="17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4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43"/>
      <c r="AV272" s="1723">
        <f t="shared" si="127"/>
        <v>0</v>
      </c>
      <c r="AW272" s="1723">
        <f t="shared" si="128"/>
        <v>0</v>
      </c>
      <c r="AX272" s="17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4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43"/>
      <c r="AV273" s="1723">
        <f t="shared" si="127"/>
        <v>0</v>
      </c>
      <c r="AW273" s="1723">
        <f t="shared" si="128"/>
        <v>0</v>
      </c>
      <c r="AX273" s="17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4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43"/>
      <c r="AV274" s="1723">
        <f t="shared" si="127"/>
        <v>0</v>
      </c>
      <c r="AW274" s="1723">
        <f t="shared" si="128"/>
        <v>0</v>
      </c>
      <c r="AX274" s="17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4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43"/>
      <c r="AV275" s="1723">
        <f t="shared" si="127"/>
        <v>0</v>
      </c>
      <c r="AW275" s="1723">
        <f t="shared" si="128"/>
        <v>0</v>
      </c>
      <c r="AX275" s="17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4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43"/>
      <c r="AV276" s="1723">
        <f t="shared" si="127"/>
        <v>0</v>
      </c>
      <c r="AW276" s="1723">
        <f t="shared" si="128"/>
        <v>0</v>
      </c>
      <c r="AX276" s="17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4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43"/>
      <c r="AV277" s="1723">
        <f t="shared" si="127"/>
        <v>0</v>
      </c>
      <c r="AW277" s="1723">
        <f t="shared" si="128"/>
        <v>0</v>
      </c>
      <c r="AX277" s="17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4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43"/>
      <c r="AV278" s="1723">
        <f t="shared" si="127"/>
        <v>0</v>
      </c>
      <c r="AW278" s="1723">
        <f t="shared" si="128"/>
        <v>0</v>
      </c>
      <c r="AX278" s="17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4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43"/>
      <c r="AV279" s="1723">
        <f t="shared" si="127"/>
        <v>0</v>
      </c>
      <c r="AW279" s="1723">
        <f t="shared" si="128"/>
        <v>0</v>
      </c>
      <c r="AX279" s="17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4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43"/>
      <c r="AV280" s="1723">
        <f t="shared" si="127"/>
        <v>0</v>
      </c>
      <c r="AW280" s="1723">
        <f t="shared" si="128"/>
        <v>0</v>
      </c>
      <c r="AX280" s="17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4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43"/>
      <c r="AV281" s="1723">
        <f t="shared" si="127"/>
        <v>0</v>
      </c>
      <c r="AW281" s="1723">
        <f t="shared" si="128"/>
        <v>0</v>
      </c>
      <c r="AX281" s="17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4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43"/>
      <c r="AV282" s="1723">
        <f t="shared" si="127"/>
        <v>0</v>
      </c>
      <c r="AW282" s="1723">
        <f t="shared" si="128"/>
        <v>0</v>
      </c>
      <c r="AX282" s="17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4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43"/>
      <c r="AV283" s="1723">
        <f t="shared" si="127"/>
        <v>0</v>
      </c>
      <c r="AW283" s="1723">
        <f t="shared" si="128"/>
        <v>0</v>
      </c>
      <c r="AX283" s="17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4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43"/>
      <c r="AV284" s="1723">
        <f t="shared" si="127"/>
        <v>0</v>
      </c>
      <c r="AW284" s="1723">
        <f t="shared" si="128"/>
        <v>0</v>
      </c>
      <c r="AX284" s="17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4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43"/>
      <c r="AV285" s="1723">
        <f t="shared" si="127"/>
        <v>0</v>
      </c>
      <c r="AW285" s="1723">
        <f t="shared" si="128"/>
        <v>0</v>
      </c>
      <c r="AX285" s="17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4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43"/>
      <c r="AV286" s="1723">
        <f t="shared" si="127"/>
        <v>0</v>
      </c>
      <c r="AW286" s="1723">
        <f t="shared" si="128"/>
        <v>0</v>
      </c>
      <c r="AX286" s="17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4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43"/>
      <c r="AV287" s="1723">
        <f t="shared" si="127"/>
        <v>0</v>
      </c>
      <c r="AW287" s="1723">
        <f t="shared" si="128"/>
        <v>0</v>
      </c>
      <c r="AX287" s="17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4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43"/>
      <c r="AV288" s="1723">
        <f t="shared" si="127"/>
        <v>0</v>
      </c>
      <c r="AW288" s="1723">
        <f t="shared" si="128"/>
        <v>0</v>
      </c>
      <c r="AX288" s="17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4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43"/>
      <c r="AV289" s="1723">
        <f t="shared" si="127"/>
        <v>0</v>
      </c>
      <c r="AW289" s="1723">
        <f t="shared" si="128"/>
        <v>0</v>
      </c>
      <c r="AX289" s="17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4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43"/>
      <c r="AV290" s="1723">
        <f t="shared" si="127"/>
        <v>0</v>
      </c>
      <c r="AW290" s="1723">
        <f t="shared" si="128"/>
        <v>0</v>
      </c>
      <c r="AX290" s="17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4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43"/>
      <c r="AV291" s="1723">
        <f t="shared" si="127"/>
        <v>0</v>
      </c>
      <c r="AW291" s="1723">
        <f t="shared" si="128"/>
        <v>0</v>
      </c>
      <c r="AX291" s="17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4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43"/>
      <c r="AV292" s="1723">
        <f t="shared" si="127"/>
        <v>0</v>
      </c>
      <c r="AW292" s="1723">
        <f t="shared" si="128"/>
        <v>0</v>
      </c>
      <c r="AX292" s="17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4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43"/>
      <c r="AV293" s="1723">
        <f t="shared" si="127"/>
        <v>0</v>
      </c>
      <c r="AW293" s="1723">
        <f t="shared" si="128"/>
        <v>0</v>
      </c>
      <c r="AX293" s="17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4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43"/>
      <c r="AV294" s="1723">
        <f t="shared" si="127"/>
        <v>0</v>
      </c>
      <c r="AW294" s="1723">
        <f t="shared" si="128"/>
        <v>0</v>
      </c>
      <c r="AX294" s="17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4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43"/>
      <c r="AV295" s="1723">
        <f t="shared" si="127"/>
        <v>0</v>
      </c>
      <c r="AW295" s="1723">
        <f t="shared" si="128"/>
        <v>0</v>
      </c>
      <c r="AX295" s="17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4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43"/>
      <c r="AV296" s="1723">
        <f t="shared" si="127"/>
        <v>0</v>
      </c>
      <c r="AW296" s="1723">
        <f t="shared" si="128"/>
        <v>0</v>
      </c>
      <c r="AX296" s="17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4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43"/>
      <c r="AV297" s="1723">
        <f t="shared" si="127"/>
        <v>0</v>
      </c>
      <c r="AW297" s="1723">
        <f t="shared" si="128"/>
        <v>0</v>
      </c>
      <c r="AX297" s="17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4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43"/>
      <c r="AV298" s="1723">
        <f t="shared" si="127"/>
        <v>0</v>
      </c>
      <c r="AW298" s="1723">
        <f t="shared" si="128"/>
        <v>0</v>
      </c>
      <c r="AX298" s="17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4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43"/>
      <c r="AV299" s="1723">
        <f t="shared" si="127"/>
        <v>0</v>
      </c>
      <c r="AW299" s="1723">
        <f t="shared" si="128"/>
        <v>0</v>
      </c>
      <c r="AX299" s="17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4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8"/>
      <c r="AV300" s="1723">
        <f t="shared" si="127"/>
        <v>0</v>
      </c>
      <c r="AW300" s="1723">
        <f t="shared" si="128"/>
        <v>0</v>
      </c>
      <c r="AX300" s="17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4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8"/>
      <c r="AV301" s="1723">
        <f t="shared" si="127"/>
        <v>0</v>
      </c>
      <c r="AW301" s="1723">
        <f t="shared" si="128"/>
        <v>0</v>
      </c>
      <c r="AX301" s="17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4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8"/>
      <c r="AV302" s="1723">
        <f t="shared" si="127"/>
        <v>0</v>
      </c>
      <c r="AW302" s="1723">
        <f t="shared" si="128"/>
        <v>0</v>
      </c>
      <c r="AX302" s="17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4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43"/>
      <c r="AV303" s="1723">
        <f t="shared" ref="AV303:AV334" si="178">A303</f>
        <v>0</v>
      </c>
      <c r="AW303" s="1723">
        <f t="shared" ref="AW303:AW334" si="179">B303</f>
        <v>0</v>
      </c>
      <c r="AX303" s="17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4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43"/>
      <c r="AV304" s="1723">
        <f t="shared" si="178"/>
        <v>0</v>
      </c>
      <c r="AW304" s="1723">
        <f t="shared" si="179"/>
        <v>0</v>
      </c>
      <c r="AX304" s="17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4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43"/>
      <c r="AV305" s="1723">
        <f t="shared" si="178"/>
        <v>0</v>
      </c>
      <c r="AW305" s="1723">
        <f t="shared" si="179"/>
        <v>0</v>
      </c>
      <c r="AX305" s="17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4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43"/>
      <c r="AV306" s="1723">
        <f t="shared" si="178"/>
        <v>0</v>
      </c>
      <c r="AW306" s="1723">
        <f t="shared" si="179"/>
        <v>0</v>
      </c>
      <c r="AX306" s="17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4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43"/>
      <c r="AV307" s="1723">
        <f t="shared" si="178"/>
        <v>0</v>
      </c>
      <c r="AW307" s="1723">
        <f t="shared" si="179"/>
        <v>0</v>
      </c>
      <c r="AX307" s="17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4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43"/>
      <c r="AV308" s="1723">
        <f t="shared" si="178"/>
        <v>0</v>
      </c>
      <c r="AW308" s="1723">
        <f t="shared" si="179"/>
        <v>0</v>
      </c>
      <c r="AX308" s="17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4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43"/>
      <c r="AV309" s="1723">
        <f t="shared" si="178"/>
        <v>0</v>
      </c>
      <c r="AW309" s="1723">
        <f t="shared" si="179"/>
        <v>0</v>
      </c>
      <c r="AX309" s="17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4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43"/>
      <c r="AV310" s="1723">
        <f t="shared" si="178"/>
        <v>0</v>
      </c>
      <c r="AW310" s="1723">
        <f t="shared" si="179"/>
        <v>0</v>
      </c>
      <c r="AX310" s="17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4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43"/>
      <c r="AV311" s="1723">
        <f t="shared" si="178"/>
        <v>0</v>
      </c>
      <c r="AW311" s="1723">
        <f t="shared" si="179"/>
        <v>0</v>
      </c>
      <c r="AX311" s="17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4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43"/>
      <c r="AV312" s="1723">
        <f t="shared" si="178"/>
        <v>0</v>
      </c>
      <c r="AW312" s="1723">
        <f t="shared" si="179"/>
        <v>0</v>
      </c>
      <c r="AX312" s="17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4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43"/>
      <c r="AV313" s="1723">
        <f t="shared" si="178"/>
        <v>0</v>
      </c>
      <c r="AW313" s="1723">
        <f t="shared" si="179"/>
        <v>0</v>
      </c>
      <c r="AX313" s="17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4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43"/>
      <c r="AV314" s="1723">
        <f t="shared" si="178"/>
        <v>0</v>
      </c>
      <c r="AW314" s="1723">
        <f t="shared" si="179"/>
        <v>0</v>
      </c>
      <c r="AX314" s="17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4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43"/>
      <c r="AV315" s="1723">
        <f t="shared" si="178"/>
        <v>0</v>
      </c>
      <c r="AW315" s="1723">
        <f t="shared" si="179"/>
        <v>0</v>
      </c>
      <c r="AX315" s="17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4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43"/>
      <c r="AV316" s="1723">
        <f t="shared" si="178"/>
        <v>0</v>
      </c>
      <c r="AW316" s="1723">
        <f t="shared" si="179"/>
        <v>0</v>
      </c>
      <c r="AX316" s="17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4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43"/>
      <c r="AV317" s="1723">
        <f t="shared" si="178"/>
        <v>0</v>
      </c>
      <c r="AW317" s="1723">
        <f t="shared" si="179"/>
        <v>0</v>
      </c>
      <c r="AX317" s="17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4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43"/>
      <c r="AV318" s="1723">
        <f t="shared" si="178"/>
        <v>0</v>
      </c>
      <c r="AW318" s="1723">
        <f t="shared" si="179"/>
        <v>0</v>
      </c>
      <c r="AX318" s="17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4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43"/>
      <c r="AV319" s="1723">
        <f t="shared" si="178"/>
        <v>0</v>
      </c>
      <c r="AW319" s="1723">
        <f t="shared" si="179"/>
        <v>0</v>
      </c>
      <c r="AX319" s="17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4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43"/>
      <c r="AV320" s="1723">
        <f t="shared" si="178"/>
        <v>0</v>
      </c>
      <c r="AW320" s="1723">
        <f t="shared" si="179"/>
        <v>0</v>
      </c>
      <c r="AX320" s="17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4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43"/>
      <c r="AV321" s="1723">
        <f t="shared" si="178"/>
        <v>0</v>
      </c>
      <c r="AW321" s="1723">
        <f t="shared" si="179"/>
        <v>0</v>
      </c>
      <c r="AX321" s="17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4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43"/>
      <c r="AV322" s="1723">
        <f t="shared" si="178"/>
        <v>0</v>
      </c>
      <c r="AW322" s="1723">
        <f t="shared" si="179"/>
        <v>0</v>
      </c>
      <c r="AX322" s="17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4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43"/>
      <c r="AV323" s="1723">
        <f t="shared" si="178"/>
        <v>0</v>
      </c>
      <c r="AW323" s="1723">
        <f t="shared" si="179"/>
        <v>0</v>
      </c>
      <c r="AX323" s="17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4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43"/>
      <c r="AV324" s="1723">
        <f t="shared" si="178"/>
        <v>0</v>
      </c>
      <c r="AW324" s="1723">
        <f t="shared" si="179"/>
        <v>0</v>
      </c>
      <c r="AX324" s="17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4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43"/>
      <c r="AV325" s="1723">
        <f t="shared" si="178"/>
        <v>0</v>
      </c>
      <c r="AW325" s="1723">
        <f t="shared" si="179"/>
        <v>0</v>
      </c>
      <c r="AX325" s="17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4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43"/>
      <c r="AV326" s="1723">
        <f t="shared" si="178"/>
        <v>0</v>
      </c>
      <c r="AW326" s="1723">
        <f t="shared" si="179"/>
        <v>0</v>
      </c>
      <c r="AX326" s="17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4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43"/>
      <c r="AV327" s="1723">
        <f t="shared" si="178"/>
        <v>0</v>
      </c>
      <c r="AW327" s="1723">
        <f t="shared" si="179"/>
        <v>0</v>
      </c>
      <c r="AX327" s="17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4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43"/>
      <c r="AV328" s="1723">
        <f t="shared" si="178"/>
        <v>0</v>
      </c>
      <c r="AW328" s="1723">
        <f t="shared" si="179"/>
        <v>0</v>
      </c>
      <c r="AX328" s="17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4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43"/>
      <c r="AV329" s="1723">
        <f t="shared" si="178"/>
        <v>0</v>
      </c>
      <c r="AW329" s="1723">
        <f t="shared" si="179"/>
        <v>0</v>
      </c>
      <c r="AX329" s="17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4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43"/>
      <c r="AV330" s="1723">
        <f t="shared" si="178"/>
        <v>0</v>
      </c>
      <c r="AW330" s="1723">
        <f t="shared" si="179"/>
        <v>0</v>
      </c>
      <c r="AX330" s="17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4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43"/>
      <c r="AV331" s="1723">
        <f t="shared" si="178"/>
        <v>0</v>
      </c>
      <c r="AW331" s="1723">
        <f t="shared" si="179"/>
        <v>0</v>
      </c>
      <c r="AX331" s="17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4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43"/>
      <c r="AV332" s="1723">
        <f t="shared" si="178"/>
        <v>0</v>
      </c>
      <c r="AW332" s="1723">
        <f t="shared" si="179"/>
        <v>0</v>
      </c>
      <c r="AX332" s="17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4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43"/>
      <c r="AV333" s="1723">
        <f t="shared" si="178"/>
        <v>0</v>
      </c>
      <c r="AW333" s="1723">
        <f t="shared" si="179"/>
        <v>0</v>
      </c>
      <c r="AX333" s="17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4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43"/>
      <c r="AV334" s="1723">
        <f t="shared" si="178"/>
        <v>0</v>
      </c>
      <c r="AW334" s="1723">
        <f t="shared" si="179"/>
        <v>0</v>
      </c>
      <c r="AX334" s="17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4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43"/>
      <c r="AV335" s="1723">
        <f t="shared" ref="AV335:AV366" si="207">A335</f>
        <v>0</v>
      </c>
      <c r="AW335" s="1723">
        <f t="shared" ref="AW335:AW366" si="208">B335</f>
        <v>0</v>
      </c>
      <c r="AX335" s="17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4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43"/>
      <c r="AV336" s="1723">
        <f t="shared" si="207"/>
        <v>0</v>
      </c>
      <c r="AW336" s="1723">
        <f t="shared" si="208"/>
        <v>0</v>
      </c>
      <c r="AX336" s="17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4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43"/>
      <c r="AV337" s="1723">
        <f t="shared" si="207"/>
        <v>0</v>
      </c>
      <c r="AW337" s="1723">
        <f t="shared" si="208"/>
        <v>0</v>
      </c>
      <c r="AX337" s="17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4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43"/>
      <c r="AV338" s="1723">
        <f t="shared" si="207"/>
        <v>0</v>
      </c>
      <c r="AW338" s="1723">
        <f t="shared" si="208"/>
        <v>0</v>
      </c>
      <c r="AX338" s="17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4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43"/>
      <c r="AV339" s="1723">
        <f t="shared" si="207"/>
        <v>0</v>
      </c>
      <c r="AW339" s="1723">
        <f t="shared" si="208"/>
        <v>0</v>
      </c>
      <c r="AX339" s="17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4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43"/>
      <c r="AV340" s="1723">
        <f t="shared" si="207"/>
        <v>0</v>
      </c>
      <c r="AW340" s="1723">
        <f t="shared" si="208"/>
        <v>0</v>
      </c>
      <c r="AX340" s="17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4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43"/>
      <c r="AV341" s="1723">
        <f t="shared" si="207"/>
        <v>0</v>
      </c>
      <c r="AW341" s="1723">
        <f t="shared" si="208"/>
        <v>0</v>
      </c>
      <c r="AX341" s="17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4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43"/>
      <c r="AV342" s="1723">
        <f t="shared" si="207"/>
        <v>0</v>
      </c>
      <c r="AW342" s="1723">
        <f t="shared" si="208"/>
        <v>0</v>
      </c>
      <c r="AX342" s="17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4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43"/>
      <c r="AV343" s="1723">
        <f t="shared" si="207"/>
        <v>0</v>
      </c>
      <c r="AW343" s="1723">
        <f t="shared" si="208"/>
        <v>0</v>
      </c>
      <c r="AX343" s="17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4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43"/>
      <c r="AV344" s="1723">
        <f t="shared" si="207"/>
        <v>0</v>
      </c>
      <c r="AW344" s="1723">
        <f t="shared" si="208"/>
        <v>0</v>
      </c>
      <c r="AX344" s="17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4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43"/>
      <c r="AV345" s="1723">
        <f t="shared" si="207"/>
        <v>0</v>
      </c>
      <c r="AW345" s="1723">
        <f t="shared" si="208"/>
        <v>0</v>
      </c>
      <c r="AX345" s="17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4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43"/>
      <c r="AV346" s="1723">
        <f t="shared" si="207"/>
        <v>0</v>
      </c>
      <c r="AW346" s="1723">
        <f t="shared" si="208"/>
        <v>0</v>
      </c>
      <c r="AX346" s="17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4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43"/>
      <c r="AV347" s="1723">
        <f t="shared" si="207"/>
        <v>0</v>
      </c>
      <c r="AW347" s="1723">
        <f t="shared" si="208"/>
        <v>0</v>
      </c>
      <c r="AX347" s="17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4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43"/>
      <c r="AV348" s="1723">
        <f t="shared" si="207"/>
        <v>0</v>
      </c>
      <c r="AW348" s="1723">
        <f t="shared" si="208"/>
        <v>0</v>
      </c>
      <c r="AX348" s="17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4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43"/>
      <c r="AV349" s="1723">
        <f t="shared" si="207"/>
        <v>0</v>
      </c>
      <c r="AW349" s="1723">
        <f t="shared" si="208"/>
        <v>0</v>
      </c>
      <c r="AX349" s="17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4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43"/>
      <c r="AV350" s="1723">
        <f t="shared" si="207"/>
        <v>0</v>
      </c>
      <c r="AW350" s="1723">
        <f t="shared" si="208"/>
        <v>0</v>
      </c>
      <c r="AX350" s="17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4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43"/>
      <c r="AV351" s="1723">
        <f t="shared" si="207"/>
        <v>0</v>
      </c>
      <c r="AW351" s="1723">
        <f t="shared" si="208"/>
        <v>0</v>
      </c>
      <c r="AX351" s="17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4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43"/>
      <c r="AV352" s="1723">
        <f t="shared" si="207"/>
        <v>0</v>
      </c>
      <c r="AW352" s="1723">
        <f t="shared" si="208"/>
        <v>0</v>
      </c>
      <c r="AX352" s="17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4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43"/>
      <c r="AV353" s="1723">
        <f t="shared" si="207"/>
        <v>0</v>
      </c>
      <c r="AW353" s="1723">
        <f t="shared" si="208"/>
        <v>0</v>
      </c>
      <c r="AX353" s="17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4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43"/>
      <c r="AV354" s="1723">
        <f t="shared" si="207"/>
        <v>0</v>
      </c>
      <c r="AW354" s="1723">
        <f t="shared" si="208"/>
        <v>0</v>
      </c>
      <c r="AX354" s="17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4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43"/>
      <c r="AV355" s="1723">
        <f t="shared" si="207"/>
        <v>0</v>
      </c>
      <c r="AW355" s="1723">
        <f t="shared" si="208"/>
        <v>0</v>
      </c>
      <c r="AX355" s="17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4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43"/>
      <c r="AV356" s="1723">
        <f t="shared" si="207"/>
        <v>0</v>
      </c>
      <c r="AW356" s="1723">
        <f t="shared" si="208"/>
        <v>0</v>
      </c>
      <c r="AX356" s="17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4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43"/>
      <c r="AV357" s="1723">
        <f t="shared" si="207"/>
        <v>0</v>
      </c>
      <c r="AW357" s="1723">
        <f t="shared" si="208"/>
        <v>0</v>
      </c>
      <c r="AX357" s="17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4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43"/>
      <c r="AV358" s="1723">
        <f t="shared" si="207"/>
        <v>0</v>
      </c>
      <c r="AW358" s="1723">
        <f t="shared" si="208"/>
        <v>0</v>
      </c>
      <c r="AX358" s="17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4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43"/>
      <c r="AV359" s="1723">
        <f t="shared" si="207"/>
        <v>0</v>
      </c>
      <c r="AW359" s="1723">
        <f t="shared" si="208"/>
        <v>0</v>
      </c>
      <c r="AX359" s="17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4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43"/>
      <c r="AV360" s="1723">
        <f t="shared" si="207"/>
        <v>0</v>
      </c>
      <c r="AW360" s="1723">
        <f t="shared" si="208"/>
        <v>0</v>
      </c>
      <c r="AX360" s="17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4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43"/>
      <c r="AV361" s="1723">
        <f t="shared" si="207"/>
        <v>0</v>
      </c>
      <c r="AW361" s="1723">
        <f t="shared" si="208"/>
        <v>0</v>
      </c>
      <c r="AX361" s="17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4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43"/>
      <c r="AV362" s="1723">
        <f t="shared" si="207"/>
        <v>0</v>
      </c>
      <c r="AW362" s="1723">
        <f t="shared" si="208"/>
        <v>0</v>
      </c>
      <c r="AX362" s="17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4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43"/>
      <c r="AV363" s="1723">
        <f t="shared" si="207"/>
        <v>0</v>
      </c>
      <c r="AW363" s="1723">
        <f t="shared" si="208"/>
        <v>0</v>
      </c>
      <c r="AX363" s="17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4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43"/>
      <c r="AV364" s="1723">
        <f t="shared" si="207"/>
        <v>0</v>
      </c>
      <c r="AW364" s="1723">
        <f t="shared" si="208"/>
        <v>0</v>
      </c>
      <c r="AX364" s="17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4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43"/>
      <c r="AV365" s="1723">
        <f t="shared" si="207"/>
        <v>0</v>
      </c>
      <c r="AW365" s="1723">
        <f t="shared" si="208"/>
        <v>0</v>
      </c>
      <c r="AX365" s="17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4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43"/>
      <c r="AV366" s="1723">
        <f t="shared" si="207"/>
        <v>0</v>
      </c>
      <c r="AW366" s="1723">
        <f t="shared" si="208"/>
        <v>0</v>
      </c>
      <c r="AX366" s="17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4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43"/>
      <c r="AV367" s="1723">
        <f t="shared" ref="AV367:AV397" si="236">A367</f>
        <v>0</v>
      </c>
      <c r="AW367" s="1723">
        <f t="shared" ref="AW367:AW397" si="237">B367</f>
        <v>0</v>
      </c>
      <c r="AX367" s="17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4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43"/>
      <c r="AV368" s="1723">
        <f t="shared" si="236"/>
        <v>0</v>
      </c>
      <c r="AW368" s="1723">
        <f t="shared" si="237"/>
        <v>0</v>
      </c>
      <c r="AX368" s="17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4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43"/>
      <c r="AV369" s="1723">
        <f t="shared" si="236"/>
        <v>0</v>
      </c>
      <c r="AW369" s="1723">
        <f t="shared" si="237"/>
        <v>0</v>
      </c>
      <c r="AX369" s="17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4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43"/>
      <c r="AV370" s="1723">
        <f t="shared" si="236"/>
        <v>0</v>
      </c>
      <c r="AW370" s="1723">
        <f t="shared" si="237"/>
        <v>0</v>
      </c>
      <c r="AX370" s="17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4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43"/>
      <c r="AV371" s="1723">
        <f t="shared" si="236"/>
        <v>0</v>
      </c>
      <c r="AW371" s="1723">
        <f t="shared" si="237"/>
        <v>0</v>
      </c>
      <c r="AX371" s="17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4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43"/>
      <c r="AV372" s="1723">
        <f t="shared" si="236"/>
        <v>0</v>
      </c>
      <c r="AW372" s="1723">
        <f t="shared" si="237"/>
        <v>0</v>
      </c>
      <c r="AX372" s="17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4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43"/>
      <c r="AV373" s="1723">
        <f t="shared" si="236"/>
        <v>0</v>
      </c>
      <c r="AW373" s="1723">
        <f t="shared" si="237"/>
        <v>0</v>
      </c>
      <c r="AX373" s="17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4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43"/>
      <c r="AV374" s="1723">
        <f t="shared" si="236"/>
        <v>0</v>
      </c>
      <c r="AW374" s="1723">
        <f t="shared" si="237"/>
        <v>0</v>
      </c>
      <c r="AX374" s="17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4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43"/>
      <c r="AV375" s="1723">
        <f t="shared" si="236"/>
        <v>0</v>
      </c>
      <c r="AW375" s="1723">
        <f t="shared" si="237"/>
        <v>0</v>
      </c>
      <c r="AX375" s="17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4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43"/>
      <c r="AV376" s="1723">
        <f t="shared" si="236"/>
        <v>0</v>
      </c>
      <c r="AW376" s="1723">
        <f t="shared" si="237"/>
        <v>0</v>
      </c>
      <c r="AX376" s="17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4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43"/>
      <c r="AV377" s="1723">
        <f t="shared" si="236"/>
        <v>0</v>
      </c>
      <c r="AW377" s="1723">
        <f t="shared" si="237"/>
        <v>0</v>
      </c>
      <c r="AX377" s="17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4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43"/>
      <c r="AV378" s="1723">
        <f t="shared" si="236"/>
        <v>0</v>
      </c>
      <c r="AW378" s="1723">
        <f t="shared" si="237"/>
        <v>0</v>
      </c>
      <c r="AX378" s="17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4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43"/>
      <c r="AV379" s="1723">
        <f t="shared" si="236"/>
        <v>0</v>
      </c>
      <c r="AW379" s="1723">
        <f t="shared" si="237"/>
        <v>0</v>
      </c>
      <c r="AX379" s="17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4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43"/>
      <c r="AV380" s="1723">
        <f t="shared" si="236"/>
        <v>0</v>
      </c>
      <c r="AW380" s="1723">
        <f t="shared" si="237"/>
        <v>0</v>
      </c>
      <c r="AX380" s="17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4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43"/>
      <c r="AV381" s="1723">
        <f t="shared" si="236"/>
        <v>0</v>
      </c>
      <c r="AW381" s="1723">
        <f t="shared" si="237"/>
        <v>0</v>
      </c>
      <c r="AX381" s="17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4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43"/>
      <c r="AV382" s="1723">
        <f t="shared" si="236"/>
        <v>0</v>
      </c>
      <c r="AW382" s="1723">
        <f t="shared" si="237"/>
        <v>0</v>
      </c>
      <c r="AX382" s="17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4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43"/>
      <c r="AV383" s="1723">
        <f t="shared" si="236"/>
        <v>0</v>
      </c>
      <c r="AW383" s="1723">
        <f t="shared" si="237"/>
        <v>0</v>
      </c>
      <c r="AX383" s="17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4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43"/>
      <c r="AV384" s="1723">
        <f t="shared" si="236"/>
        <v>0</v>
      </c>
      <c r="AW384" s="1723">
        <f t="shared" si="237"/>
        <v>0</v>
      </c>
      <c r="AX384" s="17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4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43"/>
      <c r="AV385" s="1723">
        <f t="shared" si="236"/>
        <v>0</v>
      </c>
      <c r="AW385" s="1723">
        <f t="shared" si="237"/>
        <v>0</v>
      </c>
      <c r="AX385" s="17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4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43"/>
      <c r="AV386" s="1723">
        <f t="shared" si="236"/>
        <v>0</v>
      </c>
      <c r="AW386" s="1723">
        <f t="shared" si="237"/>
        <v>0</v>
      </c>
      <c r="AX386" s="17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4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43"/>
      <c r="AV387" s="1723">
        <f t="shared" si="236"/>
        <v>0</v>
      </c>
      <c r="AW387" s="1723">
        <f t="shared" si="237"/>
        <v>0</v>
      </c>
      <c r="AX387" s="17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4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43"/>
      <c r="AV388" s="1723">
        <f t="shared" si="236"/>
        <v>0</v>
      </c>
      <c r="AW388" s="1723">
        <f t="shared" si="237"/>
        <v>0</v>
      </c>
      <c r="AX388" s="17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4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43"/>
      <c r="AV389" s="1723">
        <f t="shared" si="236"/>
        <v>0</v>
      </c>
      <c r="AW389" s="1723">
        <f t="shared" si="237"/>
        <v>0</v>
      </c>
      <c r="AX389" s="17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4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43"/>
      <c r="AV390" s="1723">
        <f t="shared" si="236"/>
        <v>0</v>
      </c>
      <c r="AW390" s="1723">
        <f t="shared" si="237"/>
        <v>0</v>
      </c>
      <c r="AX390" s="17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4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43"/>
      <c r="AV391" s="1723">
        <f t="shared" si="236"/>
        <v>0</v>
      </c>
      <c r="AW391" s="1723">
        <f t="shared" si="237"/>
        <v>0</v>
      </c>
      <c r="AX391" s="17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4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43"/>
      <c r="AV392" s="1723">
        <f t="shared" si="236"/>
        <v>0</v>
      </c>
      <c r="AW392" s="1723">
        <f t="shared" si="237"/>
        <v>0</v>
      </c>
      <c r="AX392" s="17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4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43"/>
      <c r="AV393" s="1723">
        <f t="shared" si="236"/>
        <v>0</v>
      </c>
      <c r="AW393" s="1723">
        <f t="shared" si="237"/>
        <v>0</v>
      </c>
      <c r="AX393" s="17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4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43"/>
      <c r="AV394" s="1723">
        <f t="shared" si="236"/>
        <v>0</v>
      </c>
      <c r="AW394" s="1723">
        <f t="shared" si="237"/>
        <v>0</v>
      </c>
      <c r="AX394" s="17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4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8"/>
      <c r="AV395" s="1723">
        <f t="shared" si="236"/>
        <v>0</v>
      </c>
      <c r="AW395" s="1723">
        <f t="shared" si="237"/>
        <v>0</v>
      </c>
      <c r="AX395" s="17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4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8"/>
      <c r="AV396" s="1723">
        <f t="shared" si="236"/>
        <v>0</v>
      </c>
      <c r="AW396" s="1723">
        <f t="shared" si="237"/>
        <v>0</v>
      </c>
      <c r="AX396" s="17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4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8"/>
      <c r="AV397" s="1723">
        <f t="shared" si="236"/>
        <v>0</v>
      </c>
      <c r="AW397" s="1723">
        <f t="shared" si="237"/>
        <v>0</v>
      </c>
      <c r="AX397" s="17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4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43"/>
      <c r="AV398" s="1723">
        <f t="shared" ref="AV398:AV492" si="243">A398</f>
        <v>0</v>
      </c>
      <c r="AW398" s="1723">
        <f t="shared" ref="AW398:AW492" si="244">B398</f>
        <v>0</v>
      </c>
      <c r="AX398" s="17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4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43"/>
      <c r="AV399" s="1723">
        <f t="shared" si="243"/>
        <v>0</v>
      </c>
      <c r="AW399" s="1723">
        <f t="shared" si="244"/>
        <v>0</v>
      </c>
      <c r="AX399" s="17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4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43"/>
      <c r="AV400" s="1723">
        <f t="shared" si="243"/>
        <v>0</v>
      </c>
      <c r="AW400" s="1723">
        <f t="shared" si="244"/>
        <v>0</v>
      </c>
      <c r="AX400" s="17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4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43"/>
      <c r="AV401" s="1723">
        <f t="shared" si="243"/>
        <v>0</v>
      </c>
      <c r="AW401" s="1723">
        <f t="shared" si="244"/>
        <v>0</v>
      </c>
      <c r="AX401" s="17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4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43"/>
      <c r="AV402" s="1723">
        <f t="shared" si="243"/>
        <v>0</v>
      </c>
      <c r="AW402" s="1723">
        <f t="shared" si="244"/>
        <v>0</v>
      </c>
      <c r="AX402" s="17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4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43"/>
      <c r="AV403" s="1723">
        <f t="shared" si="243"/>
        <v>0</v>
      </c>
      <c r="AW403" s="1723">
        <f t="shared" si="244"/>
        <v>0</v>
      </c>
      <c r="AX403" s="17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4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43"/>
      <c r="AV404" s="1723">
        <f t="shared" si="243"/>
        <v>0</v>
      </c>
      <c r="AW404" s="1723">
        <f t="shared" si="244"/>
        <v>0</v>
      </c>
      <c r="AX404" s="17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4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43"/>
      <c r="AV405" s="1723">
        <f t="shared" si="243"/>
        <v>0</v>
      </c>
      <c r="AW405" s="1723">
        <f t="shared" si="244"/>
        <v>0</v>
      </c>
      <c r="AX405" s="17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4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43"/>
      <c r="AV406" s="1723">
        <f t="shared" si="243"/>
        <v>0</v>
      </c>
      <c r="AW406" s="1723">
        <f t="shared" si="244"/>
        <v>0</v>
      </c>
      <c r="AX406" s="17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4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43"/>
      <c r="AV407" s="1723">
        <f t="shared" si="243"/>
        <v>0</v>
      </c>
      <c r="AW407" s="1723">
        <f t="shared" si="244"/>
        <v>0</v>
      </c>
      <c r="AX407" s="17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4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43"/>
      <c r="AV408" s="1723">
        <f t="shared" si="243"/>
        <v>0</v>
      </c>
      <c r="AW408" s="1723">
        <f t="shared" si="244"/>
        <v>0</v>
      </c>
      <c r="AX408" s="17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4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43"/>
      <c r="AV409" s="1723">
        <f t="shared" si="243"/>
        <v>0</v>
      </c>
      <c r="AW409" s="1723">
        <f t="shared" si="244"/>
        <v>0</v>
      </c>
      <c r="AX409" s="17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4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43"/>
      <c r="AV410" s="1723">
        <f t="shared" si="243"/>
        <v>0</v>
      </c>
      <c r="AW410" s="1723">
        <f t="shared" si="244"/>
        <v>0</v>
      </c>
      <c r="AX410" s="17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4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43"/>
      <c r="AV411" s="1723">
        <f t="shared" si="243"/>
        <v>0</v>
      </c>
      <c r="AW411" s="1723">
        <f t="shared" si="244"/>
        <v>0</v>
      </c>
      <c r="AX411" s="17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4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43"/>
      <c r="AV412" s="1723">
        <f t="shared" si="243"/>
        <v>0</v>
      </c>
      <c r="AW412" s="1723">
        <f t="shared" si="244"/>
        <v>0</v>
      </c>
      <c r="AX412" s="17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4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43"/>
      <c r="AV413" s="1723">
        <f t="shared" si="243"/>
        <v>0</v>
      </c>
      <c r="AW413" s="1723">
        <f t="shared" si="244"/>
        <v>0</v>
      </c>
      <c r="AX413" s="17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4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43"/>
      <c r="AV414" s="1723">
        <f t="shared" si="243"/>
        <v>0</v>
      </c>
      <c r="AW414" s="1723">
        <f t="shared" si="244"/>
        <v>0</v>
      </c>
      <c r="AX414" s="17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4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43"/>
      <c r="AV415" s="1723">
        <f t="shared" si="243"/>
        <v>0</v>
      </c>
      <c r="AW415" s="1723">
        <f t="shared" si="244"/>
        <v>0</v>
      </c>
      <c r="AX415" s="17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4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43"/>
      <c r="AV416" s="1723">
        <f t="shared" si="243"/>
        <v>0</v>
      </c>
      <c r="AW416" s="1723">
        <f t="shared" si="244"/>
        <v>0</v>
      </c>
      <c r="AX416" s="17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4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43"/>
      <c r="AV417" s="1723">
        <f t="shared" si="243"/>
        <v>0</v>
      </c>
      <c r="AW417" s="1723">
        <f t="shared" si="244"/>
        <v>0</v>
      </c>
      <c r="AX417" s="17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4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43"/>
      <c r="AV418" s="1723">
        <f t="shared" si="243"/>
        <v>0</v>
      </c>
      <c r="AW418" s="1723">
        <f t="shared" si="244"/>
        <v>0</v>
      </c>
      <c r="AX418" s="17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4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43"/>
      <c r="AV419" s="1723">
        <f t="shared" si="243"/>
        <v>0</v>
      </c>
      <c r="AW419" s="1723">
        <f t="shared" si="244"/>
        <v>0</v>
      </c>
      <c r="AX419" s="17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4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43"/>
      <c r="AV420" s="1723">
        <f t="shared" si="243"/>
        <v>0</v>
      </c>
      <c r="AW420" s="1723">
        <f t="shared" si="244"/>
        <v>0</v>
      </c>
      <c r="AX420" s="17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4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43"/>
      <c r="AV421" s="1723">
        <f t="shared" si="243"/>
        <v>0</v>
      </c>
      <c r="AW421" s="1723">
        <f t="shared" si="244"/>
        <v>0</v>
      </c>
      <c r="AX421" s="17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4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43"/>
      <c r="AV422" s="1723">
        <f t="shared" si="243"/>
        <v>0</v>
      </c>
      <c r="AW422" s="1723">
        <f t="shared" si="244"/>
        <v>0</v>
      </c>
      <c r="AX422" s="17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4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43"/>
      <c r="AV423" s="1723">
        <f t="shared" si="243"/>
        <v>0</v>
      </c>
      <c r="AW423" s="1723">
        <f t="shared" si="244"/>
        <v>0</v>
      </c>
      <c r="AX423" s="17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4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43"/>
      <c r="AV424" s="1723">
        <f t="shared" si="243"/>
        <v>0</v>
      </c>
      <c r="AW424" s="1723">
        <f t="shared" si="244"/>
        <v>0</v>
      </c>
      <c r="AX424" s="17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4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43"/>
      <c r="AV425" s="1723">
        <f t="shared" si="243"/>
        <v>0</v>
      </c>
      <c r="AW425" s="1723">
        <f t="shared" si="244"/>
        <v>0</v>
      </c>
      <c r="AX425" s="17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4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43"/>
      <c r="AV426" s="1723">
        <f t="shared" si="243"/>
        <v>0</v>
      </c>
      <c r="AW426" s="1723">
        <f t="shared" si="244"/>
        <v>0</v>
      </c>
      <c r="AX426" s="17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4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43"/>
      <c r="AV427" s="1723">
        <f t="shared" si="243"/>
        <v>0</v>
      </c>
      <c r="AW427" s="1723">
        <f t="shared" si="244"/>
        <v>0</v>
      </c>
      <c r="AX427" s="17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4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43"/>
      <c r="AV428" s="1723">
        <f t="shared" si="243"/>
        <v>0</v>
      </c>
      <c r="AW428" s="1723">
        <f t="shared" si="244"/>
        <v>0</v>
      </c>
      <c r="AX428" s="17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4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43"/>
      <c r="AV429" s="1723">
        <f t="shared" si="243"/>
        <v>0</v>
      </c>
      <c r="AW429" s="1723">
        <f t="shared" si="244"/>
        <v>0</v>
      </c>
      <c r="AX429" s="17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4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43"/>
      <c r="AV430" s="1723">
        <f t="shared" si="243"/>
        <v>0</v>
      </c>
      <c r="AW430" s="1723">
        <f t="shared" si="244"/>
        <v>0</v>
      </c>
      <c r="AX430" s="17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4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43"/>
      <c r="AV431" s="1723">
        <f t="shared" si="243"/>
        <v>0</v>
      </c>
      <c r="AW431" s="1723">
        <f t="shared" si="244"/>
        <v>0</v>
      </c>
      <c r="AX431" s="17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4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43"/>
      <c r="AV432" s="1723">
        <f t="shared" si="243"/>
        <v>0</v>
      </c>
      <c r="AW432" s="1723">
        <f t="shared" si="244"/>
        <v>0</v>
      </c>
      <c r="AX432" s="17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4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43"/>
      <c r="AV433" s="1723">
        <f t="shared" si="243"/>
        <v>0</v>
      </c>
      <c r="AW433" s="1723">
        <f t="shared" si="244"/>
        <v>0</v>
      </c>
      <c r="AX433" s="17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4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43"/>
      <c r="AV434" s="1723">
        <f t="shared" si="243"/>
        <v>0</v>
      </c>
      <c r="AW434" s="1723">
        <f t="shared" si="244"/>
        <v>0</v>
      </c>
      <c r="AX434" s="17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4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43"/>
      <c r="AV435" s="1723">
        <f t="shared" si="243"/>
        <v>0</v>
      </c>
      <c r="AW435" s="1723">
        <f t="shared" si="244"/>
        <v>0</v>
      </c>
      <c r="AX435" s="17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4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43"/>
      <c r="AV436" s="1723">
        <f t="shared" si="243"/>
        <v>0</v>
      </c>
      <c r="AW436" s="1723">
        <f t="shared" si="244"/>
        <v>0</v>
      </c>
      <c r="AX436" s="17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4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43"/>
      <c r="AV437" s="1723">
        <f t="shared" si="243"/>
        <v>0</v>
      </c>
      <c r="AW437" s="1723">
        <f t="shared" si="244"/>
        <v>0</v>
      </c>
      <c r="AX437" s="17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4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43"/>
      <c r="AV438" s="1723">
        <f t="shared" si="243"/>
        <v>0</v>
      </c>
      <c r="AW438" s="1723">
        <f t="shared" si="244"/>
        <v>0</v>
      </c>
      <c r="AX438" s="17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4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43"/>
      <c r="AV439" s="1723">
        <f t="shared" si="243"/>
        <v>0</v>
      </c>
      <c r="AW439" s="1723">
        <f t="shared" si="244"/>
        <v>0</v>
      </c>
      <c r="AX439" s="17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4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43"/>
      <c r="AV440" s="1723">
        <f t="shared" si="243"/>
        <v>0</v>
      </c>
      <c r="AW440" s="1723">
        <f t="shared" si="244"/>
        <v>0</v>
      </c>
      <c r="AX440" s="17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4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43"/>
      <c r="AV441" s="1723">
        <f t="shared" si="243"/>
        <v>0</v>
      </c>
      <c r="AW441" s="1723">
        <f t="shared" si="244"/>
        <v>0</v>
      </c>
      <c r="AX441" s="17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4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43"/>
      <c r="AV442" s="1723">
        <f t="shared" si="243"/>
        <v>0</v>
      </c>
      <c r="AW442" s="1723">
        <f t="shared" si="244"/>
        <v>0</v>
      </c>
      <c r="AX442" s="17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4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43"/>
      <c r="AV443" s="1723">
        <f t="shared" si="243"/>
        <v>0</v>
      </c>
      <c r="AW443" s="1723">
        <f t="shared" si="244"/>
        <v>0</v>
      </c>
      <c r="AX443" s="17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4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43"/>
      <c r="AV444" s="1723">
        <f t="shared" si="243"/>
        <v>0</v>
      </c>
      <c r="AW444" s="1723">
        <f t="shared" si="244"/>
        <v>0</v>
      </c>
      <c r="AX444" s="17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4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43"/>
      <c r="AV445" s="1723">
        <f t="shared" si="243"/>
        <v>0</v>
      </c>
      <c r="AW445" s="1723">
        <f t="shared" si="244"/>
        <v>0</v>
      </c>
      <c r="AX445" s="17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4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43"/>
      <c r="AV446" s="1723">
        <f t="shared" si="243"/>
        <v>0</v>
      </c>
      <c r="AW446" s="1723">
        <f t="shared" si="244"/>
        <v>0</v>
      </c>
      <c r="AX446" s="17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4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43"/>
      <c r="AV447" s="1723">
        <f t="shared" si="243"/>
        <v>0</v>
      </c>
      <c r="AW447" s="1723">
        <f t="shared" si="244"/>
        <v>0</v>
      </c>
      <c r="AX447" s="17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4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43"/>
      <c r="AV448" s="1723">
        <f t="shared" si="243"/>
        <v>0</v>
      </c>
      <c r="AW448" s="1723">
        <f t="shared" si="244"/>
        <v>0</v>
      </c>
      <c r="AX448" s="17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4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43"/>
      <c r="AV449" s="1723">
        <f t="shared" si="243"/>
        <v>0</v>
      </c>
      <c r="AW449" s="1723">
        <f t="shared" si="244"/>
        <v>0</v>
      </c>
      <c r="AX449" s="17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4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43"/>
      <c r="AV450" s="1723">
        <f t="shared" si="243"/>
        <v>0</v>
      </c>
      <c r="AW450" s="1723">
        <f t="shared" si="244"/>
        <v>0</v>
      </c>
      <c r="AX450" s="17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4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43"/>
      <c r="AV451" s="1723">
        <f t="shared" si="243"/>
        <v>0</v>
      </c>
      <c r="AW451" s="1723">
        <f t="shared" si="244"/>
        <v>0</v>
      </c>
      <c r="AX451" s="17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4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43"/>
      <c r="AV452" s="1723">
        <f t="shared" si="243"/>
        <v>0</v>
      </c>
      <c r="AW452" s="1723">
        <f t="shared" si="244"/>
        <v>0</v>
      </c>
      <c r="AX452" s="17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4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43"/>
      <c r="AV453" s="1723">
        <f t="shared" si="243"/>
        <v>0</v>
      </c>
      <c r="AW453" s="1723">
        <f t="shared" si="244"/>
        <v>0</v>
      </c>
      <c r="AX453" s="17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4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43"/>
      <c r="AV454" s="1723">
        <f t="shared" si="243"/>
        <v>0</v>
      </c>
      <c r="AW454" s="1723">
        <f t="shared" si="244"/>
        <v>0</v>
      </c>
      <c r="AX454" s="17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4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43"/>
      <c r="AV455" s="1723">
        <f t="shared" si="243"/>
        <v>0</v>
      </c>
      <c r="AW455" s="1723">
        <f t="shared" si="244"/>
        <v>0</v>
      </c>
      <c r="AX455" s="17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4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43"/>
      <c r="AV456" s="1723">
        <f t="shared" si="243"/>
        <v>0</v>
      </c>
      <c r="AW456" s="1723">
        <f t="shared" si="244"/>
        <v>0</v>
      </c>
      <c r="AX456" s="17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4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43"/>
      <c r="AV457" s="1723">
        <f t="shared" si="243"/>
        <v>0</v>
      </c>
      <c r="AW457" s="1723">
        <f t="shared" si="244"/>
        <v>0</v>
      </c>
      <c r="AX457" s="17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4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43"/>
      <c r="AV458" s="1723">
        <f t="shared" si="243"/>
        <v>0</v>
      </c>
      <c r="AW458" s="1723">
        <f t="shared" si="244"/>
        <v>0</v>
      </c>
      <c r="AX458" s="17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4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43"/>
      <c r="AV459" s="1723">
        <f t="shared" si="243"/>
        <v>0</v>
      </c>
      <c r="AW459" s="1723">
        <f t="shared" si="244"/>
        <v>0</v>
      </c>
      <c r="AX459" s="17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4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43"/>
      <c r="AV460" s="1723">
        <f t="shared" si="243"/>
        <v>0</v>
      </c>
      <c r="AW460" s="1723">
        <f t="shared" si="244"/>
        <v>0</v>
      </c>
      <c r="AX460" s="17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4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43"/>
      <c r="AV461" s="1723">
        <f t="shared" si="243"/>
        <v>0</v>
      </c>
      <c r="AW461" s="1723">
        <f t="shared" si="244"/>
        <v>0</v>
      </c>
      <c r="AX461" s="17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4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43"/>
      <c r="AV462" s="1723">
        <f t="shared" si="243"/>
        <v>0</v>
      </c>
      <c r="AW462" s="1723">
        <f t="shared" si="244"/>
        <v>0</v>
      </c>
      <c r="AX462" s="17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4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43"/>
      <c r="AV463" s="1723">
        <f t="shared" si="243"/>
        <v>0</v>
      </c>
      <c r="AW463" s="1723">
        <f t="shared" si="244"/>
        <v>0</v>
      </c>
      <c r="AX463" s="17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4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43"/>
      <c r="AV464" s="1723">
        <f t="shared" si="243"/>
        <v>0</v>
      </c>
      <c r="AW464" s="1723">
        <f t="shared" si="244"/>
        <v>0</v>
      </c>
      <c r="AX464" s="17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4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43"/>
      <c r="AV465" s="1723">
        <f t="shared" si="243"/>
        <v>0</v>
      </c>
      <c r="AW465" s="1723">
        <f t="shared" si="244"/>
        <v>0</v>
      </c>
      <c r="AX465" s="17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4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43"/>
      <c r="AV466" s="1723">
        <f t="shared" si="243"/>
        <v>0</v>
      </c>
      <c r="AW466" s="1723">
        <f t="shared" si="244"/>
        <v>0</v>
      </c>
      <c r="AX466" s="17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4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43"/>
      <c r="AV467" s="1723">
        <f t="shared" si="243"/>
        <v>0</v>
      </c>
      <c r="AW467" s="1723">
        <f t="shared" si="244"/>
        <v>0</v>
      </c>
      <c r="AX467" s="17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4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43"/>
      <c r="AV468" s="1723">
        <f t="shared" si="243"/>
        <v>0</v>
      </c>
      <c r="AW468" s="1723">
        <f t="shared" si="244"/>
        <v>0</v>
      </c>
      <c r="AX468" s="17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4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43"/>
      <c r="AV469" s="1723">
        <f t="shared" si="243"/>
        <v>0</v>
      </c>
      <c r="AW469" s="1723">
        <f t="shared" si="244"/>
        <v>0</v>
      </c>
      <c r="AX469" s="17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4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43"/>
      <c r="AV470" s="1723">
        <f t="shared" si="243"/>
        <v>0</v>
      </c>
      <c r="AW470" s="1723">
        <f t="shared" si="244"/>
        <v>0</v>
      </c>
      <c r="AX470" s="17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4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43"/>
      <c r="AV471" s="1723">
        <f t="shared" si="243"/>
        <v>0</v>
      </c>
      <c r="AW471" s="1723">
        <f t="shared" si="244"/>
        <v>0</v>
      </c>
      <c r="AX471" s="17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4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43"/>
      <c r="AV472" s="1723">
        <f t="shared" si="243"/>
        <v>0</v>
      </c>
      <c r="AW472" s="1723">
        <f t="shared" si="244"/>
        <v>0</v>
      </c>
      <c r="AX472" s="17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4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43"/>
      <c r="AV473" s="1723">
        <f t="shared" si="243"/>
        <v>0</v>
      </c>
      <c r="AW473" s="1723">
        <f t="shared" si="244"/>
        <v>0</v>
      </c>
      <c r="AX473" s="17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4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43"/>
      <c r="AV474" s="1723">
        <f t="shared" si="243"/>
        <v>0</v>
      </c>
      <c r="AW474" s="1723">
        <f t="shared" si="244"/>
        <v>0</v>
      </c>
      <c r="AX474" s="17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4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43"/>
      <c r="AV475" s="1723">
        <f t="shared" si="243"/>
        <v>0</v>
      </c>
      <c r="AW475" s="1723">
        <f t="shared" si="244"/>
        <v>0</v>
      </c>
      <c r="AX475" s="17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4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43"/>
      <c r="AV476" s="1723">
        <f t="shared" si="243"/>
        <v>0</v>
      </c>
      <c r="AW476" s="1723">
        <f t="shared" si="244"/>
        <v>0</v>
      </c>
      <c r="AX476" s="17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4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43"/>
      <c r="AV477" s="1723">
        <f t="shared" si="243"/>
        <v>0</v>
      </c>
      <c r="AW477" s="1723">
        <f t="shared" si="244"/>
        <v>0</v>
      </c>
      <c r="AX477" s="17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4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43"/>
      <c r="AV478" s="1723">
        <f t="shared" si="243"/>
        <v>0</v>
      </c>
      <c r="AW478" s="1723">
        <f t="shared" si="244"/>
        <v>0</v>
      </c>
      <c r="AX478" s="17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4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43"/>
      <c r="AV479" s="1723">
        <f t="shared" si="243"/>
        <v>0</v>
      </c>
      <c r="AW479" s="1723">
        <f t="shared" si="244"/>
        <v>0</v>
      </c>
      <c r="AX479" s="17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4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43"/>
      <c r="AV480" s="1723">
        <f t="shared" si="243"/>
        <v>0</v>
      </c>
      <c r="AW480" s="1723">
        <f t="shared" si="244"/>
        <v>0</v>
      </c>
      <c r="AX480" s="17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4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43"/>
      <c r="AV481" s="1723">
        <f t="shared" si="243"/>
        <v>0</v>
      </c>
      <c r="AW481" s="1723">
        <f t="shared" si="244"/>
        <v>0</v>
      </c>
      <c r="AX481" s="17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4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43"/>
      <c r="AV482" s="1723">
        <f t="shared" si="243"/>
        <v>0</v>
      </c>
      <c r="AW482" s="1723">
        <f t="shared" si="244"/>
        <v>0</v>
      </c>
      <c r="AX482" s="17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4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43"/>
      <c r="AV483" s="1723">
        <f t="shared" si="243"/>
        <v>0</v>
      </c>
      <c r="AW483" s="1723">
        <f t="shared" si="244"/>
        <v>0</v>
      </c>
      <c r="AX483" s="17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4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43"/>
      <c r="AV484" s="1723">
        <f t="shared" si="243"/>
        <v>0</v>
      </c>
      <c r="AW484" s="1723">
        <f t="shared" si="244"/>
        <v>0</v>
      </c>
      <c r="AX484" s="17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4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43"/>
      <c r="AV485" s="1723">
        <f t="shared" si="243"/>
        <v>0</v>
      </c>
      <c r="AW485" s="1723">
        <f t="shared" si="244"/>
        <v>0</v>
      </c>
      <c r="AX485" s="17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4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43"/>
      <c r="AV486" s="1723">
        <f t="shared" si="243"/>
        <v>0</v>
      </c>
      <c r="AW486" s="1723">
        <f t="shared" si="244"/>
        <v>0</v>
      </c>
      <c r="AX486" s="17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4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43"/>
      <c r="AV487" s="1723">
        <f t="shared" si="243"/>
        <v>0</v>
      </c>
      <c r="AW487" s="1723">
        <f t="shared" si="244"/>
        <v>0</v>
      </c>
      <c r="AX487" s="17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4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43"/>
      <c r="AV488" s="1723">
        <f t="shared" si="243"/>
        <v>0</v>
      </c>
      <c r="AW488" s="1723">
        <f t="shared" si="244"/>
        <v>0</v>
      </c>
      <c r="AX488" s="17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4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43"/>
      <c r="AV489" s="1723">
        <f t="shared" si="243"/>
        <v>0</v>
      </c>
      <c r="AW489" s="1723">
        <f t="shared" si="244"/>
        <v>0</v>
      </c>
      <c r="AX489" s="17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4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8"/>
      <c r="AV490" s="1723">
        <f t="shared" si="243"/>
        <v>0</v>
      </c>
      <c r="AW490" s="1723">
        <f t="shared" si="244"/>
        <v>0</v>
      </c>
      <c r="AX490" s="17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4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8"/>
      <c r="AV491" s="1723">
        <f t="shared" si="243"/>
        <v>0</v>
      </c>
      <c r="AW491" s="1723">
        <f t="shared" si="244"/>
        <v>0</v>
      </c>
      <c r="AX491" s="17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4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8"/>
      <c r="AV492" s="1723">
        <f t="shared" si="243"/>
        <v>0</v>
      </c>
      <c r="AW492" s="1723">
        <f t="shared" si="244"/>
        <v>0</v>
      </c>
      <c r="AX492" s="17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4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43"/>
      <c r="AV493" s="1723">
        <f t="shared" ref="AV493:AV520" si="294">A493</f>
        <v>0</v>
      </c>
      <c r="AW493" s="1723">
        <f t="shared" ref="AW493:AW520" si="295">B493</f>
        <v>0</v>
      </c>
      <c r="AX493" s="17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4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43"/>
      <c r="AV494" s="1723">
        <f t="shared" si="294"/>
        <v>0</v>
      </c>
      <c r="AW494" s="1723">
        <f t="shared" si="295"/>
        <v>0</v>
      </c>
      <c r="AX494" s="17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4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43"/>
      <c r="AV495" s="1723">
        <f t="shared" si="294"/>
        <v>0</v>
      </c>
      <c r="AW495" s="1723">
        <f t="shared" si="295"/>
        <v>0</v>
      </c>
      <c r="AX495" s="17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4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43"/>
      <c r="AV496" s="1723">
        <f t="shared" si="294"/>
        <v>0</v>
      </c>
      <c r="AW496" s="1723">
        <f t="shared" si="295"/>
        <v>0</v>
      </c>
      <c r="AX496" s="17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4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43"/>
      <c r="AV497" s="1723">
        <f t="shared" si="294"/>
        <v>0</v>
      </c>
      <c r="AW497" s="1723">
        <f t="shared" si="295"/>
        <v>0</v>
      </c>
      <c r="AX497" s="17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4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43"/>
      <c r="AV498" s="1723">
        <f t="shared" si="294"/>
        <v>0</v>
      </c>
      <c r="AW498" s="1723">
        <f t="shared" si="295"/>
        <v>0</v>
      </c>
      <c r="AX498" s="17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4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43"/>
      <c r="AV499" s="1723">
        <f t="shared" si="294"/>
        <v>0</v>
      </c>
      <c r="AW499" s="1723">
        <f t="shared" si="295"/>
        <v>0</v>
      </c>
      <c r="AX499" s="17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4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43"/>
      <c r="AV500" s="1723">
        <f t="shared" si="294"/>
        <v>0</v>
      </c>
      <c r="AW500" s="1723">
        <f t="shared" si="295"/>
        <v>0</v>
      </c>
      <c r="AX500" s="17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4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43"/>
      <c r="AV501" s="1723">
        <f t="shared" si="294"/>
        <v>0</v>
      </c>
      <c r="AW501" s="1723">
        <f t="shared" si="295"/>
        <v>0</v>
      </c>
      <c r="AX501" s="17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4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43"/>
      <c r="AV502" s="1723">
        <f t="shared" si="294"/>
        <v>0</v>
      </c>
      <c r="AW502" s="1723">
        <f t="shared" si="295"/>
        <v>0</v>
      </c>
      <c r="AX502" s="17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4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43"/>
      <c r="AV503" s="1723">
        <f t="shared" si="294"/>
        <v>0</v>
      </c>
      <c r="AW503" s="1723">
        <f t="shared" si="295"/>
        <v>0</v>
      </c>
      <c r="AX503" s="17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4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43"/>
      <c r="AV504" s="1723">
        <f t="shared" si="294"/>
        <v>0</v>
      </c>
      <c r="AW504" s="1723">
        <f t="shared" si="295"/>
        <v>0</v>
      </c>
      <c r="AX504" s="17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4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43"/>
      <c r="AV505" s="1723">
        <f t="shared" si="294"/>
        <v>0</v>
      </c>
      <c r="AW505" s="1723">
        <f t="shared" si="295"/>
        <v>0</v>
      </c>
      <c r="AX505" s="17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4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43"/>
      <c r="AV506" s="1723">
        <f t="shared" si="294"/>
        <v>0</v>
      </c>
      <c r="AW506" s="1723">
        <f t="shared" si="295"/>
        <v>0</v>
      </c>
      <c r="AX506" s="17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4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43"/>
      <c r="AV507" s="1723">
        <f t="shared" si="294"/>
        <v>0</v>
      </c>
      <c r="AW507" s="1723">
        <f t="shared" si="295"/>
        <v>0</v>
      </c>
      <c r="AX507" s="17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4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43"/>
      <c r="AV508" s="1723">
        <f t="shared" si="294"/>
        <v>0</v>
      </c>
      <c r="AW508" s="1723">
        <f t="shared" si="295"/>
        <v>0</v>
      </c>
      <c r="AX508" s="17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4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43"/>
      <c r="AV509" s="1723">
        <f t="shared" si="294"/>
        <v>0</v>
      </c>
      <c r="AW509" s="1723">
        <f t="shared" si="295"/>
        <v>0</v>
      </c>
      <c r="AX509" s="17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4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43"/>
      <c r="AV510" s="1723">
        <f t="shared" si="294"/>
        <v>0</v>
      </c>
      <c r="AW510" s="1723">
        <f t="shared" si="295"/>
        <v>0</v>
      </c>
      <c r="AX510" s="17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4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43"/>
      <c r="AV511" s="1723">
        <f t="shared" si="294"/>
        <v>0</v>
      </c>
      <c r="AW511" s="1723">
        <f t="shared" si="295"/>
        <v>0</v>
      </c>
      <c r="AX511" s="17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4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43"/>
      <c r="AV512" s="1723">
        <f t="shared" si="294"/>
        <v>0</v>
      </c>
      <c r="AW512" s="1723">
        <f t="shared" si="295"/>
        <v>0</v>
      </c>
      <c r="AX512" s="17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4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43"/>
      <c r="AV513" s="1723">
        <f t="shared" si="294"/>
        <v>0</v>
      </c>
      <c r="AW513" s="1723">
        <f t="shared" si="295"/>
        <v>0</v>
      </c>
      <c r="AX513" s="17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4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43"/>
      <c r="AV514" s="1723">
        <f t="shared" si="294"/>
        <v>0</v>
      </c>
      <c r="AW514" s="1723">
        <f t="shared" si="295"/>
        <v>0</v>
      </c>
      <c r="AX514" s="17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4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43"/>
      <c r="AV515" s="1723">
        <f t="shared" si="294"/>
        <v>0</v>
      </c>
      <c r="AW515" s="1723">
        <f t="shared" si="295"/>
        <v>0</v>
      </c>
      <c r="AX515" s="17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4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43"/>
      <c r="AV516" s="1723">
        <f t="shared" si="294"/>
        <v>0</v>
      </c>
      <c r="AW516" s="1723">
        <f t="shared" si="295"/>
        <v>0</v>
      </c>
      <c r="AX516" s="17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4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43"/>
      <c r="AV517" s="1723">
        <f t="shared" si="294"/>
        <v>0</v>
      </c>
      <c r="AW517" s="1723">
        <f t="shared" si="295"/>
        <v>0</v>
      </c>
      <c r="AX517" s="17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4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43"/>
      <c r="AV518" s="1723">
        <f t="shared" si="294"/>
        <v>0</v>
      </c>
      <c r="AW518" s="1723">
        <f t="shared" si="295"/>
        <v>0</v>
      </c>
      <c r="AX518" s="17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4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43"/>
      <c r="AV519" s="1723">
        <f t="shared" si="294"/>
        <v>0</v>
      </c>
      <c r="AW519" s="1723">
        <f t="shared" si="295"/>
        <v>0</v>
      </c>
      <c r="AX519" s="17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4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43"/>
      <c r="AV520" s="1723">
        <f t="shared" si="294"/>
        <v>0</v>
      </c>
      <c r="AW520" s="1723">
        <f t="shared" si="295"/>
        <v>0</v>
      </c>
      <c r="AX520" s="17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4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43"/>
      <c r="AV521" s="1723">
        <f t="shared" ref="AV521:AV552" si="298">A521</f>
        <v>0</v>
      </c>
      <c r="AW521" s="1723">
        <f t="shared" ref="AW521:AW552" si="299">B521</f>
        <v>0</v>
      </c>
      <c r="AX521" s="17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4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43"/>
      <c r="AV522" s="1723">
        <f t="shared" si="298"/>
        <v>0</v>
      </c>
      <c r="AW522" s="1723">
        <f t="shared" si="299"/>
        <v>0</v>
      </c>
      <c r="AX522" s="17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4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43"/>
      <c r="AV523" s="1723">
        <f t="shared" si="298"/>
        <v>0</v>
      </c>
      <c r="AW523" s="1723">
        <f t="shared" si="299"/>
        <v>0</v>
      </c>
      <c r="AX523" s="17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4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43"/>
      <c r="AV524" s="1723">
        <f t="shared" si="298"/>
        <v>0</v>
      </c>
      <c r="AW524" s="1723">
        <f t="shared" si="299"/>
        <v>0</v>
      </c>
      <c r="AX524" s="17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4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43"/>
      <c r="AV525" s="1723">
        <f t="shared" si="298"/>
        <v>0</v>
      </c>
      <c r="AW525" s="1723">
        <f t="shared" si="299"/>
        <v>0</v>
      </c>
      <c r="AX525" s="17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4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43"/>
      <c r="AV526" s="1723">
        <f t="shared" si="298"/>
        <v>0</v>
      </c>
      <c r="AW526" s="1723">
        <f t="shared" si="299"/>
        <v>0</v>
      </c>
      <c r="AX526" s="17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4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43"/>
      <c r="AV527" s="1723">
        <f t="shared" si="298"/>
        <v>0</v>
      </c>
      <c r="AW527" s="1723">
        <f t="shared" si="299"/>
        <v>0</v>
      </c>
      <c r="AX527" s="17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4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43"/>
      <c r="AV528" s="1723">
        <f t="shared" si="298"/>
        <v>0</v>
      </c>
      <c r="AW528" s="1723">
        <f t="shared" si="299"/>
        <v>0</v>
      </c>
      <c r="AX528" s="17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4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43"/>
      <c r="AV529" s="1723">
        <f t="shared" si="298"/>
        <v>0</v>
      </c>
      <c r="AW529" s="1723">
        <f t="shared" si="299"/>
        <v>0</v>
      </c>
      <c r="AX529" s="17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4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43"/>
      <c r="AV530" s="1723">
        <f t="shared" si="298"/>
        <v>0</v>
      </c>
      <c r="AW530" s="1723">
        <f t="shared" si="299"/>
        <v>0</v>
      </c>
      <c r="AX530" s="17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4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43"/>
      <c r="AV531" s="1723">
        <f t="shared" si="298"/>
        <v>0</v>
      </c>
      <c r="AW531" s="1723">
        <f t="shared" si="299"/>
        <v>0</v>
      </c>
      <c r="AX531" s="17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4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43"/>
      <c r="AV532" s="1723">
        <f t="shared" si="298"/>
        <v>0</v>
      </c>
      <c r="AW532" s="1723">
        <f t="shared" si="299"/>
        <v>0</v>
      </c>
      <c r="AX532" s="17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4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43"/>
      <c r="AV533" s="1723">
        <f t="shared" si="298"/>
        <v>0</v>
      </c>
      <c r="AW533" s="1723">
        <f t="shared" si="299"/>
        <v>0</v>
      </c>
      <c r="AX533" s="17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4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43"/>
      <c r="AV534" s="1723">
        <f t="shared" si="298"/>
        <v>0</v>
      </c>
      <c r="AW534" s="1723">
        <f t="shared" si="299"/>
        <v>0</v>
      </c>
      <c r="AX534" s="17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4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43"/>
      <c r="AV535" s="1723">
        <f t="shared" si="298"/>
        <v>0</v>
      </c>
      <c r="AW535" s="1723">
        <f t="shared" si="299"/>
        <v>0</v>
      </c>
      <c r="AX535" s="17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4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43"/>
      <c r="AV536" s="1723">
        <f t="shared" si="298"/>
        <v>0</v>
      </c>
      <c r="AW536" s="1723">
        <f t="shared" si="299"/>
        <v>0</v>
      </c>
      <c r="AX536" s="17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4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43"/>
      <c r="AV537" s="1723">
        <f t="shared" si="298"/>
        <v>0</v>
      </c>
      <c r="AW537" s="1723">
        <f t="shared" si="299"/>
        <v>0</v>
      </c>
      <c r="AX537" s="17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4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43"/>
      <c r="AV538" s="1723">
        <f t="shared" si="298"/>
        <v>0</v>
      </c>
      <c r="AW538" s="1723">
        <f t="shared" si="299"/>
        <v>0</v>
      </c>
      <c r="AX538" s="17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4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43"/>
      <c r="AV539" s="1723">
        <f t="shared" si="298"/>
        <v>0</v>
      </c>
      <c r="AW539" s="1723">
        <f t="shared" si="299"/>
        <v>0</v>
      </c>
      <c r="AX539" s="17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4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43"/>
      <c r="AV540" s="1723">
        <f t="shared" si="298"/>
        <v>0</v>
      </c>
      <c r="AW540" s="1723">
        <f t="shared" si="299"/>
        <v>0</v>
      </c>
      <c r="AX540" s="17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4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43"/>
      <c r="AV541" s="1723">
        <f t="shared" si="298"/>
        <v>0</v>
      </c>
      <c r="AW541" s="1723">
        <f t="shared" si="299"/>
        <v>0</v>
      </c>
      <c r="AX541" s="17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4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43"/>
      <c r="AV542" s="1723">
        <f t="shared" si="298"/>
        <v>0</v>
      </c>
      <c r="AW542" s="1723">
        <f t="shared" si="299"/>
        <v>0</v>
      </c>
      <c r="AX542" s="17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4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43"/>
      <c r="AV543" s="1723">
        <f t="shared" si="298"/>
        <v>0</v>
      </c>
      <c r="AW543" s="1723">
        <f t="shared" si="299"/>
        <v>0</v>
      </c>
      <c r="AX543" s="17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4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43"/>
      <c r="AV544" s="1723">
        <f t="shared" si="298"/>
        <v>0</v>
      </c>
      <c r="AW544" s="1723">
        <f t="shared" si="299"/>
        <v>0</v>
      </c>
      <c r="AX544" s="17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4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43"/>
      <c r="AV545" s="1723">
        <f t="shared" si="298"/>
        <v>0</v>
      </c>
      <c r="AW545" s="1723">
        <f t="shared" si="299"/>
        <v>0</v>
      </c>
      <c r="AX545" s="17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4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43"/>
      <c r="AV546" s="1723">
        <f t="shared" si="298"/>
        <v>0</v>
      </c>
      <c r="AW546" s="1723">
        <f t="shared" si="299"/>
        <v>0</v>
      </c>
      <c r="AX546" s="17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4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43"/>
      <c r="AV547" s="1723">
        <f t="shared" si="298"/>
        <v>0</v>
      </c>
      <c r="AW547" s="1723">
        <f t="shared" si="299"/>
        <v>0</v>
      </c>
      <c r="AX547" s="17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4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43"/>
      <c r="AV548" s="1723">
        <f t="shared" si="298"/>
        <v>0</v>
      </c>
      <c r="AW548" s="1723">
        <f t="shared" si="299"/>
        <v>0</v>
      </c>
      <c r="AX548" s="17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4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43"/>
      <c r="AV549" s="1723">
        <f t="shared" si="298"/>
        <v>0</v>
      </c>
      <c r="AW549" s="1723">
        <f t="shared" si="299"/>
        <v>0</v>
      </c>
      <c r="AX549" s="17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4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43"/>
      <c r="AV550" s="1723">
        <f t="shared" si="298"/>
        <v>0</v>
      </c>
      <c r="AW550" s="1723">
        <f t="shared" si="299"/>
        <v>0</v>
      </c>
      <c r="AX550" s="17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4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43"/>
      <c r="AV551" s="1723">
        <f t="shared" si="298"/>
        <v>0</v>
      </c>
      <c r="AW551" s="1723">
        <f t="shared" si="299"/>
        <v>0</v>
      </c>
      <c r="AX551" s="17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4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43"/>
      <c r="AV552" s="1723">
        <f t="shared" si="298"/>
        <v>0</v>
      </c>
      <c r="AW552" s="1723">
        <f t="shared" si="299"/>
        <v>0</v>
      </c>
      <c r="AX552" s="17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4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43"/>
      <c r="AV553" s="1723">
        <f t="shared" ref="AV553:AV587" si="330">A553</f>
        <v>0</v>
      </c>
      <c r="AW553" s="1723">
        <f t="shared" ref="AW553:AW587" si="331">B553</f>
        <v>0</v>
      </c>
      <c r="AX553" s="17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4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43"/>
      <c r="AV554" s="1723">
        <f t="shared" si="330"/>
        <v>0</v>
      </c>
      <c r="AW554" s="1723">
        <f t="shared" si="331"/>
        <v>0</v>
      </c>
      <c r="AX554" s="17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4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43"/>
      <c r="AV555" s="1723">
        <f t="shared" si="330"/>
        <v>0</v>
      </c>
      <c r="AW555" s="1723">
        <f t="shared" si="331"/>
        <v>0</v>
      </c>
      <c r="AX555" s="17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4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43"/>
      <c r="AV556" s="1723">
        <f t="shared" si="330"/>
        <v>0</v>
      </c>
      <c r="AW556" s="1723">
        <f t="shared" si="331"/>
        <v>0</v>
      </c>
      <c r="AX556" s="17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4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43"/>
      <c r="AV557" s="1723">
        <f t="shared" si="330"/>
        <v>0</v>
      </c>
      <c r="AW557" s="1723">
        <f t="shared" si="331"/>
        <v>0</v>
      </c>
      <c r="AX557" s="17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4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43"/>
      <c r="AV558" s="1723">
        <f t="shared" si="330"/>
        <v>0</v>
      </c>
      <c r="AW558" s="1723">
        <f t="shared" si="331"/>
        <v>0</v>
      </c>
      <c r="AX558" s="17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4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43"/>
      <c r="AV559" s="1723">
        <f t="shared" si="330"/>
        <v>0</v>
      </c>
      <c r="AW559" s="1723">
        <f t="shared" si="331"/>
        <v>0</v>
      </c>
      <c r="AX559" s="17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4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43"/>
      <c r="AV560" s="1723">
        <f t="shared" si="330"/>
        <v>0</v>
      </c>
      <c r="AW560" s="1723">
        <f t="shared" si="331"/>
        <v>0</v>
      </c>
      <c r="AX560" s="17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4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43"/>
      <c r="AV561" s="1723">
        <f t="shared" si="330"/>
        <v>0</v>
      </c>
      <c r="AW561" s="1723">
        <f t="shared" si="331"/>
        <v>0</v>
      </c>
      <c r="AX561" s="17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4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43"/>
      <c r="AV562" s="1723">
        <f t="shared" si="330"/>
        <v>0</v>
      </c>
      <c r="AW562" s="1723">
        <f t="shared" si="331"/>
        <v>0</v>
      </c>
      <c r="AX562" s="17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4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43"/>
      <c r="AV563" s="1723">
        <f t="shared" si="330"/>
        <v>0</v>
      </c>
      <c r="AW563" s="1723">
        <f t="shared" si="331"/>
        <v>0</v>
      </c>
      <c r="AX563" s="17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4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43"/>
      <c r="AV564" s="1723">
        <f t="shared" si="330"/>
        <v>0</v>
      </c>
      <c r="AW564" s="1723">
        <f t="shared" si="331"/>
        <v>0</v>
      </c>
      <c r="AX564" s="17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4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43"/>
      <c r="AV565" s="1723">
        <f t="shared" si="330"/>
        <v>0</v>
      </c>
      <c r="AW565" s="1723">
        <f t="shared" si="331"/>
        <v>0</v>
      </c>
      <c r="AX565" s="17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4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43"/>
      <c r="AV566" s="1723">
        <f t="shared" si="330"/>
        <v>0</v>
      </c>
      <c r="AW566" s="1723">
        <f t="shared" si="331"/>
        <v>0</v>
      </c>
      <c r="AX566" s="17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4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43"/>
      <c r="AV567" s="1723">
        <f t="shared" si="330"/>
        <v>0</v>
      </c>
      <c r="AW567" s="1723">
        <f t="shared" si="331"/>
        <v>0</v>
      </c>
      <c r="AX567" s="17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4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43"/>
      <c r="AV568" s="1723">
        <f t="shared" si="330"/>
        <v>0</v>
      </c>
      <c r="AW568" s="1723">
        <f t="shared" si="331"/>
        <v>0</v>
      </c>
      <c r="AX568" s="17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4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43"/>
      <c r="AV569" s="1723">
        <f t="shared" si="330"/>
        <v>0</v>
      </c>
      <c r="AW569" s="1723">
        <f t="shared" si="331"/>
        <v>0</v>
      </c>
      <c r="AX569" s="17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4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43"/>
      <c r="AV570" s="1723">
        <f t="shared" si="330"/>
        <v>0</v>
      </c>
      <c r="AW570" s="1723">
        <f t="shared" si="331"/>
        <v>0</v>
      </c>
      <c r="AX570" s="17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4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43"/>
      <c r="AV571" s="1723">
        <f t="shared" si="330"/>
        <v>0</v>
      </c>
      <c r="AW571" s="1723">
        <f t="shared" si="331"/>
        <v>0</v>
      </c>
      <c r="AX571" s="17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4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43"/>
      <c r="AV572" s="1723">
        <f t="shared" si="330"/>
        <v>0</v>
      </c>
      <c r="AW572" s="1723">
        <f t="shared" si="331"/>
        <v>0</v>
      </c>
      <c r="AX572" s="17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4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43"/>
      <c r="AV573" s="1723">
        <f t="shared" si="330"/>
        <v>0</v>
      </c>
      <c r="AW573" s="1723">
        <f t="shared" si="331"/>
        <v>0</v>
      </c>
      <c r="AX573" s="17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4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43"/>
      <c r="AV574" s="1723">
        <f t="shared" si="330"/>
        <v>0</v>
      </c>
      <c r="AW574" s="1723">
        <f t="shared" si="331"/>
        <v>0</v>
      </c>
      <c r="AX574" s="17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4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43"/>
      <c r="AV575" s="1723">
        <f t="shared" si="330"/>
        <v>0</v>
      </c>
      <c r="AW575" s="1723">
        <f t="shared" si="331"/>
        <v>0</v>
      </c>
      <c r="AX575" s="17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4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43"/>
      <c r="AV576" s="1723">
        <f t="shared" si="330"/>
        <v>0</v>
      </c>
      <c r="AW576" s="1723">
        <f t="shared" si="331"/>
        <v>0</v>
      </c>
      <c r="AX576" s="17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4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43"/>
      <c r="AV577" s="1723">
        <f t="shared" si="330"/>
        <v>0</v>
      </c>
      <c r="AW577" s="1723">
        <f t="shared" si="331"/>
        <v>0</v>
      </c>
      <c r="AX577" s="17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4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43"/>
      <c r="AV578" s="1723">
        <f t="shared" si="330"/>
        <v>0</v>
      </c>
      <c r="AW578" s="1723">
        <f t="shared" si="331"/>
        <v>0</v>
      </c>
      <c r="AX578" s="17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4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43"/>
      <c r="AV579" s="1723">
        <f t="shared" si="330"/>
        <v>0</v>
      </c>
      <c r="AW579" s="1723">
        <f t="shared" si="331"/>
        <v>0</v>
      </c>
      <c r="AX579" s="17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4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43"/>
      <c r="AV580" s="1723">
        <f t="shared" si="330"/>
        <v>0</v>
      </c>
      <c r="AW580" s="1723">
        <f t="shared" si="331"/>
        <v>0</v>
      </c>
      <c r="AX580" s="17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4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43"/>
      <c r="AV581" s="1723">
        <f t="shared" si="330"/>
        <v>0</v>
      </c>
      <c r="AW581" s="1723">
        <f t="shared" si="331"/>
        <v>0</v>
      </c>
      <c r="AX581" s="17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4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43"/>
      <c r="AV582" s="1723">
        <f t="shared" si="330"/>
        <v>0</v>
      </c>
      <c r="AW582" s="1723">
        <f t="shared" si="331"/>
        <v>0</v>
      </c>
      <c r="AX582" s="17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4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43"/>
      <c r="AV583" s="1723">
        <f t="shared" si="330"/>
        <v>0</v>
      </c>
      <c r="AW583" s="1723">
        <f t="shared" si="331"/>
        <v>0</v>
      </c>
      <c r="AX583" s="17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4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43"/>
      <c r="AV584" s="1723">
        <f t="shared" si="330"/>
        <v>0</v>
      </c>
      <c r="AW584" s="1723">
        <f t="shared" si="331"/>
        <v>0</v>
      </c>
      <c r="AX584" s="17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4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8"/>
      <c r="AV585" s="1723">
        <f t="shared" si="330"/>
        <v>0</v>
      </c>
      <c r="AW585" s="1723">
        <f t="shared" si="331"/>
        <v>0</v>
      </c>
      <c r="AX585" s="17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4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8"/>
      <c r="AV586" s="1723">
        <f t="shared" si="330"/>
        <v>0</v>
      </c>
      <c r="AW586" s="1723">
        <f t="shared" si="331"/>
        <v>0</v>
      </c>
      <c r="AX586" s="17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4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8"/>
      <c r="AV587" s="1723">
        <f t="shared" si="330"/>
        <v>0</v>
      </c>
      <c r="AW587" s="1723">
        <f t="shared" si="331"/>
        <v>0</v>
      </c>
      <c r="AX587" s="17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6" customFormat="1">
      <c r="A588" s="2144"/>
      <c r="B588" s="2144"/>
      <c r="C588" s="2144"/>
      <c r="D588" s="2144"/>
      <c r="E588" s="2145"/>
      <c r="F588" s="2145"/>
      <c r="G588" s="2144"/>
      <c r="H588" s="2145"/>
      <c r="I588" s="2145"/>
      <c r="J588" s="2145"/>
      <c r="K588" s="2145"/>
      <c r="L588" s="2145"/>
      <c r="M588" s="2145"/>
      <c r="N588" s="2145"/>
      <c r="O588" s="2145"/>
      <c r="P588" s="2145"/>
      <c r="Q588" s="2145"/>
      <c r="R588" s="2145"/>
      <c r="S588" s="2145"/>
      <c r="T588" s="2145"/>
      <c r="U588" s="2145"/>
      <c r="V588" s="2145"/>
      <c r="W588" s="2145"/>
      <c r="X588" s="2145"/>
      <c r="Y588" s="2145"/>
      <c r="Z588" s="2145"/>
      <c r="AA588" s="2145"/>
      <c r="AB588" s="2145"/>
      <c r="AC588" s="2145"/>
      <c r="AD588" s="2145"/>
      <c r="AE588" s="2145"/>
      <c r="AF588" s="2145"/>
      <c r="AG588" s="2145"/>
      <c r="AH588" s="2145"/>
      <c r="AI588" s="2145"/>
      <c r="AJ588" s="2145"/>
      <c r="AK588" s="2145"/>
      <c r="AL588" s="2145"/>
      <c r="AM588" s="2145"/>
      <c r="AN588" s="2145"/>
      <c r="AO588" s="2145"/>
      <c r="AP588" s="2145"/>
      <c r="AQ588" s="2145"/>
      <c r="AR588" s="2145"/>
      <c r="AS588" s="2145"/>
      <c r="AT588" s="2145"/>
      <c r="AU588" s="2144"/>
      <c r="AV588" s="2144"/>
      <c r="AW588" s="2144"/>
      <c r="AX588" s="2144"/>
    </row>
    <row r="589" spans="1:72" s="2147" customFormat="1">
      <c r="C589" s="2148"/>
      <c r="D589" s="2148"/>
    </row>
    <row r="590" spans="1:72" s="2147" customFormat="1">
      <c r="C590" s="2148"/>
      <c r="D590" s="2148"/>
    </row>
    <row r="593" spans="2:2">
      <c r="B593" s="21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election activeCell="J10" sqref="J10"/>
    </sheetView>
  </sheetViews>
  <sheetFormatPr defaultRowHeight="13.5"/>
  <cols>
    <col min="1" max="5" width="9" style="2820"/>
    <col min="6" max="9" width="11.375" style="2820" customWidth="1"/>
  </cols>
  <sheetData>
    <row r="1" spans="2:17">
      <c r="B1" s="2834"/>
      <c r="C1" s="2834"/>
    </row>
    <row r="2" spans="2:17">
      <c r="C2" s="2834"/>
    </row>
    <row r="4" spans="2:17">
      <c r="B4" s="2834" t="s">
        <v>3257</v>
      </c>
      <c r="C4" s="2834" t="s">
        <v>3258</v>
      </c>
      <c r="D4" s="2834" t="s">
        <v>3259</v>
      </c>
      <c r="E4" s="2834" t="s">
        <v>3260</v>
      </c>
      <c r="F4" s="2834" t="s">
        <v>3261</v>
      </c>
      <c r="G4" s="2834" t="s">
        <v>3263</v>
      </c>
      <c r="H4" s="2834"/>
      <c r="I4" s="2834" t="s">
        <v>3264</v>
      </c>
      <c r="J4" s="2834" t="s">
        <v>3298</v>
      </c>
      <c r="K4" s="2838" t="s">
        <v>3313</v>
      </c>
      <c r="L4" s="2838" t="s">
        <v>3315</v>
      </c>
      <c r="M4" s="2838" t="s">
        <v>3314</v>
      </c>
      <c r="N4" s="2838" t="s">
        <v>3316</v>
      </c>
      <c r="O4" s="2807"/>
    </row>
    <row r="5" spans="2:17">
      <c r="B5" s="2834" t="s">
        <v>3265</v>
      </c>
      <c r="C5" s="2834" t="s">
        <v>3281</v>
      </c>
      <c r="D5" s="2834" t="s">
        <v>3256</v>
      </c>
      <c r="E5" s="2820">
        <v>15</v>
      </c>
      <c r="F5" s="2820">
        <v>5478.71</v>
      </c>
      <c r="G5" s="2820">
        <v>447.56</v>
      </c>
      <c r="H5" s="2820">
        <f>F5+G5</f>
        <v>5926.27</v>
      </c>
      <c r="I5" s="2820">
        <v>5217.16</v>
      </c>
      <c r="J5" s="2833" t="s">
        <v>3300</v>
      </c>
      <c r="K5" s="2807">
        <f>'数据-取费表'!L6</f>
        <v>4000</v>
      </c>
      <c r="L5" s="2839">
        <v>0.9</v>
      </c>
      <c r="M5" s="2807">
        <v>0</v>
      </c>
      <c r="N5" s="2839">
        <v>0</v>
      </c>
      <c r="O5" s="2840">
        <f>(K5*L5+M5*N5)/(K5+M5)</f>
        <v>0.9</v>
      </c>
      <c r="P5">
        <f>O5*I5</f>
        <v>4695.4440000000004</v>
      </c>
      <c r="Q5" s="2841">
        <f>P5/I5</f>
        <v>0.90000000000000013</v>
      </c>
    </row>
    <row r="6" spans="2:17">
      <c r="B6" s="2834" t="s">
        <v>3266</v>
      </c>
      <c r="C6" s="2834" t="s">
        <v>3282</v>
      </c>
      <c r="D6" s="2834" t="s">
        <v>3256</v>
      </c>
      <c r="E6" s="2820">
        <v>14</v>
      </c>
      <c r="F6" s="2820">
        <v>4937.37</v>
      </c>
      <c r="G6" s="2820">
        <v>509.83</v>
      </c>
      <c r="H6" s="2820">
        <f t="shared" ref="H6:H20" si="0">F6+G6</f>
        <v>5447.2</v>
      </c>
      <c r="I6" s="2820">
        <v>4793.57</v>
      </c>
      <c r="K6" s="2807">
        <f>K5</f>
        <v>4000</v>
      </c>
      <c r="L6" s="2839">
        <v>0.9</v>
      </c>
      <c r="M6" s="2807">
        <f>'数据-取费表'!L7-'数据-取费表'!L6</f>
        <v>-1000</v>
      </c>
      <c r="N6" s="2839">
        <v>0</v>
      </c>
      <c r="O6" s="2840">
        <f>(K6*L6+M6*N6)/(K6+M6)</f>
        <v>1.2</v>
      </c>
      <c r="P6">
        <f t="shared" ref="P6:P18" si="1">O6*I6</f>
        <v>5752.2839999999997</v>
      </c>
      <c r="Q6" s="3123">
        <f>SUM(P6:P19)/SUM(I6:I18)</f>
        <v>1.0999817191921897</v>
      </c>
    </row>
    <row r="7" spans="2:17">
      <c r="B7" s="2834" t="s">
        <v>3267</v>
      </c>
      <c r="C7" s="2834" t="s">
        <v>3283</v>
      </c>
      <c r="D7" s="2834" t="s">
        <v>3256</v>
      </c>
      <c r="E7" s="2820">
        <v>14</v>
      </c>
      <c r="F7" s="2820">
        <v>4937.37</v>
      </c>
      <c r="G7" s="2820">
        <v>487.2</v>
      </c>
      <c r="H7" s="2820">
        <f t="shared" si="0"/>
        <v>5424.57</v>
      </c>
      <c r="I7" s="2820">
        <v>4793.57</v>
      </c>
      <c r="K7" s="2807">
        <f t="shared" ref="K7:K18" si="2">K6</f>
        <v>4000</v>
      </c>
      <c r="L7" s="2839">
        <v>0.9</v>
      </c>
      <c r="M7" s="2807">
        <f>M6</f>
        <v>-1000</v>
      </c>
      <c r="N7" s="2839">
        <v>0</v>
      </c>
      <c r="O7" s="2840">
        <f t="shared" ref="O7:O20" si="3">(K7*L7+M7*N7)/(K7+M7)</f>
        <v>1.2</v>
      </c>
      <c r="P7">
        <f t="shared" si="1"/>
        <v>5752.2839999999997</v>
      </c>
      <c r="Q7" s="3123"/>
    </row>
    <row r="8" spans="2:17">
      <c r="B8" s="2834" t="s">
        <v>3268</v>
      </c>
      <c r="C8" s="2834" t="s">
        <v>3284</v>
      </c>
      <c r="D8" s="2834" t="s">
        <v>3256</v>
      </c>
      <c r="E8" s="2820">
        <v>14</v>
      </c>
      <c r="F8" s="2820">
        <v>4945.7299999999996</v>
      </c>
      <c r="G8" s="2820">
        <v>846.58</v>
      </c>
      <c r="H8" s="2820">
        <f t="shared" si="0"/>
        <v>5792.3099999999995</v>
      </c>
      <c r="I8" s="2820">
        <v>4801.68</v>
      </c>
      <c r="K8" s="2807">
        <f t="shared" si="2"/>
        <v>4000</v>
      </c>
      <c r="L8" s="2839">
        <v>0.9</v>
      </c>
      <c r="M8" s="2807">
        <f t="shared" ref="M8:M18" si="4">M7</f>
        <v>-1000</v>
      </c>
      <c r="N8" s="2839">
        <v>0</v>
      </c>
      <c r="O8" s="2840">
        <f t="shared" si="3"/>
        <v>1.2</v>
      </c>
      <c r="P8">
        <f t="shared" si="1"/>
        <v>5762.0160000000005</v>
      </c>
      <c r="Q8" s="3123"/>
    </row>
    <row r="9" spans="2:17">
      <c r="B9" s="2834" t="s">
        <v>3269</v>
      </c>
      <c r="C9" s="2834" t="s">
        <v>3285</v>
      </c>
      <c r="D9" s="2834" t="s">
        <v>3256</v>
      </c>
      <c r="E9" s="2820">
        <v>14</v>
      </c>
      <c r="F9" s="2820">
        <v>7960.66</v>
      </c>
      <c r="G9" s="2820">
        <v>1106.49</v>
      </c>
      <c r="H9" s="2820">
        <f t="shared" si="0"/>
        <v>9067.15</v>
      </c>
      <c r="I9" s="2820">
        <v>7728.8</v>
      </c>
      <c r="K9" s="2807">
        <f t="shared" si="2"/>
        <v>4000</v>
      </c>
      <c r="L9" s="2839">
        <v>0.9</v>
      </c>
      <c r="M9" s="2807">
        <f t="shared" si="4"/>
        <v>-1000</v>
      </c>
      <c r="N9" s="2839">
        <v>0</v>
      </c>
      <c r="O9" s="2840">
        <f t="shared" si="3"/>
        <v>1.2</v>
      </c>
      <c r="P9">
        <f t="shared" si="1"/>
        <v>9274.56</v>
      </c>
      <c r="Q9" s="3123"/>
    </row>
    <row r="10" spans="2:17">
      <c r="B10" s="2834" t="s">
        <v>3270</v>
      </c>
      <c r="C10" s="2834" t="s">
        <v>3286</v>
      </c>
      <c r="D10" s="2834" t="s">
        <v>3256</v>
      </c>
      <c r="E10" s="2820">
        <v>14</v>
      </c>
      <c r="F10" s="2820">
        <v>5773.29</v>
      </c>
      <c r="G10" s="2820">
        <v>675.48</v>
      </c>
      <c r="H10" s="2820">
        <f t="shared" si="0"/>
        <v>6448.77</v>
      </c>
      <c r="I10" s="2820">
        <v>5605.14</v>
      </c>
      <c r="K10" s="2807">
        <f t="shared" si="2"/>
        <v>4000</v>
      </c>
      <c r="L10" s="2839">
        <v>0.9</v>
      </c>
      <c r="M10" s="2807">
        <f t="shared" si="4"/>
        <v>-1000</v>
      </c>
      <c r="N10" s="2839">
        <v>0</v>
      </c>
      <c r="O10" s="2840">
        <f t="shared" si="3"/>
        <v>1.2</v>
      </c>
      <c r="P10">
        <f t="shared" si="1"/>
        <v>6726.1680000000006</v>
      </c>
      <c r="Q10" s="3123"/>
    </row>
    <row r="11" spans="2:17">
      <c r="B11" s="2834" t="s">
        <v>3271</v>
      </c>
      <c r="C11" s="2834" t="s">
        <v>3287</v>
      </c>
      <c r="D11" s="2834" t="s">
        <v>3256</v>
      </c>
      <c r="E11" s="2820">
        <v>12</v>
      </c>
      <c r="F11" s="2820">
        <v>4235.8500000000004</v>
      </c>
      <c r="G11" s="2820">
        <v>303.82</v>
      </c>
      <c r="H11" s="2820">
        <f t="shared" si="0"/>
        <v>4539.67</v>
      </c>
      <c r="I11" s="2820">
        <v>4112.4799999999996</v>
      </c>
      <c r="K11" s="2807">
        <f t="shared" si="2"/>
        <v>4000</v>
      </c>
      <c r="L11" s="2839">
        <v>0.9</v>
      </c>
      <c r="M11" s="2807">
        <f t="shared" si="4"/>
        <v>-1000</v>
      </c>
      <c r="N11" s="2839">
        <v>0</v>
      </c>
      <c r="O11" s="2840">
        <f t="shared" si="3"/>
        <v>1.2</v>
      </c>
      <c r="P11">
        <f t="shared" si="1"/>
        <v>4934.9759999999997</v>
      </c>
      <c r="Q11" s="3123"/>
    </row>
    <row r="12" spans="2:17">
      <c r="B12" s="2834" t="s">
        <v>3272</v>
      </c>
      <c r="C12" s="2834" t="s">
        <v>3288</v>
      </c>
      <c r="D12" s="2834" t="s">
        <v>3256</v>
      </c>
      <c r="E12" s="2820">
        <v>13</v>
      </c>
      <c r="F12" s="2820">
        <v>4586.6099999999997</v>
      </c>
      <c r="G12" s="2820">
        <v>303.82</v>
      </c>
      <c r="H12" s="2820">
        <f t="shared" si="0"/>
        <v>4890.4299999999994</v>
      </c>
      <c r="I12" s="2820">
        <v>4453.0200000000004</v>
      </c>
      <c r="K12" s="2807">
        <f t="shared" si="2"/>
        <v>4000</v>
      </c>
      <c r="L12" s="2839">
        <v>0.9</v>
      </c>
      <c r="M12" s="2807">
        <f t="shared" si="4"/>
        <v>-1000</v>
      </c>
      <c r="N12" s="2839">
        <v>0</v>
      </c>
      <c r="O12" s="2840">
        <f t="shared" si="3"/>
        <v>1.2</v>
      </c>
      <c r="P12">
        <f t="shared" si="1"/>
        <v>5343.6240000000007</v>
      </c>
      <c r="Q12" s="3123"/>
    </row>
    <row r="13" spans="2:17">
      <c r="B13" s="2834" t="s">
        <v>3273</v>
      </c>
      <c r="C13" s="2834" t="s">
        <v>3289</v>
      </c>
      <c r="D13" s="2834" t="s">
        <v>3256</v>
      </c>
      <c r="E13" s="2820">
        <v>14</v>
      </c>
      <c r="F13" s="2820">
        <v>7960.66</v>
      </c>
      <c r="G13" s="2820">
        <v>537.5</v>
      </c>
      <c r="H13" s="2820">
        <f t="shared" si="0"/>
        <v>8498.16</v>
      </c>
      <c r="I13" s="2820">
        <v>7728.8</v>
      </c>
      <c r="K13" s="2807">
        <f t="shared" si="2"/>
        <v>4000</v>
      </c>
      <c r="L13" s="2839">
        <v>0.75</v>
      </c>
      <c r="M13" s="2807">
        <f t="shared" si="4"/>
        <v>-1000</v>
      </c>
      <c r="N13" s="2839">
        <v>0</v>
      </c>
      <c r="O13" s="2840">
        <f t="shared" si="3"/>
        <v>1</v>
      </c>
      <c r="P13">
        <f t="shared" si="1"/>
        <v>7728.8</v>
      </c>
      <c r="Q13" s="3123"/>
    </row>
    <row r="14" spans="2:17">
      <c r="B14" s="2834" t="s">
        <v>3274</v>
      </c>
      <c r="C14" s="2834" t="s">
        <v>3290</v>
      </c>
      <c r="D14" s="2834" t="s">
        <v>3256</v>
      </c>
      <c r="E14" s="2820">
        <v>14</v>
      </c>
      <c r="F14" s="2820">
        <v>5773.29</v>
      </c>
      <c r="G14" s="2820">
        <v>370.46</v>
      </c>
      <c r="H14" s="2820">
        <f t="shared" si="0"/>
        <v>6143.75</v>
      </c>
      <c r="I14" s="2820">
        <v>5605.14</v>
      </c>
      <c r="K14" s="2807">
        <f t="shared" si="2"/>
        <v>4000</v>
      </c>
      <c r="L14" s="2839">
        <v>0.75</v>
      </c>
      <c r="M14" s="2807">
        <f t="shared" si="4"/>
        <v>-1000</v>
      </c>
      <c r="N14" s="2839">
        <v>0</v>
      </c>
      <c r="O14" s="2840">
        <f t="shared" si="3"/>
        <v>1</v>
      </c>
      <c r="P14">
        <f t="shared" si="1"/>
        <v>5605.14</v>
      </c>
      <c r="Q14" s="3123"/>
    </row>
    <row r="15" spans="2:17">
      <c r="B15" s="2834" t="s">
        <v>3275</v>
      </c>
      <c r="C15" s="2834" t="s">
        <v>3291</v>
      </c>
      <c r="D15" s="2834" t="s">
        <v>3256</v>
      </c>
      <c r="E15" s="2820">
        <v>14</v>
      </c>
      <c r="F15" s="2820">
        <v>4937.37</v>
      </c>
      <c r="G15" s="2820">
        <v>303.82</v>
      </c>
      <c r="H15" s="2820">
        <f t="shared" si="0"/>
        <v>5241.1899999999996</v>
      </c>
      <c r="I15" s="2820">
        <v>4793.57</v>
      </c>
      <c r="K15" s="2807">
        <f t="shared" si="2"/>
        <v>4000</v>
      </c>
      <c r="L15" s="2839">
        <v>0.75</v>
      </c>
      <c r="M15" s="2807">
        <f t="shared" si="4"/>
        <v>-1000</v>
      </c>
      <c r="N15" s="2839">
        <v>0</v>
      </c>
      <c r="O15" s="2840">
        <f t="shared" si="3"/>
        <v>1</v>
      </c>
      <c r="P15">
        <f t="shared" si="1"/>
        <v>4793.57</v>
      </c>
      <c r="Q15" s="3123"/>
    </row>
    <row r="16" spans="2:17">
      <c r="B16" s="2834" t="s">
        <v>3276</v>
      </c>
      <c r="C16" s="2834" t="s">
        <v>3292</v>
      </c>
      <c r="D16" s="2834" t="s">
        <v>3256</v>
      </c>
      <c r="E16" s="2820">
        <v>14</v>
      </c>
      <c r="F16" s="2820">
        <v>4945.7299999999996</v>
      </c>
      <c r="G16" s="2820">
        <v>340.16</v>
      </c>
      <c r="H16" s="2820">
        <f t="shared" si="0"/>
        <v>5285.8899999999994</v>
      </c>
      <c r="I16" s="2820">
        <v>4801.68</v>
      </c>
      <c r="K16" s="2807">
        <f t="shared" si="2"/>
        <v>4000</v>
      </c>
      <c r="L16" s="2839">
        <v>0.75</v>
      </c>
      <c r="M16" s="2807">
        <f t="shared" si="4"/>
        <v>-1000</v>
      </c>
      <c r="N16" s="2839">
        <v>0</v>
      </c>
      <c r="O16" s="2840">
        <f t="shared" si="3"/>
        <v>1</v>
      </c>
      <c r="P16">
        <f t="shared" si="1"/>
        <v>4801.68</v>
      </c>
      <c r="Q16" s="3123"/>
    </row>
    <row r="17" spans="2:17">
      <c r="B17" s="2834" t="s">
        <v>3277</v>
      </c>
      <c r="C17" s="2834" t="s">
        <v>3293</v>
      </c>
      <c r="D17" s="2834" t="s">
        <v>3256</v>
      </c>
      <c r="E17" s="2820">
        <v>14</v>
      </c>
      <c r="F17" s="2820">
        <v>9197.16</v>
      </c>
      <c r="G17" s="2820">
        <v>725.06</v>
      </c>
      <c r="H17" s="2820">
        <f t="shared" si="0"/>
        <v>9922.2199999999993</v>
      </c>
      <c r="I17" s="2820">
        <v>8578.56</v>
      </c>
      <c r="K17" s="2807">
        <f t="shared" si="2"/>
        <v>4000</v>
      </c>
      <c r="L17" s="2839">
        <v>0.75</v>
      </c>
      <c r="M17" s="2807">
        <f t="shared" si="4"/>
        <v>-1000</v>
      </c>
      <c r="N17" s="2839">
        <v>0</v>
      </c>
      <c r="O17" s="2840">
        <f t="shared" si="3"/>
        <v>1</v>
      </c>
      <c r="P17">
        <f t="shared" si="1"/>
        <v>8578.56</v>
      </c>
      <c r="Q17" s="3123"/>
    </row>
    <row r="18" spans="2:17">
      <c r="B18" s="2834" t="s">
        <v>3278</v>
      </c>
      <c r="C18" s="2834" t="s">
        <v>3294</v>
      </c>
      <c r="D18" s="2834" t="s">
        <v>3256</v>
      </c>
      <c r="E18" s="2820">
        <v>14</v>
      </c>
      <c r="F18" s="2820">
        <v>4937.59</v>
      </c>
      <c r="G18" s="2820">
        <v>303.82</v>
      </c>
      <c r="H18" s="2820">
        <f t="shared" si="0"/>
        <v>5241.41</v>
      </c>
      <c r="I18" s="2820">
        <v>4793.78</v>
      </c>
      <c r="K18" s="2807">
        <f t="shared" si="2"/>
        <v>4000</v>
      </c>
      <c r="L18" s="2839">
        <v>0.75</v>
      </c>
      <c r="M18" s="2807">
        <f t="shared" si="4"/>
        <v>-1000</v>
      </c>
      <c r="N18" s="2839">
        <v>0</v>
      </c>
      <c r="O18" s="2840">
        <f t="shared" si="3"/>
        <v>1</v>
      </c>
      <c r="P18">
        <f t="shared" si="1"/>
        <v>4793.78</v>
      </c>
      <c r="Q18" s="3123"/>
    </row>
    <row r="19" spans="2:17">
      <c r="B19" s="2834" t="s">
        <v>3279</v>
      </c>
      <c r="C19" s="2834" t="s">
        <v>3295</v>
      </c>
      <c r="D19" s="2834" t="s">
        <v>3297</v>
      </c>
      <c r="E19" s="2820">
        <v>1</v>
      </c>
      <c r="F19" s="2820">
        <v>259.61</v>
      </c>
      <c r="G19" s="2820">
        <v>0</v>
      </c>
      <c r="H19" s="2820">
        <f t="shared" si="0"/>
        <v>259.61</v>
      </c>
      <c r="I19" s="2820">
        <v>259.61</v>
      </c>
      <c r="K19" s="2807"/>
      <c r="L19" s="2839"/>
      <c r="M19" s="2807"/>
      <c r="N19" s="2839"/>
      <c r="O19" s="2840"/>
      <c r="Q19" s="2841"/>
    </row>
    <row r="20" spans="2:17">
      <c r="B20" s="2834" t="s">
        <v>3280</v>
      </c>
      <c r="C20" s="2834" t="s">
        <v>3296</v>
      </c>
      <c r="D20" s="2834" t="s">
        <v>3297</v>
      </c>
      <c r="E20" s="2820">
        <v>1</v>
      </c>
      <c r="F20" s="2820">
        <v>0</v>
      </c>
      <c r="G20" s="2820">
        <v>36663.68</v>
      </c>
      <c r="H20" s="2820">
        <f t="shared" si="0"/>
        <v>36663.68</v>
      </c>
      <c r="I20" s="2820">
        <v>0</v>
      </c>
      <c r="K20" s="2807">
        <f>'数据-取费表'!L8</f>
        <v>3000</v>
      </c>
      <c r="L20" s="2839">
        <v>0.9</v>
      </c>
      <c r="M20" s="2807">
        <v>0</v>
      </c>
      <c r="N20" s="2839">
        <v>0</v>
      </c>
      <c r="O20" s="2840">
        <f t="shared" si="3"/>
        <v>0.9</v>
      </c>
      <c r="P20">
        <f>O20*G20</f>
        <v>32997.311999999998</v>
      </c>
      <c r="Q20" s="2841">
        <f>P20/H20</f>
        <v>0.89999999999999991</v>
      </c>
    </row>
    <row r="21" spans="2:17">
      <c r="F21" s="2807">
        <f t="shared" ref="F21:H21" si="5">SUM(F5:F20)</f>
        <v>80867</v>
      </c>
      <c r="G21" s="2807">
        <f t="shared" si="5"/>
        <v>43925.279999999999</v>
      </c>
      <c r="H21" s="2807">
        <f t="shared" si="5"/>
        <v>124792.28</v>
      </c>
      <c r="I21" s="2807">
        <f>SUM(I5:I20)</f>
        <v>78066.559999999998</v>
      </c>
      <c r="O21" s="2840">
        <f>P21/H21</f>
        <v>0.94188677376517205</v>
      </c>
      <c r="P21">
        <f>SUM(P5:P20)</f>
        <v>117540.198</v>
      </c>
    </row>
  </sheetData>
  <mergeCells count="1">
    <mergeCell ref="Q6:Q18"/>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8"/>
  <sheetViews>
    <sheetView workbookViewId="0">
      <selection activeCell="D16" sqref="D16:E16"/>
    </sheetView>
  </sheetViews>
  <sheetFormatPr defaultColWidth="9" defaultRowHeight="13.5"/>
  <cols>
    <col min="1" max="1" width="9" style="2844"/>
    <col min="2" max="4" width="3.75" style="2844" customWidth="1"/>
    <col min="5" max="5" width="20.75" style="2844" customWidth="1"/>
    <col min="6" max="6" width="13.5" style="2844" customWidth="1"/>
    <col min="7" max="7" width="9" style="2844"/>
    <col min="8" max="8" width="33.125" style="2844" customWidth="1"/>
    <col min="9" max="9" width="9" style="2844"/>
    <col min="10" max="10" width="10.5" style="2844" bestFit="1" customWidth="1"/>
    <col min="11" max="11" width="18.125" style="2844" customWidth="1"/>
    <col min="12" max="16384" width="9" style="2844"/>
  </cols>
  <sheetData>
    <row r="2" spans="2:11" ht="40.15" customHeight="1">
      <c r="B2" s="3129" t="s">
        <v>3369</v>
      </c>
      <c r="C2" s="3129"/>
      <c r="D2" s="3129"/>
      <c r="E2" s="3129"/>
      <c r="F2" s="3129"/>
      <c r="G2" s="3129"/>
      <c r="H2" s="3129"/>
    </row>
    <row r="3" spans="2:11" ht="16.5">
      <c r="B3" s="3130" t="s">
        <v>3370</v>
      </c>
      <c r="C3" s="3130"/>
      <c r="D3" s="3130"/>
      <c r="E3" s="3130"/>
      <c r="F3" s="2845" t="s">
        <v>3371</v>
      </c>
      <c r="G3" s="2845" t="s">
        <v>3372</v>
      </c>
      <c r="H3" s="2845" t="s">
        <v>3373</v>
      </c>
    </row>
    <row r="4" spans="2:11" ht="16.5">
      <c r="B4" s="3130" t="s">
        <v>3374</v>
      </c>
      <c r="C4" s="3130"/>
      <c r="D4" s="3130"/>
      <c r="E4" s="3130"/>
      <c r="F4" s="2846">
        <v>43598.5</v>
      </c>
      <c r="G4" s="2845" t="s">
        <v>3375</v>
      </c>
      <c r="H4" s="2845"/>
    </row>
    <row r="5" spans="2:11" ht="16.5">
      <c r="B5" s="3131" t="s">
        <v>3376</v>
      </c>
      <c r="C5" s="3131"/>
      <c r="D5" s="3131"/>
      <c r="E5" s="3131"/>
      <c r="F5" s="2847">
        <f>F6+F15</f>
        <v>119454.59</v>
      </c>
      <c r="G5" s="2848" t="s">
        <v>3375</v>
      </c>
      <c r="H5" s="2845"/>
      <c r="K5" s="2844">
        <v>125528.19</v>
      </c>
    </row>
    <row r="6" spans="2:11" ht="16.149999999999999" customHeight="1">
      <c r="B6" s="3132" t="s">
        <v>3377</v>
      </c>
      <c r="C6" s="3131" t="s">
        <v>3378</v>
      </c>
      <c r="D6" s="3131"/>
      <c r="E6" s="3131"/>
      <c r="F6" s="2847">
        <f>F7+F11</f>
        <v>82332.84</v>
      </c>
      <c r="G6" s="2848" t="s">
        <v>3379</v>
      </c>
      <c r="H6" s="2849">
        <v>82332.84</v>
      </c>
    </row>
    <row r="7" spans="2:11" ht="16.5" customHeight="1">
      <c r="B7" s="3133"/>
      <c r="C7" s="3132" t="s">
        <v>3377</v>
      </c>
      <c r="D7" s="3135" t="s">
        <v>3380</v>
      </c>
      <c r="E7" s="3135"/>
      <c r="F7" s="2850">
        <f>F8+F9+F10</f>
        <v>80721.099999999991</v>
      </c>
      <c r="G7" s="2851" t="s">
        <v>3379</v>
      </c>
      <c r="H7" s="2849"/>
    </row>
    <row r="8" spans="2:11" ht="16.5" customHeight="1">
      <c r="B8" s="3133"/>
      <c r="C8" s="3133"/>
      <c r="D8" s="3132" t="s">
        <v>3377</v>
      </c>
      <c r="E8" s="3136" t="s">
        <v>3381</v>
      </c>
      <c r="F8" s="3138">
        <f>[18]户型!D3</f>
        <v>76697.34</v>
      </c>
      <c r="G8" s="2845" t="s">
        <v>3379</v>
      </c>
      <c r="H8" s="2849"/>
      <c r="I8" s="2852"/>
      <c r="J8" s="2853"/>
    </row>
    <row r="9" spans="2:11" ht="19.5" customHeight="1">
      <c r="B9" s="3133"/>
      <c r="C9" s="3133"/>
      <c r="D9" s="3133"/>
      <c r="E9" s="3137"/>
      <c r="F9" s="3139"/>
      <c r="G9" s="2845" t="s">
        <v>3379</v>
      </c>
      <c r="H9" s="2849"/>
      <c r="I9" s="2852"/>
    </row>
    <row r="10" spans="2:11" ht="16.5">
      <c r="B10" s="3133"/>
      <c r="C10" s="3133"/>
      <c r="D10" s="3134"/>
      <c r="E10" s="2854" t="s">
        <v>3382</v>
      </c>
      <c r="F10" s="2855">
        <f>[18]户型!D4</f>
        <v>4023.76</v>
      </c>
      <c r="G10" s="2845" t="s">
        <v>3379</v>
      </c>
      <c r="H10" s="2849"/>
    </row>
    <row r="11" spans="2:11" ht="16.5">
      <c r="B11" s="3133"/>
      <c r="C11" s="3133"/>
      <c r="D11" s="3140" t="s">
        <v>3383</v>
      </c>
      <c r="E11" s="3140"/>
      <c r="F11" s="2850">
        <f>SUM(F12:F14)</f>
        <v>1611.74</v>
      </c>
      <c r="G11" s="2851" t="s">
        <v>3379</v>
      </c>
      <c r="H11" s="2849"/>
    </row>
    <row r="12" spans="2:11" ht="16.5" customHeight="1">
      <c r="B12" s="3133"/>
      <c r="C12" s="3133"/>
      <c r="D12" s="3141" t="s">
        <v>3377</v>
      </c>
      <c r="E12" s="2845" t="s">
        <v>3384</v>
      </c>
      <c r="F12" s="2855">
        <v>506.05</v>
      </c>
      <c r="G12" s="2845" t="s">
        <v>3379</v>
      </c>
      <c r="H12" s="2849"/>
    </row>
    <row r="13" spans="2:11" ht="16.5">
      <c r="B13" s="3133"/>
      <c r="C13" s="3133"/>
      <c r="D13" s="3142"/>
      <c r="E13" s="2856" t="s">
        <v>3385</v>
      </c>
      <c r="F13" s="2855">
        <f>1142.73-98.05</f>
        <v>1044.68</v>
      </c>
      <c r="G13" s="2845" t="s">
        <v>3379</v>
      </c>
      <c r="H13" s="2849"/>
    </row>
    <row r="14" spans="2:11" ht="16.5">
      <c r="B14" s="3133"/>
      <c r="C14" s="3134"/>
      <c r="D14" s="3143"/>
      <c r="E14" s="2856" t="s">
        <v>3386</v>
      </c>
      <c r="F14" s="2855">
        <f>61.01</f>
        <v>61.01</v>
      </c>
      <c r="G14" s="2845" t="s">
        <v>3379</v>
      </c>
      <c r="H14" s="2849"/>
      <c r="I14" s="2853"/>
    </row>
    <row r="15" spans="2:11" ht="15.6" customHeight="1">
      <c r="B15" s="3133"/>
      <c r="C15" s="3144" t="s">
        <v>3387</v>
      </c>
      <c r="D15" s="3144"/>
      <c r="E15" s="3144"/>
      <c r="F15" s="2857">
        <f>F16+F17</f>
        <v>37121.75</v>
      </c>
      <c r="G15" s="2858" t="s">
        <v>3379</v>
      </c>
      <c r="H15" s="2849">
        <v>37121.75</v>
      </c>
      <c r="J15" s="2859"/>
    </row>
    <row r="16" spans="2:11" ht="15.6" customHeight="1">
      <c r="B16" s="3133"/>
      <c r="C16" s="3145" t="s">
        <v>3377</v>
      </c>
      <c r="D16" s="3147" t="s">
        <v>3388</v>
      </c>
      <c r="E16" s="3125"/>
      <c r="F16" s="2860">
        <v>23596.87</v>
      </c>
      <c r="G16" s="2861" t="s">
        <v>3379</v>
      </c>
      <c r="H16" s="2862" t="s">
        <v>3389</v>
      </c>
      <c r="K16" s="2859"/>
    </row>
    <row r="17" spans="2:8" ht="15.6" customHeight="1">
      <c r="B17" s="3133"/>
      <c r="C17" s="3146"/>
      <c r="D17" s="3124" t="s">
        <v>3390</v>
      </c>
      <c r="E17" s="3125"/>
      <c r="F17" s="2860">
        <v>13524.880000000001</v>
      </c>
      <c r="G17" s="2861" t="s">
        <v>3379</v>
      </c>
      <c r="H17" s="2862" t="s">
        <v>3391</v>
      </c>
    </row>
    <row r="18" spans="2:8" ht="16.5">
      <c r="B18" s="3126" t="s">
        <v>3392</v>
      </c>
      <c r="C18" s="3126"/>
      <c r="D18" s="3126"/>
      <c r="E18" s="3126"/>
      <c r="F18" s="2863">
        <v>1.8</v>
      </c>
      <c r="G18" s="2864"/>
      <c r="H18" s="2864"/>
    </row>
    <row r="19" spans="2:8" ht="16.5">
      <c r="B19" s="3127" t="s">
        <v>3393</v>
      </c>
      <c r="C19" s="3127"/>
      <c r="D19" s="3127"/>
      <c r="E19" s="3127"/>
      <c r="F19" s="2865">
        <f>SUM(F20:F21)</f>
        <v>882</v>
      </c>
      <c r="G19" s="2864" t="s">
        <v>3394</v>
      </c>
      <c r="H19" s="2864"/>
    </row>
    <row r="20" spans="2:8" ht="16.5" customHeight="1">
      <c r="B20" s="3128" t="s">
        <v>3377</v>
      </c>
      <c r="C20" s="3127" t="s">
        <v>3395</v>
      </c>
      <c r="D20" s="3127"/>
      <c r="E20" s="3127"/>
      <c r="F20" s="2866">
        <v>88.2</v>
      </c>
      <c r="G20" s="2864" t="s">
        <v>3394</v>
      </c>
      <c r="H20" s="2864" t="s">
        <v>3396</v>
      </c>
    </row>
    <row r="21" spans="2:8" ht="16.5">
      <c r="B21" s="3128"/>
      <c r="C21" s="3127" t="s">
        <v>3263</v>
      </c>
      <c r="D21" s="3127"/>
      <c r="E21" s="3127"/>
      <c r="F21" s="2866">
        <v>793.8</v>
      </c>
      <c r="G21" s="2864" t="s">
        <v>3394</v>
      </c>
      <c r="H21" s="2864"/>
    </row>
    <row r="22" spans="2:8" ht="16.5">
      <c r="B22" s="3126" t="s">
        <v>3397</v>
      </c>
      <c r="C22" s="3126"/>
      <c r="D22" s="3126"/>
      <c r="E22" s="3126"/>
      <c r="F22" s="2865">
        <f>[18]户型!F6</f>
        <v>875</v>
      </c>
      <c r="G22" s="2864" t="s">
        <v>3398</v>
      </c>
      <c r="H22" s="2864"/>
    </row>
    <row r="23" spans="2:8" ht="16.5">
      <c r="B23" s="3126" t="s">
        <v>3399</v>
      </c>
      <c r="C23" s="3126"/>
      <c r="D23" s="3126"/>
      <c r="E23" s="3126"/>
      <c r="F23" s="2865">
        <f>F22*3.2</f>
        <v>2800</v>
      </c>
      <c r="G23" s="2864" t="s">
        <v>3400</v>
      </c>
      <c r="H23" s="2864" t="s">
        <v>3401</v>
      </c>
    </row>
    <row r="28" spans="2:8">
      <c r="F28" s="2844">
        <f>F6/F4</f>
        <v>1.8884328589286328</v>
      </c>
      <c r="G28" s="2844">
        <f>F7/F4</f>
        <v>1.8514650733396789</v>
      </c>
    </row>
  </sheetData>
  <mergeCells count="24">
    <mergeCell ref="B2:H2"/>
    <mergeCell ref="B3:E3"/>
    <mergeCell ref="B4:E4"/>
    <mergeCell ref="B5:E5"/>
    <mergeCell ref="B6:B17"/>
    <mergeCell ref="C6:E6"/>
    <mergeCell ref="C7:C14"/>
    <mergeCell ref="D7:E7"/>
    <mergeCell ref="D8:D10"/>
    <mergeCell ref="E8:E9"/>
    <mergeCell ref="F8:F9"/>
    <mergeCell ref="D11:E11"/>
    <mergeCell ref="D12:D14"/>
    <mergeCell ref="C15:E15"/>
    <mergeCell ref="C16:C17"/>
    <mergeCell ref="D16:E16"/>
    <mergeCell ref="D17:E17"/>
    <mergeCell ref="B23:E23"/>
    <mergeCell ref="B18:E18"/>
    <mergeCell ref="B19:E19"/>
    <mergeCell ref="B20:B21"/>
    <mergeCell ref="C20:E20"/>
    <mergeCell ref="C21:E21"/>
    <mergeCell ref="B22:E22"/>
  </mergeCells>
  <phoneticPr fontId="144" type="noConversion"/>
  <pageMargins left="0.7" right="0.7" top="0.75" bottom="0.75" header="0.3" footer="0.3"/>
  <pageSetup paperSize="9" scale="86"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abSelected="1" topLeftCell="D1" workbookViewId="0">
      <selection activeCell="L19" sqref="L19"/>
    </sheetView>
  </sheetViews>
  <sheetFormatPr defaultRowHeight="13.5"/>
  <cols>
    <col min="1" max="1" width="1.25" style="2820" customWidth="1"/>
    <col min="2" max="2" width="19.375" style="2820" customWidth="1"/>
    <col min="3" max="3" width="27.375" style="2820" customWidth="1"/>
    <col min="4" max="5" width="11.5" style="2820" customWidth="1"/>
    <col min="6" max="6" width="11.5" style="2870" customWidth="1"/>
    <col min="7" max="9" width="11.5" style="2820" customWidth="1"/>
    <col min="10" max="10" width="11.5" style="2884" customWidth="1"/>
    <col min="11" max="11" width="7" style="2870" customWidth="1"/>
    <col min="12" max="12" width="9.625" style="2894" customWidth="1"/>
    <col min="13" max="13" width="12.625" style="2894" customWidth="1"/>
    <col min="14" max="14" width="11.25" customWidth="1"/>
  </cols>
  <sheetData>
    <row r="1" spans="2:18" ht="8.25" customHeight="1" thickBot="1"/>
    <row r="2" spans="2:18" ht="33" customHeight="1">
      <c r="B2" s="2871" t="s">
        <v>3323</v>
      </c>
      <c r="C2" s="2872" t="s">
        <v>3324</v>
      </c>
      <c r="D2" s="2872" t="s">
        <v>3325</v>
      </c>
      <c r="E2" s="2872" t="s">
        <v>3326</v>
      </c>
      <c r="F2" s="2873" t="s">
        <v>3327</v>
      </c>
      <c r="G2" s="2872" t="s">
        <v>3328</v>
      </c>
      <c r="H2" s="2872" t="s">
        <v>3329</v>
      </c>
      <c r="I2" s="2874" t="s">
        <v>3298</v>
      </c>
      <c r="J2" s="2885"/>
      <c r="K2" s="3150" t="s">
        <v>3437</v>
      </c>
      <c r="L2" s="2895" t="s">
        <v>3438</v>
      </c>
      <c r="M2" s="2896">
        <f>SUMIF(D3:D41,D6,H3:H41)-H6</f>
        <v>76697.34</v>
      </c>
    </row>
    <row r="3" spans="2:18" ht="23.25" customHeight="1">
      <c r="B3" s="2867" t="s">
        <v>3330</v>
      </c>
      <c r="C3" s="2875" t="s">
        <v>3432</v>
      </c>
      <c r="D3" s="2875" t="s">
        <v>3297</v>
      </c>
      <c r="E3" s="2875" t="s">
        <v>3333</v>
      </c>
      <c r="F3" s="2876" t="s">
        <v>3334</v>
      </c>
      <c r="G3" s="2875" t="s">
        <v>3335</v>
      </c>
      <c r="H3" s="2877">
        <f>F50+F51/2</f>
        <v>425.73500000000001</v>
      </c>
      <c r="I3" s="2868"/>
      <c r="J3" s="2886"/>
      <c r="K3" s="3151"/>
      <c r="L3" s="2876" t="s">
        <v>3439</v>
      </c>
      <c r="M3" s="2897">
        <f>H6</f>
        <v>4023.76</v>
      </c>
    </row>
    <row r="4" spans="2:18" ht="23.25" customHeight="1">
      <c r="B4" s="2867" t="s">
        <v>3330</v>
      </c>
      <c r="C4" s="2876" t="s">
        <v>3446</v>
      </c>
      <c r="D4" s="2875" t="s">
        <v>3297</v>
      </c>
      <c r="E4" s="2875"/>
      <c r="F4" s="2876"/>
      <c r="G4" s="2875"/>
      <c r="H4" s="2877">
        <f>F52+F51/2</f>
        <v>179.185</v>
      </c>
      <c r="I4" s="2868"/>
      <c r="J4" s="2883"/>
      <c r="K4" s="3151"/>
      <c r="L4" s="2876" t="s">
        <v>3440</v>
      </c>
      <c r="M4" s="2897">
        <f>H5+H34</f>
        <v>1709.7899999999995</v>
      </c>
    </row>
    <row r="5" spans="2:18" ht="23.25" customHeight="1">
      <c r="B5" s="2867"/>
      <c r="C5" s="2876" t="s">
        <v>3445</v>
      </c>
      <c r="D5" s="2875" t="s">
        <v>3297</v>
      </c>
      <c r="E5" s="2875"/>
      <c r="F5" s="2876"/>
      <c r="G5" s="2875"/>
      <c r="H5" s="2877">
        <f>SUM(F53:F63)</f>
        <v>1450.5999999999995</v>
      </c>
      <c r="I5" s="2868"/>
      <c r="J5" s="2883"/>
      <c r="K5" s="3149"/>
      <c r="L5" s="2876" t="s">
        <v>3443</v>
      </c>
      <c r="M5" s="2897">
        <f>H4+H30</f>
        <v>544.01499999999999</v>
      </c>
    </row>
    <row r="6" spans="2:18" ht="23.25" customHeight="1">
      <c r="B6" s="2867" t="s">
        <v>3330</v>
      </c>
      <c r="C6" s="2875" t="s">
        <v>3331</v>
      </c>
      <c r="D6" s="2875" t="s">
        <v>3332</v>
      </c>
      <c r="E6" s="2875" t="s">
        <v>3333</v>
      </c>
      <c r="F6" s="2876" t="s">
        <v>3334</v>
      </c>
      <c r="G6" s="2875" t="s">
        <v>3341</v>
      </c>
      <c r="H6" s="2877">
        <v>4023.76</v>
      </c>
      <c r="I6" s="2868"/>
      <c r="J6" s="2883"/>
      <c r="K6" s="3148" t="s">
        <v>3441</v>
      </c>
      <c r="L6" s="2876" t="s">
        <v>3442</v>
      </c>
      <c r="M6" s="2897">
        <f>H35+H36</f>
        <v>30155.269999999997</v>
      </c>
    </row>
    <row r="7" spans="2:18" ht="23.25" customHeight="1">
      <c r="B7" s="2867" t="s">
        <v>3342</v>
      </c>
      <c r="C7" s="2875" t="s">
        <v>3433</v>
      </c>
      <c r="D7" s="2875" t="s">
        <v>3297</v>
      </c>
      <c r="E7" s="2875" t="s">
        <v>3333</v>
      </c>
      <c r="F7" s="2876" t="s">
        <v>3336</v>
      </c>
      <c r="G7" s="2875" t="s">
        <v>3335</v>
      </c>
      <c r="H7" s="2877">
        <v>102.81</v>
      </c>
      <c r="I7" s="2868"/>
      <c r="J7" s="2883"/>
      <c r="K7" s="3149"/>
      <c r="L7" s="2876" t="s">
        <v>3444</v>
      </c>
      <c r="M7" s="2897">
        <f>H3+H7+H9+H11+H13+H15+H17+H19+H21+H23+H25+H27+H29+H32+H37+H38+H39+H40+H41</f>
        <v>6324.4150000000009</v>
      </c>
    </row>
    <row r="8" spans="2:18" ht="23.25" customHeight="1" thickBot="1">
      <c r="B8" s="2867" t="s">
        <v>3342</v>
      </c>
      <c r="C8" s="2875" t="s">
        <v>3339</v>
      </c>
      <c r="D8" s="2875" t="s">
        <v>3332</v>
      </c>
      <c r="E8" s="2875" t="s">
        <v>3333</v>
      </c>
      <c r="F8" s="2876" t="s">
        <v>3336</v>
      </c>
      <c r="G8" s="2875" t="s">
        <v>3341</v>
      </c>
      <c r="H8" s="2877">
        <v>5052.8</v>
      </c>
      <c r="I8" s="2868"/>
      <c r="J8" s="2883"/>
      <c r="K8" s="3152" t="s">
        <v>3447</v>
      </c>
      <c r="L8" s="3153"/>
      <c r="M8" s="2898">
        <f>SUM(M2:M7)</f>
        <v>119454.59</v>
      </c>
    </row>
    <row r="9" spans="2:18" ht="23.25" customHeight="1" thickBot="1">
      <c r="B9" s="2867" t="s">
        <v>3343</v>
      </c>
      <c r="C9" s="2875" t="s">
        <v>3433</v>
      </c>
      <c r="D9" s="2875" t="s">
        <v>3297</v>
      </c>
      <c r="E9" s="2875" t="s">
        <v>3333</v>
      </c>
      <c r="F9" s="2876" t="s">
        <v>3336</v>
      </c>
      <c r="G9" s="2875" t="s">
        <v>3335</v>
      </c>
      <c r="H9" s="2877">
        <v>107.16</v>
      </c>
      <c r="I9" s="2868"/>
      <c r="J9" s="2883"/>
      <c r="K9" s="2899"/>
    </row>
    <row r="10" spans="2:18" ht="23.25" customHeight="1">
      <c r="B10" s="2867" t="s">
        <v>3343</v>
      </c>
      <c r="C10" s="2875" t="s">
        <v>3339</v>
      </c>
      <c r="D10" s="2875" t="s">
        <v>3332</v>
      </c>
      <c r="E10" s="2875" t="s">
        <v>3333</v>
      </c>
      <c r="F10" s="2876" t="s">
        <v>3336</v>
      </c>
      <c r="G10" s="2875" t="s">
        <v>3341</v>
      </c>
      <c r="H10" s="2877">
        <v>5056.12</v>
      </c>
      <c r="I10" s="2868"/>
      <c r="J10" s="2883"/>
      <c r="K10" s="2903" t="s">
        <v>3456</v>
      </c>
      <c r="L10" s="3155" t="s">
        <v>3450</v>
      </c>
      <c r="M10" s="3155"/>
      <c r="N10" s="3154" t="s">
        <v>3451</v>
      </c>
      <c r="O10" s="3154"/>
      <c r="P10" s="2907" t="s">
        <v>3455</v>
      </c>
      <c r="Q10" s="2907" t="s">
        <v>3454</v>
      </c>
      <c r="R10" s="2908" t="s">
        <v>3455</v>
      </c>
    </row>
    <row r="11" spans="2:18" ht="23.25" customHeight="1">
      <c r="B11" s="2867" t="s">
        <v>3344</v>
      </c>
      <c r="C11" s="2875" t="s">
        <v>3433</v>
      </c>
      <c r="D11" s="2875" t="s">
        <v>3297</v>
      </c>
      <c r="E11" s="2875" t="s">
        <v>3333</v>
      </c>
      <c r="F11" s="2876" t="s">
        <v>3336</v>
      </c>
      <c r="G11" s="2875" t="s">
        <v>3335</v>
      </c>
      <c r="H11" s="2877">
        <v>127.13</v>
      </c>
      <c r="I11" s="2868"/>
      <c r="J11" s="2883"/>
      <c r="K11" s="2904">
        <v>1</v>
      </c>
      <c r="L11" s="2909">
        <v>3000</v>
      </c>
      <c r="M11" s="2910">
        <v>0.85</v>
      </c>
      <c r="N11" s="2909">
        <v>0</v>
      </c>
      <c r="O11" s="2911">
        <v>0</v>
      </c>
      <c r="P11" s="2911">
        <f>(L11*M11+N11*O11)/(L11+N11)</f>
        <v>0.85</v>
      </c>
      <c r="Q11" s="2909">
        <f>H4+H5+H6</f>
        <v>5653.5450000000001</v>
      </c>
      <c r="R11" s="2912">
        <f>P11*Q11/Q11</f>
        <v>0.85</v>
      </c>
    </row>
    <row r="12" spans="2:18" ht="23.25" customHeight="1">
      <c r="B12" s="2867" t="s">
        <v>3344</v>
      </c>
      <c r="C12" s="2875" t="s">
        <v>3339</v>
      </c>
      <c r="D12" s="2875" t="s">
        <v>3332</v>
      </c>
      <c r="E12" s="2875" t="s">
        <v>3333</v>
      </c>
      <c r="F12" s="2876" t="s">
        <v>3336</v>
      </c>
      <c r="G12" s="2875" t="s">
        <v>3341</v>
      </c>
      <c r="H12" s="2877">
        <v>5073.84</v>
      </c>
      <c r="I12" s="2868"/>
      <c r="J12" s="2883"/>
      <c r="K12" s="2905" t="s">
        <v>3448</v>
      </c>
      <c r="L12" s="2909">
        <v>3000</v>
      </c>
      <c r="M12" s="2911">
        <v>0.85</v>
      </c>
      <c r="N12" s="2909">
        <v>1000</v>
      </c>
      <c r="O12" s="2911">
        <v>0</v>
      </c>
      <c r="P12" s="2911">
        <f t="shared" ref="P12:P13" si="0">(L12*M12+N12*O12)/(L12+N12)</f>
        <v>0.63749999999999996</v>
      </c>
      <c r="Q12" s="2909">
        <f>H8+H10+H12+H14+H16+H18+H20</f>
        <v>38330.019999999997</v>
      </c>
      <c r="R12" s="2912">
        <f>(P12*Q12+P13*Q13)/(Q12+Q13)</f>
        <v>0.58095647319560306</v>
      </c>
    </row>
    <row r="13" spans="2:18" ht="23.25" customHeight="1" thickBot="1">
      <c r="B13" s="2867" t="s">
        <v>3345</v>
      </c>
      <c r="C13" s="2875" t="s">
        <v>3433</v>
      </c>
      <c r="D13" s="2875" t="s">
        <v>3297</v>
      </c>
      <c r="E13" s="2875" t="s">
        <v>3333</v>
      </c>
      <c r="F13" s="2876" t="s">
        <v>3336</v>
      </c>
      <c r="G13" s="2875" t="s">
        <v>3335</v>
      </c>
      <c r="H13" s="2877">
        <v>170.66</v>
      </c>
      <c r="I13" s="2868"/>
      <c r="J13" s="2883"/>
      <c r="K13" s="2906" t="s">
        <v>3449</v>
      </c>
      <c r="L13" s="2913">
        <v>3000</v>
      </c>
      <c r="M13" s="2914">
        <v>0.7</v>
      </c>
      <c r="N13" s="2913">
        <v>1000</v>
      </c>
      <c r="O13" s="2914">
        <v>0</v>
      </c>
      <c r="P13" s="2914">
        <f t="shared" si="0"/>
        <v>0.52500000000000002</v>
      </c>
      <c r="Q13" s="2913">
        <f>H22+H24+H26+H28+H31+H33+H30</f>
        <v>38732.149999999994</v>
      </c>
      <c r="R13" s="2869"/>
    </row>
    <row r="14" spans="2:18" ht="23.25" customHeight="1">
      <c r="B14" s="2867" t="s">
        <v>3345</v>
      </c>
      <c r="C14" s="2875" t="s">
        <v>3339</v>
      </c>
      <c r="D14" s="2875" t="s">
        <v>3332</v>
      </c>
      <c r="E14" s="2875" t="s">
        <v>3333</v>
      </c>
      <c r="F14" s="2876" t="s">
        <v>3336</v>
      </c>
      <c r="G14" s="2875" t="s">
        <v>3341</v>
      </c>
      <c r="H14" s="2877">
        <v>8156.28</v>
      </c>
      <c r="I14" s="2868"/>
      <c r="J14" s="2883"/>
      <c r="K14" s="2899"/>
      <c r="N14" s="2893"/>
      <c r="O14" s="2893"/>
      <c r="P14" s="2893"/>
      <c r="Q14" s="2893"/>
    </row>
    <row r="15" spans="2:18" ht="23.25" customHeight="1">
      <c r="B15" s="2867" t="s">
        <v>3346</v>
      </c>
      <c r="C15" s="2875" t="s">
        <v>3433</v>
      </c>
      <c r="D15" s="2875" t="s">
        <v>3297</v>
      </c>
      <c r="E15" s="2875" t="s">
        <v>3333</v>
      </c>
      <c r="F15" s="2876" t="s">
        <v>3336</v>
      </c>
      <c r="G15" s="2875" t="s">
        <v>3335</v>
      </c>
      <c r="H15" s="2877">
        <v>118.12</v>
      </c>
      <c r="I15" s="2868"/>
      <c r="J15" s="2883"/>
      <c r="K15" s="2899"/>
      <c r="N15" s="2893"/>
      <c r="O15" s="2893"/>
      <c r="P15" s="2893"/>
      <c r="Q15" s="2893"/>
    </row>
    <row r="16" spans="2:18" ht="23.25" customHeight="1">
      <c r="B16" s="2867" t="s">
        <v>3346</v>
      </c>
      <c r="C16" s="2875" t="s">
        <v>3339</v>
      </c>
      <c r="D16" s="2875" t="s">
        <v>3332</v>
      </c>
      <c r="E16" s="2875" t="s">
        <v>3333</v>
      </c>
      <c r="F16" s="2876" t="s">
        <v>3336</v>
      </c>
      <c r="G16" s="2875" t="s">
        <v>3341</v>
      </c>
      <c r="H16" s="2877">
        <v>5923.52</v>
      </c>
      <c r="I16" s="2868"/>
      <c r="J16" s="2883"/>
      <c r="K16" s="2899"/>
      <c r="N16" s="2893"/>
      <c r="O16" s="2893"/>
      <c r="P16" s="2893"/>
      <c r="Q16" s="2893"/>
    </row>
    <row r="17" spans="2:17" ht="23.25" customHeight="1">
      <c r="B17" s="2867" t="s">
        <v>3347</v>
      </c>
      <c r="C17" s="2875" t="s">
        <v>3433</v>
      </c>
      <c r="D17" s="2875" t="s">
        <v>3297</v>
      </c>
      <c r="E17" s="2875" t="s">
        <v>3333</v>
      </c>
      <c r="F17" s="2876" t="s">
        <v>3337</v>
      </c>
      <c r="G17" s="2875" t="s">
        <v>3335</v>
      </c>
      <c r="H17" s="2877">
        <v>107.16</v>
      </c>
      <c r="I17" s="2868"/>
      <c r="J17" s="2883"/>
      <c r="K17" s="2899"/>
      <c r="N17" s="2893"/>
      <c r="O17" s="2893"/>
      <c r="P17" s="2893"/>
      <c r="Q17" s="2893"/>
    </row>
    <row r="18" spans="2:17" ht="23.25" customHeight="1">
      <c r="B18" s="2867" t="s">
        <v>3347</v>
      </c>
      <c r="C18" s="2875" t="s">
        <v>3340</v>
      </c>
      <c r="D18" s="2875" t="s">
        <v>3332</v>
      </c>
      <c r="E18" s="2875" t="s">
        <v>3333</v>
      </c>
      <c r="F18" s="2876" t="s">
        <v>3337</v>
      </c>
      <c r="G18" s="2875" t="s">
        <v>3341</v>
      </c>
      <c r="H18" s="2877">
        <v>4363.04</v>
      </c>
      <c r="I18" s="2868"/>
      <c r="J18" s="2883"/>
      <c r="K18" s="2899"/>
      <c r="N18" s="2893"/>
      <c r="O18" s="2893"/>
      <c r="P18" s="2893"/>
      <c r="Q18" s="2893"/>
    </row>
    <row r="19" spans="2:17" ht="23.25" customHeight="1">
      <c r="B19" s="2867" t="s">
        <v>3348</v>
      </c>
      <c r="C19" s="2875" t="s">
        <v>3433</v>
      </c>
      <c r="D19" s="2875" t="s">
        <v>3297</v>
      </c>
      <c r="E19" s="2875" t="s">
        <v>3333</v>
      </c>
      <c r="F19" s="2876" t="s">
        <v>3338</v>
      </c>
      <c r="G19" s="2875" t="s">
        <v>3335</v>
      </c>
      <c r="H19" s="2877">
        <v>107.16</v>
      </c>
      <c r="I19" s="2868"/>
      <c r="J19" s="2883"/>
      <c r="K19" s="2899"/>
      <c r="N19" s="2893"/>
      <c r="O19" s="2893"/>
      <c r="P19" s="2893"/>
      <c r="Q19" s="2893"/>
    </row>
    <row r="20" spans="2:17" ht="23.25" customHeight="1">
      <c r="B20" s="2867" t="s">
        <v>3348</v>
      </c>
      <c r="C20" s="2875" t="s">
        <v>3359</v>
      </c>
      <c r="D20" s="2875" t="s">
        <v>3332</v>
      </c>
      <c r="E20" s="2875" t="s">
        <v>3333</v>
      </c>
      <c r="F20" s="2876" t="s">
        <v>3338</v>
      </c>
      <c r="G20" s="2875" t="s">
        <v>3341</v>
      </c>
      <c r="H20" s="2877">
        <v>4704.42</v>
      </c>
      <c r="I20" s="2868"/>
      <c r="J20" s="2883"/>
      <c r="K20" s="2899"/>
      <c r="N20" s="2893"/>
      <c r="O20" s="2893"/>
      <c r="P20" s="2893"/>
      <c r="Q20" s="2893"/>
    </row>
    <row r="21" spans="2:17" ht="23.25" customHeight="1">
      <c r="B21" s="2867" t="s">
        <v>3351</v>
      </c>
      <c r="C21" s="2875" t="s">
        <v>3433</v>
      </c>
      <c r="D21" s="2875" t="s">
        <v>3297</v>
      </c>
      <c r="E21" s="2875" t="s">
        <v>3333</v>
      </c>
      <c r="F21" s="2876" t="s">
        <v>3336</v>
      </c>
      <c r="G21" s="2875" t="s">
        <v>3335</v>
      </c>
      <c r="H21" s="2877">
        <v>188.48</v>
      </c>
      <c r="I21" s="2868"/>
      <c r="J21" s="2883"/>
      <c r="K21" s="2899"/>
      <c r="N21" s="2893"/>
      <c r="O21" s="2893"/>
      <c r="P21" s="2893"/>
      <c r="Q21" s="2893"/>
    </row>
    <row r="22" spans="2:17" ht="23.25" customHeight="1">
      <c r="B22" s="2867" t="s">
        <v>3351</v>
      </c>
      <c r="C22" s="2875" t="s">
        <v>3339</v>
      </c>
      <c r="D22" s="2875" t="s">
        <v>3332</v>
      </c>
      <c r="E22" s="2875" t="s">
        <v>3333</v>
      </c>
      <c r="F22" s="2876" t="s">
        <v>3336</v>
      </c>
      <c r="G22" s="2875" t="s">
        <v>3341</v>
      </c>
      <c r="H22" s="2877">
        <v>8163.08</v>
      </c>
      <c r="I22" s="2868"/>
      <c r="J22" s="2883"/>
      <c r="K22" s="2899"/>
      <c r="N22" s="2893"/>
      <c r="O22" s="2893"/>
      <c r="P22" s="2893"/>
      <c r="Q22" s="2893"/>
    </row>
    <row r="23" spans="2:17" ht="23.25" customHeight="1">
      <c r="B23" s="2867" t="s">
        <v>3352</v>
      </c>
      <c r="C23" s="2875" t="s">
        <v>3433</v>
      </c>
      <c r="D23" s="2875" t="s">
        <v>3297</v>
      </c>
      <c r="E23" s="2875" t="s">
        <v>3333</v>
      </c>
      <c r="F23" s="2876" t="s">
        <v>3336</v>
      </c>
      <c r="G23" s="2875" t="s">
        <v>3335</v>
      </c>
      <c r="H23" s="2877">
        <v>119.18</v>
      </c>
      <c r="I23" s="2868"/>
      <c r="J23" s="2883"/>
      <c r="K23" s="2899"/>
      <c r="N23" s="2893"/>
      <c r="O23" s="2893"/>
      <c r="P23" s="2893"/>
      <c r="Q23" s="2893"/>
    </row>
    <row r="24" spans="2:17" ht="23.25" customHeight="1">
      <c r="B24" s="2867" t="s">
        <v>3352</v>
      </c>
      <c r="C24" s="2875" t="s">
        <v>3339</v>
      </c>
      <c r="D24" s="2875" t="s">
        <v>3332</v>
      </c>
      <c r="E24" s="2875" t="s">
        <v>3333</v>
      </c>
      <c r="F24" s="2876" t="s">
        <v>3336</v>
      </c>
      <c r="G24" s="2875" t="s">
        <v>3341</v>
      </c>
      <c r="H24" s="2877">
        <v>5933.08</v>
      </c>
      <c r="I24" s="2868"/>
      <c r="J24" s="2883"/>
      <c r="K24" s="2899"/>
      <c r="N24" s="2893"/>
      <c r="O24" s="2893"/>
      <c r="P24" s="2893"/>
      <c r="Q24" s="2893"/>
    </row>
    <row r="25" spans="2:17" ht="23.25" customHeight="1">
      <c r="B25" s="2867" t="s">
        <v>3353</v>
      </c>
      <c r="C25" s="2875" t="s">
        <v>3433</v>
      </c>
      <c r="D25" s="2875" t="s">
        <v>3297</v>
      </c>
      <c r="E25" s="2875" t="s">
        <v>3333</v>
      </c>
      <c r="F25" s="2876" t="s">
        <v>3336</v>
      </c>
      <c r="G25" s="2875" t="s">
        <v>3335</v>
      </c>
      <c r="H25" s="2877">
        <v>107.16</v>
      </c>
      <c r="I25" s="2868"/>
      <c r="J25" s="2883"/>
      <c r="K25" s="2899"/>
      <c r="N25" s="2893"/>
      <c r="O25" s="2893"/>
      <c r="P25" s="2893"/>
      <c r="Q25" s="2893"/>
    </row>
    <row r="26" spans="2:17" ht="23.25" customHeight="1">
      <c r="B26" s="2867" t="s">
        <v>3353</v>
      </c>
      <c r="C26" s="2875" t="s">
        <v>3339</v>
      </c>
      <c r="D26" s="2875" t="s">
        <v>3332</v>
      </c>
      <c r="E26" s="2875" t="s">
        <v>3333</v>
      </c>
      <c r="F26" s="2876" t="s">
        <v>3336</v>
      </c>
      <c r="G26" s="2875" t="s">
        <v>3341</v>
      </c>
      <c r="H26" s="2877">
        <v>5067.96</v>
      </c>
      <c r="I26" s="2868"/>
      <c r="J26" s="2883"/>
      <c r="K26" s="2899"/>
      <c r="N26" s="2893"/>
      <c r="O26" s="2893"/>
      <c r="P26" s="2893"/>
      <c r="Q26" s="2893"/>
    </row>
    <row r="27" spans="2:17" ht="23.25" customHeight="1">
      <c r="B27" s="2867" t="s">
        <v>3354</v>
      </c>
      <c r="C27" s="2875" t="s">
        <v>3434</v>
      </c>
      <c r="D27" s="2875" t="s">
        <v>3297</v>
      </c>
      <c r="E27" s="2875" t="s">
        <v>3333</v>
      </c>
      <c r="F27" s="2876" t="s">
        <v>3336</v>
      </c>
      <c r="G27" s="2875" t="s">
        <v>3335</v>
      </c>
      <c r="H27" s="2877">
        <v>675.84</v>
      </c>
      <c r="I27" s="2868"/>
      <c r="J27" s="2883"/>
      <c r="K27" s="2899"/>
      <c r="N27" s="2893"/>
      <c r="O27" s="2893"/>
      <c r="P27" s="2893"/>
      <c r="Q27" s="2893"/>
    </row>
    <row r="28" spans="2:17" ht="23.25" customHeight="1">
      <c r="B28" s="2867" t="s">
        <v>3354</v>
      </c>
      <c r="C28" s="2875" t="s">
        <v>3339</v>
      </c>
      <c r="D28" s="2875" t="s">
        <v>3332</v>
      </c>
      <c r="E28" s="2875" t="s">
        <v>3333</v>
      </c>
      <c r="F28" s="2876" t="s">
        <v>3336</v>
      </c>
      <c r="G28" s="2875" t="s">
        <v>3341</v>
      </c>
      <c r="H28" s="2877">
        <v>5071</v>
      </c>
      <c r="I28" s="2868"/>
      <c r="J28" s="2883"/>
      <c r="K28" s="2899"/>
      <c r="N28" s="2893"/>
      <c r="O28" s="2893"/>
      <c r="P28" s="2893"/>
      <c r="Q28" s="2893"/>
    </row>
    <row r="29" spans="2:17" ht="23.25" customHeight="1">
      <c r="B29" s="2867" t="s">
        <v>3355</v>
      </c>
      <c r="C29" s="2875" t="s">
        <v>3434</v>
      </c>
      <c r="D29" s="2875" t="s">
        <v>3297</v>
      </c>
      <c r="E29" s="2875" t="s">
        <v>3333</v>
      </c>
      <c r="F29" s="2876" t="s">
        <v>3336</v>
      </c>
      <c r="G29" s="2875" t="s">
        <v>3335</v>
      </c>
      <c r="H29" s="2877">
        <v>871.26</v>
      </c>
      <c r="I29" s="2868"/>
      <c r="J29" s="2883"/>
      <c r="K29" s="2899"/>
      <c r="N29" s="2893"/>
      <c r="O29" s="2893"/>
      <c r="P29" s="2893"/>
      <c r="Q29" s="2893"/>
    </row>
    <row r="30" spans="2:17" ht="23.25" customHeight="1">
      <c r="B30" s="2867"/>
      <c r="C30" s="2875" t="s">
        <v>3435</v>
      </c>
      <c r="D30" s="2875" t="s">
        <v>3297</v>
      </c>
      <c r="E30" s="2875"/>
      <c r="F30" s="2876"/>
      <c r="G30" s="2875"/>
      <c r="H30" s="2877">
        <v>364.83</v>
      </c>
      <c r="I30" s="2868"/>
      <c r="J30" s="2883"/>
      <c r="K30" s="2899"/>
      <c r="N30" s="2893"/>
      <c r="O30" s="2893"/>
      <c r="P30" s="2893"/>
      <c r="Q30" s="2893"/>
    </row>
    <row r="31" spans="2:17" ht="23.25" customHeight="1">
      <c r="B31" s="2867" t="s">
        <v>3355</v>
      </c>
      <c r="C31" s="2875" t="s">
        <v>3339</v>
      </c>
      <c r="D31" s="2875" t="s">
        <v>3332</v>
      </c>
      <c r="E31" s="2875" t="s">
        <v>3333</v>
      </c>
      <c r="F31" s="2876" t="s">
        <v>3336</v>
      </c>
      <c r="G31" s="2875" t="s">
        <v>3341</v>
      </c>
      <c r="H31" s="2877">
        <v>9074.36</v>
      </c>
      <c r="I31" s="2868"/>
      <c r="J31" s="2883"/>
      <c r="K31" s="2899"/>
      <c r="N31" s="2893"/>
      <c r="O31" s="2893"/>
      <c r="P31" s="2893"/>
      <c r="Q31" s="2893"/>
    </row>
    <row r="32" spans="2:17" ht="23.25" customHeight="1">
      <c r="B32" s="2867" t="s">
        <v>3356</v>
      </c>
      <c r="C32" s="2875" t="s">
        <v>3433</v>
      </c>
      <c r="D32" s="2875" t="s">
        <v>3297</v>
      </c>
      <c r="E32" s="2875" t="s">
        <v>3333</v>
      </c>
      <c r="F32" s="2876" t="s">
        <v>3336</v>
      </c>
      <c r="G32" s="2875" t="s">
        <v>3335</v>
      </c>
      <c r="H32" s="2877">
        <v>123.82</v>
      </c>
      <c r="I32" s="2868"/>
      <c r="J32" s="2883"/>
      <c r="K32" s="2899"/>
      <c r="N32" s="2893"/>
      <c r="O32" s="2893"/>
      <c r="P32" s="2893"/>
      <c r="Q32" s="2893"/>
    </row>
    <row r="33" spans="2:17" ht="23.25" customHeight="1">
      <c r="B33" s="2867" t="s">
        <v>3356</v>
      </c>
      <c r="C33" s="2875" t="s">
        <v>3339</v>
      </c>
      <c r="D33" s="2875" t="s">
        <v>3332</v>
      </c>
      <c r="E33" s="2875" t="s">
        <v>3333</v>
      </c>
      <c r="F33" s="2876" t="s">
        <v>3336</v>
      </c>
      <c r="G33" s="2875" t="s">
        <v>3341</v>
      </c>
      <c r="H33" s="2877">
        <v>5057.84</v>
      </c>
      <c r="I33" s="2868"/>
      <c r="J33" s="2883"/>
      <c r="K33" s="2899"/>
      <c r="N33" s="2893"/>
      <c r="O33" s="2893"/>
      <c r="P33" s="2893"/>
      <c r="Q33" s="2893"/>
    </row>
    <row r="34" spans="2:17" ht="23.25" customHeight="1">
      <c r="B34" s="2867" t="s">
        <v>3357</v>
      </c>
      <c r="C34" s="2875" t="s">
        <v>3436</v>
      </c>
      <c r="D34" s="2875" t="s">
        <v>3297</v>
      </c>
      <c r="E34" s="2875" t="s">
        <v>3333</v>
      </c>
      <c r="F34" s="2876" t="s">
        <v>3349</v>
      </c>
      <c r="G34" s="2875" t="s">
        <v>3335</v>
      </c>
      <c r="H34" s="2877">
        <v>259.19</v>
      </c>
      <c r="I34" s="2868"/>
      <c r="J34" s="2883"/>
      <c r="K34" s="2899"/>
      <c r="N34" s="2893"/>
      <c r="O34" s="2893"/>
      <c r="P34" s="2893"/>
      <c r="Q34" s="2893"/>
    </row>
    <row r="35" spans="2:17" ht="23.25" customHeight="1">
      <c r="B35" s="2867" t="s">
        <v>3358</v>
      </c>
      <c r="C35" s="2875" t="s">
        <v>3360</v>
      </c>
      <c r="D35" s="2875" t="s">
        <v>3297</v>
      </c>
      <c r="E35" s="2875" t="s">
        <v>3333</v>
      </c>
      <c r="F35" s="2876" t="s">
        <v>3350</v>
      </c>
      <c r="G35" s="2875" t="s">
        <v>3335</v>
      </c>
      <c r="H35" s="2877">
        <v>23596.87</v>
      </c>
      <c r="I35" s="2878" t="s">
        <v>3361</v>
      </c>
      <c r="J35" s="2886"/>
      <c r="K35" s="2900"/>
      <c r="N35" s="2893"/>
      <c r="O35" s="2893"/>
      <c r="P35" s="2893"/>
      <c r="Q35" s="2893"/>
    </row>
    <row r="36" spans="2:17" ht="23.25" customHeight="1">
      <c r="B36" s="2867" t="s">
        <v>3358</v>
      </c>
      <c r="C36" s="2875" t="s">
        <v>3363</v>
      </c>
      <c r="D36" s="2875" t="s">
        <v>3297</v>
      </c>
      <c r="E36" s="2875" t="s">
        <v>3333</v>
      </c>
      <c r="F36" s="2876" t="s">
        <v>3350</v>
      </c>
      <c r="G36" s="2875" t="s">
        <v>3335</v>
      </c>
      <c r="H36" s="2877">
        <v>6558.4</v>
      </c>
      <c r="I36" s="2878" t="s">
        <v>3361</v>
      </c>
      <c r="J36" s="2886"/>
      <c r="K36" s="2900"/>
      <c r="N36" s="2893"/>
      <c r="O36" s="2893"/>
      <c r="P36" s="2893"/>
      <c r="Q36" s="2893"/>
    </row>
    <row r="37" spans="2:17" ht="23.25" customHeight="1">
      <c r="B37" s="2867" t="s">
        <v>3358</v>
      </c>
      <c r="C37" s="2889" t="s">
        <v>3367</v>
      </c>
      <c r="D37" s="2875" t="s">
        <v>3297</v>
      </c>
      <c r="E37" s="2875" t="s">
        <v>3333</v>
      </c>
      <c r="F37" s="2876" t="s">
        <v>3350</v>
      </c>
      <c r="G37" s="2875" t="s">
        <v>3335</v>
      </c>
      <c r="H37" s="2877">
        <v>553.21</v>
      </c>
      <c r="I37" s="2878" t="s">
        <v>3361</v>
      </c>
      <c r="J37" s="2886"/>
      <c r="K37" s="2900"/>
      <c r="N37" s="2893"/>
      <c r="O37" s="2893"/>
      <c r="P37" s="2893"/>
      <c r="Q37" s="2893"/>
    </row>
    <row r="38" spans="2:17" ht="23.25" customHeight="1">
      <c r="B38" s="2867" t="s">
        <v>3358</v>
      </c>
      <c r="C38" s="2875" t="s">
        <v>3364</v>
      </c>
      <c r="D38" s="2875" t="s">
        <v>3362</v>
      </c>
      <c r="E38" s="2875" t="s">
        <v>3333</v>
      </c>
      <c r="F38" s="2876" t="s">
        <v>3350</v>
      </c>
      <c r="G38" s="2875" t="s">
        <v>3362</v>
      </c>
      <c r="H38" s="2877">
        <v>2280</v>
      </c>
      <c r="I38" s="2878" t="s">
        <v>3361</v>
      </c>
      <c r="J38" s="2886"/>
      <c r="K38" s="2900"/>
      <c r="N38" s="2893"/>
      <c r="O38" s="2893"/>
      <c r="P38" s="2893"/>
      <c r="Q38" s="2893"/>
    </row>
    <row r="39" spans="2:17" ht="23.25" customHeight="1">
      <c r="B39" s="2867" t="s">
        <v>3358</v>
      </c>
      <c r="C39" s="2875" t="s">
        <v>3405</v>
      </c>
      <c r="D39" s="2875" t="s">
        <v>3297</v>
      </c>
      <c r="E39" s="2875" t="s">
        <v>3333</v>
      </c>
      <c r="F39" s="2876" t="s">
        <v>3350</v>
      </c>
      <c r="G39" s="2875" t="s">
        <v>3335</v>
      </c>
      <c r="H39" s="2877">
        <v>40.26</v>
      </c>
      <c r="I39" s="2878" t="s">
        <v>3361</v>
      </c>
      <c r="J39" s="2886"/>
      <c r="K39" s="2900"/>
      <c r="N39" s="2893"/>
      <c r="O39" s="2893"/>
      <c r="P39" s="2893"/>
      <c r="Q39" s="2893"/>
    </row>
    <row r="40" spans="2:17" ht="23.25" customHeight="1">
      <c r="B40" s="2867" t="s">
        <v>3358</v>
      </c>
      <c r="C40" s="2875" t="s">
        <v>3365</v>
      </c>
      <c r="D40" s="2875" t="s">
        <v>3297</v>
      </c>
      <c r="E40" s="2875" t="s">
        <v>3333</v>
      </c>
      <c r="F40" s="2876" t="s">
        <v>3350</v>
      </c>
      <c r="G40" s="2875" t="s">
        <v>3335</v>
      </c>
      <c r="H40" s="2877">
        <v>34.06</v>
      </c>
      <c r="I40" s="2878" t="s">
        <v>3361</v>
      </c>
      <c r="J40" s="2886"/>
      <c r="K40" s="2900"/>
      <c r="N40" s="2893"/>
      <c r="O40" s="2893"/>
      <c r="P40" s="2893"/>
      <c r="Q40" s="2893"/>
    </row>
    <row r="41" spans="2:17" ht="23.25" customHeight="1">
      <c r="B41" s="2867" t="s">
        <v>3358</v>
      </c>
      <c r="C41" s="2875" t="s">
        <v>3366</v>
      </c>
      <c r="D41" s="2875" t="s">
        <v>3297</v>
      </c>
      <c r="E41" s="2875" t="s">
        <v>3333</v>
      </c>
      <c r="F41" s="2876" t="s">
        <v>3350</v>
      </c>
      <c r="G41" s="2875" t="s">
        <v>3335</v>
      </c>
      <c r="H41" s="2877">
        <v>65.209999999999994</v>
      </c>
      <c r="I41" s="2878" t="s">
        <v>3361</v>
      </c>
      <c r="J41" s="2886"/>
      <c r="K41" s="2900"/>
      <c r="N41" s="2893"/>
      <c r="O41" s="2893"/>
      <c r="P41" s="2893"/>
      <c r="Q41" s="2893"/>
    </row>
    <row r="42" spans="2:17" ht="23.25" customHeight="1" thickBot="1">
      <c r="B42" s="2879"/>
      <c r="C42" s="2880"/>
      <c r="D42" s="2880"/>
      <c r="E42" s="2880"/>
      <c r="F42" s="2881"/>
      <c r="G42" s="2880"/>
      <c r="H42" s="2880">
        <f>SUM(H3:H41)</f>
        <v>119454.59000000001</v>
      </c>
      <c r="I42" s="2882"/>
      <c r="J42" s="2885"/>
      <c r="K42" s="2901"/>
      <c r="N42" s="2893"/>
      <c r="O42" s="2893"/>
      <c r="P42" s="2893"/>
      <c r="Q42" s="2893"/>
    </row>
    <row r="43" spans="2:17">
      <c r="N43" s="2893"/>
      <c r="O43" s="2893"/>
      <c r="P43" s="2893"/>
      <c r="Q43" s="2893"/>
    </row>
    <row r="44" spans="2:17">
      <c r="N44" s="2893"/>
      <c r="O44" s="2893"/>
      <c r="P44" s="2893"/>
      <c r="Q44" s="2893"/>
    </row>
    <row r="45" spans="2:17">
      <c r="N45" s="2893"/>
      <c r="O45" s="2893"/>
      <c r="P45" s="2893"/>
      <c r="Q45" s="2893"/>
    </row>
    <row r="46" spans="2:17">
      <c r="F46" s="2887"/>
      <c r="N46" s="2893"/>
      <c r="O46" s="2893"/>
      <c r="P46" s="2893"/>
      <c r="Q46" s="2893"/>
    </row>
    <row r="47" spans="2:17">
      <c r="F47" s="2887"/>
      <c r="N47" s="2893"/>
      <c r="O47" s="2893"/>
      <c r="P47" s="2893"/>
      <c r="Q47" s="2893"/>
    </row>
    <row r="48" spans="2:17">
      <c r="F48" s="2887"/>
      <c r="N48" s="2893"/>
      <c r="O48" s="2893"/>
      <c r="P48" s="2893"/>
      <c r="Q48" s="2893"/>
    </row>
    <row r="49" spans="2:17">
      <c r="B49" s="2890" t="s">
        <v>3416</v>
      </c>
      <c r="C49" s="2890" t="s">
        <v>3415</v>
      </c>
      <c r="D49" s="2890" t="s">
        <v>3414</v>
      </c>
      <c r="E49" s="2890" t="s">
        <v>3413</v>
      </c>
      <c r="F49" s="2891" t="s">
        <v>3412</v>
      </c>
      <c r="N49" s="2893"/>
      <c r="O49" s="2893"/>
      <c r="P49" s="2893"/>
      <c r="Q49" s="2893"/>
    </row>
    <row r="50" spans="2:17" ht="27">
      <c r="B50" s="2890" t="s">
        <v>3408</v>
      </c>
      <c r="C50" s="2890" t="s">
        <v>3409</v>
      </c>
      <c r="D50" s="2890" t="s">
        <v>3410</v>
      </c>
      <c r="E50" s="2890" t="s">
        <v>3411</v>
      </c>
      <c r="F50" s="2891">
        <v>281.7</v>
      </c>
      <c r="N50" s="2893"/>
      <c r="O50" s="2893"/>
      <c r="P50" s="2893"/>
      <c r="Q50" s="2893"/>
    </row>
    <row r="51" spans="2:17" ht="27">
      <c r="B51" s="2892"/>
      <c r="C51" s="2890" t="s">
        <v>3417</v>
      </c>
      <c r="D51" s="2890" t="s">
        <v>3418</v>
      </c>
      <c r="E51" s="2890" t="s">
        <v>3411</v>
      </c>
      <c r="F51" s="2891">
        <v>288.07</v>
      </c>
      <c r="N51" s="2893"/>
      <c r="O51" s="2893"/>
      <c r="P51" s="2893"/>
      <c r="Q51" s="2893"/>
    </row>
    <row r="52" spans="2:17">
      <c r="B52" s="2892"/>
      <c r="C52" s="2890" t="s">
        <v>3419</v>
      </c>
      <c r="D52" s="2890" t="s">
        <v>3420</v>
      </c>
      <c r="E52" s="2890" t="s">
        <v>3411</v>
      </c>
      <c r="F52" s="2891">
        <v>35.15</v>
      </c>
      <c r="N52" s="2893"/>
      <c r="O52" s="2893"/>
      <c r="P52" s="2893"/>
      <c r="Q52" s="2893"/>
    </row>
    <row r="53" spans="2:17">
      <c r="B53" s="2892"/>
      <c r="C53" s="2892">
        <v>1</v>
      </c>
      <c r="D53" s="2890" t="s">
        <v>3421</v>
      </c>
      <c r="E53" s="2890" t="s">
        <v>3411</v>
      </c>
      <c r="F53" s="2891">
        <v>61.01</v>
      </c>
      <c r="N53" s="2893"/>
      <c r="O53" s="2893"/>
      <c r="P53" s="2893"/>
      <c r="Q53" s="2893"/>
    </row>
    <row r="54" spans="2:17" ht="27">
      <c r="B54" s="2892"/>
      <c r="C54" s="2892">
        <v>1</v>
      </c>
      <c r="D54" s="2890" t="s">
        <v>3422</v>
      </c>
      <c r="E54" s="2890" t="s">
        <v>3411</v>
      </c>
      <c r="F54" s="2891">
        <v>322.52999999999997</v>
      </c>
      <c r="N54" s="2893"/>
      <c r="O54" s="2893"/>
      <c r="P54" s="2893"/>
      <c r="Q54" s="2893"/>
    </row>
    <row r="55" spans="2:17" ht="40.5">
      <c r="B55" s="2892"/>
      <c r="C55" s="2892">
        <v>1</v>
      </c>
      <c r="D55" s="2890" t="s">
        <v>3423</v>
      </c>
      <c r="E55" s="2890" t="s">
        <v>3411</v>
      </c>
      <c r="F55" s="2891">
        <v>184.15</v>
      </c>
      <c r="N55" s="2893"/>
      <c r="O55" s="2893"/>
      <c r="P55" s="2893"/>
      <c r="Q55" s="2893"/>
    </row>
    <row r="56" spans="2:17" ht="27">
      <c r="B56" s="2892"/>
      <c r="C56" s="2892">
        <v>1</v>
      </c>
      <c r="D56" s="2890" t="s">
        <v>3424</v>
      </c>
      <c r="E56" s="2890" t="s">
        <v>3411</v>
      </c>
      <c r="F56" s="2891">
        <v>141.79</v>
      </c>
      <c r="N56" s="2893"/>
      <c r="O56" s="2893"/>
      <c r="P56" s="2893"/>
      <c r="Q56" s="2893"/>
    </row>
    <row r="57" spans="2:17" ht="27">
      <c r="B57" s="2892"/>
      <c r="C57" s="2892">
        <v>1</v>
      </c>
      <c r="D57" s="2890" t="s">
        <v>3425</v>
      </c>
      <c r="E57" s="2890" t="s">
        <v>3411</v>
      </c>
      <c r="F57" s="2891">
        <v>24.18</v>
      </c>
    </row>
    <row r="58" spans="2:17" ht="27">
      <c r="B58" s="2892"/>
      <c r="C58" s="2892">
        <v>2</v>
      </c>
      <c r="D58" s="2890" t="s">
        <v>3426</v>
      </c>
      <c r="E58" s="2890" t="s">
        <v>3411</v>
      </c>
      <c r="F58" s="2891">
        <v>150.58000000000001</v>
      </c>
    </row>
    <row r="59" spans="2:17" ht="27">
      <c r="B59" s="2892"/>
      <c r="C59" s="2892">
        <v>2</v>
      </c>
      <c r="D59" s="2890" t="s">
        <v>3427</v>
      </c>
      <c r="E59" s="2890" t="s">
        <v>3411</v>
      </c>
      <c r="F59" s="2891">
        <v>65.19</v>
      </c>
    </row>
    <row r="60" spans="2:17" ht="27">
      <c r="B60" s="2892"/>
      <c r="C60" s="2892">
        <v>2</v>
      </c>
      <c r="D60" s="2890" t="s">
        <v>3428</v>
      </c>
      <c r="E60" s="2890" t="s">
        <v>3411</v>
      </c>
      <c r="F60" s="2891">
        <v>184.85</v>
      </c>
    </row>
    <row r="61" spans="2:17" ht="27">
      <c r="B61" s="2892"/>
      <c r="C61" s="2892">
        <v>2</v>
      </c>
      <c r="D61" s="2890" t="s">
        <v>3429</v>
      </c>
      <c r="E61" s="2890" t="s">
        <v>3411</v>
      </c>
      <c r="F61" s="2891">
        <v>156.88999999999999</v>
      </c>
    </row>
    <row r="62" spans="2:17" ht="27">
      <c r="B62" s="2892"/>
      <c r="C62" s="2892">
        <v>2</v>
      </c>
      <c r="D62" s="2890" t="s">
        <v>3430</v>
      </c>
      <c r="E62" s="2890" t="s">
        <v>3411</v>
      </c>
      <c r="F62" s="2891">
        <v>128.34</v>
      </c>
    </row>
    <row r="63" spans="2:17" ht="27">
      <c r="B63" s="2892"/>
      <c r="C63" s="2892">
        <v>2</v>
      </c>
      <c r="D63" s="2890" t="s">
        <v>3431</v>
      </c>
      <c r="E63" s="2890" t="s">
        <v>3411</v>
      </c>
      <c r="F63" s="2891">
        <v>31.09</v>
      </c>
    </row>
    <row r="64" spans="2:17">
      <c r="B64" s="2877"/>
      <c r="C64" s="2877"/>
      <c r="D64" s="2877"/>
      <c r="E64" s="2877"/>
      <c r="F64" s="2888">
        <f>SUM(F50:F63)</f>
        <v>2055.5199999999995</v>
      </c>
    </row>
    <row r="65" spans="6:6">
      <c r="F65" s="2887"/>
    </row>
  </sheetData>
  <mergeCells count="5">
    <mergeCell ref="K6:K7"/>
    <mergeCell ref="K2:K5"/>
    <mergeCell ref="K8:L8"/>
    <mergeCell ref="N10:O10"/>
    <mergeCell ref="L10:M10"/>
  </mergeCells>
  <phoneticPr fontId="14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1" sqref="F31"/>
    </sheetView>
  </sheetViews>
  <sheetFormatPr defaultColWidth="9.25" defaultRowHeight="14.25"/>
  <cols>
    <col min="1" max="1" width="12.125" style="2150" customWidth="1"/>
    <col min="2" max="2" width="10.25" style="2150" customWidth="1"/>
    <col min="3" max="3" width="18.5" style="2150" customWidth="1"/>
    <col min="4" max="4" width="11.625" style="2150" customWidth="1"/>
    <col min="5" max="5" width="13.375" style="2150" customWidth="1"/>
    <col min="6" max="8" width="11.5" style="2150" customWidth="1"/>
    <col min="9" max="9" width="11.125" style="2150" customWidth="1"/>
    <col min="10" max="10" width="3.125" style="2150" customWidth="1"/>
    <col min="11" max="16" width="10" style="2150" customWidth="1"/>
    <col min="17" max="17" width="2.625" style="2150" customWidth="1"/>
    <col min="18" max="18" width="9.375" style="2150" bestFit="1" customWidth="1"/>
    <col min="19" max="19" width="10.5" style="2150" bestFit="1" customWidth="1"/>
    <col min="20" max="16384" width="9.25" style="2150"/>
  </cols>
  <sheetData>
    <row r="1" spans="1:16" ht="18.75">
      <c r="A1" s="2149" t="s">
        <v>1932</v>
      </c>
      <c r="B1" s="1324"/>
      <c r="C1" s="1324"/>
      <c r="D1" s="1324"/>
      <c r="E1" s="1324"/>
      <c r="F1" s="1324"/>
      <c r="G1" s="1324"/>
      <c r="H1" s="1324"/>
      <c r="I1" s="1324"/>
      <c r="J1" s="1324"/>
      <c r="K1" s="1324"/>
      <c r="L1" s="1324"/>
      <c r="M1" s="1324"/>
      <c r="N1" s="1324"/>
      <c r="O1" s="1324"/>
      <c r="P1" s="1324"/>
    </row>
    <row r="2" spans="1:16" ht="15">
      <c r="A2" s="3165" t="s">
        <v>1933</v>
      </c>
      <c r="B2" s="3165"/>
      <c r="C2" s="3165"/>
      <c r="D2" s="913" t="s">
        <v>1909</v>
      </c>
      <c r="E2" s="2151" t="s">
        <v>1910</v>
      </c>
      <c r="F2" s="1324"/>
      <c r="G2" s="2152"/>
      <c r="H2" s="2153"/>
      <c r="I2" s="2154" t="s">
        <v>1934</v>
      </c>
      <c r="J2" s="1324"/>
      <c r="K2" s="1324"/>
      <c r="L2" s="1324"/>
      <c r="M2" s="1324"/>
      <c r="N2" s="1359"/>
      <c r="O2" s="1324"/>
      <c r="P2" s="1324"/>
    </row>
    <row r="3" spans="1:16" ht="15.75" thickBot="1">
      <c r="A3" s="3166" t="s">
        <v>1907</v>
      </c>
      <c r="B3" s="3166"/>
      <c r="C3" s="3166"/>
      <c r="D3" s="46">
        <f>'数据-基础表'!AY6</f>
        <v>43598.5</v>
      </c>
      <c r="E3" s="46">
        <f>'数据-基础表'!AZ5</f>
        <v>119454.59</v>
      </c>
      <c r="F3" s="1324"/>
      <c r="G3" s="1331"/>
      <c r="H3" s="1193" t="s">
        <v>1908</v>
      </c>
      <c r="I3" s="54">
        <f>ROUND('数据-基础表'!B3/'数据-基础表'!A3,2)</f>
        <v>2.74</v>
      </c>
      <c r="J3" s="1324"/>
      <c r="K3" s="1324"/>
      <c r="L3" s="1324"/>
      <c r="M3" s="1324"/>
      <c r="N3" s="1359"/>
      <c r="O3" s="1324"/>
      <c r="P3" s="1324"/>
    </row>
    <row r="4" spans="1:16" ht="15">
      <c r="A4" s="3167"/>
      <c r="B4" s="3168"/>
      <c r="C4" s="3169"/>
      <c r="D4" s="2155" t="s">
        <v>1909</v>
      </c>
      <c r="E4" s="2156" t="s">
        <v>1910</v>
      </c>
      <c r="F4" s="1324"/>
      <c r="G4" s="2157" t="s">
        <v>1935</v>
      </c>
      <c r="H4" s="1193" t="s">
        <v>1915</v>
      </c>
      <c r="I4" s="54">
        <f>ROUND(SUMIF('数据-基础表'!I9:AS9,"地上",'数据-基础表'!I5:AS5)/'数据-基础表'!A3,2)</f>
        <v>1.9</v>
      </c>
      <c r="J4" s="1324"/>
      <c r="K4" s="1324"/>
      <c r="L4" s="1324"/>
      <c r="M4" s="1324"/>
      <c r="N4" s="1359"/>
      <c r="O4" s="1324"/>
      <c r="P4" s="1324"/>
    </row>
    <row r="5" spans="1:16">
      <c r="A5" s="47" t="s">
        <v>1911</v>
      </c>
      <c r="B5" s="3170" t="s">
        <v>1912</v>
      </c>
      <c r="C5" s="3170"/>
      <c r="D5" s="48">
        <f>ROUND($D$3*E5/$E$3,2)</f>
        <v>29461.56</v>
      </c>
      <c r="E5" s="49">
        <f>SUMIF('数据-基础表'!$11:$11,"住宅",'数据-基础表'!$5:$5)</f>
        <v>80721.099999999991</v>
      </c>
      <c r="F5" s="1324"/>
      <c r="G5" s="1331"/>
      <c r="H5" s="1193" t="s">
        <v>1908</v>
      </c>
      <c r="I5" s="54">
        <f>ROUND(E31/D31,2)</f>
        <v>2.74</v>
      </c>
      <c r="J5" s="1324"/>
      <c r="K5" s="1324"/>
      <c r="L5" s="1324"/>
      <c r="M5" s="1324"/>
      <c r="N5" s="1324"/>
      <c r="O5" s="1324"/>
      <c r="P5" s="1324"/>
    </row>
    <row r="6" spans="1:16" ht="15" thickBot="1">
      <c r="A6" s="2158"/>
      <c r="B6" s="3170" t="s">
        <v>1913</v>
      </c>
      <c r="C6" s="3170"/>
      <c r="D6" s="48">
        <f>ROUND($D$3*E6/$E$3,2)</f>
        <v>14136.94</v>
      </c>
      <c r="E6" s="49">
        <f>E3-E5</f>
        <v>38733.490000000005</v>
      </c>
      <c r="F6" s="1324"/>
      <c r="G6" s="2159" t="s">
        <v>1914</v>
      </c>
      <c r="H6" s="1331" t="s">
        <v>1915</v>
      </c>
      <c r="I6" s="885">
        <f>ROUND(F31/D31,2)</f>
        <v>1.9</v>
      </c>
      <c r="J6" s="1324"/>
      <c r="K6" s="1324"/>
      <c r="L6" s="1324"/>
      <c r="M6" s="1324"/>
      <c r="N6" s="1324"/>
      <c r="O6" s="1324"/>
      <c r="P6" s="1324"/>
    </row>
    <row r="7" spans="1:16" ht="15">
      <c r="A7" s="3162"/>
      <c r="B7" s="3163"/>
      <c r="C7" s="3164"/>
      <c r="D7" s="2155" t="s">
        <v>1909</v>
      </c>
      <c r="E7" s="2160" t="s">
        <v>1916</v>
      </c>
      <c r="F7" s="1324"/>
      <c r="G7" s="2152" t="s">
        <v>1917</v>
      </c>
      <c r="H7" s="63"/>
      <c r="I7" s="363"/>
      <c r="J7" s="1324"/>
      <c r="K7" s="1324"/>
      <c r="L7" s="1324"/>
      <c r="M7" s="1324"/>
      <c r="N7" s="1324"/>
      <c r="O7" s="1324"/>
      <c r="P7" s="1324"/>
    </row>
    <row r="8" spans="1:16">
      <c r="A8" s="47" t="s">
        <v>1918</v>
      </c>
      <c r="B8" s="50" t="s">
        <v>1919</v>
      </c>
      <c r="C8" s="48" t="s">
        <v>1920</v>
      </c>
      <c r="D8" s="48">
        <f t="shared" ref="D8:D15" si="0">ROUND($D$3*E8/$E$3,2)</f>
        <v>29461.56</v>
      </c>
      <c r="E8" s="51">
        <f>SUMIF('数据-基础表'!BB10:BK10,"地上",'数据-基础表'!BB5:BK5)</f>
        <v>80721.099999999991</v>
      </c>
      <c r="F8" s="1324"/>
      <c r="G8" s="2161"/>
      <c r="H8" s="2161"/>
      <c r="I8" s="1324"/>
      <c r="J8" s="1324"/>
      <c r="K8" s="1324"/>
      <c r="L8" s="1324"/>
      <c r="M8" s="1324"/>
      <c r="N8" s="1324"/>
      <c r="O8" s="1324"/>
      <c r="P8" s="1324"/>
    </row>
    <row r="9" spans="1:16">
      <c r="A9" s="2162"/>
      <c r="B9" s="2163"/>
      <c r="C9" s="48" t="s">
        <v>1921</v>
      </c>
      <c r="D9" s="48">
        <f t="shared" si="0"/>
        <v>0</v>
      </c>
      <c r="E9" s="52">
        <v>0</v>
      </c>
      <c r="F9" s="1324"/>
      <c r="G9" s="2161"/>
      <c r="H9" s="2161"/>
      <c r="I9" s="1324"/>
      <c r="J9" s="1324"/>
      <c r="K9" s="1324"/>
      <c r="L9" s="1324"/>
      <c r="M9" s="1324"/>
      <c r="N9" s="1324"/>
      <c r="O9" s="1324"/>
      <c r="P9" s="1324"/>
    </row>
    <row r="10" spans="1:16">
      <c r="A10" s="2162"/>
      <c r="B10" s="2163"/>
      <c r="C10" s="48" t="s">
        <v>1930</v>
      </c>
      <c r="D10" s="48">
        <f t="shared" si="0"/>
        <v>0</v>
      </c>
      <c r="E10" s="51">
        <f>SUMPRODUCT(('数据-基础表'!BB10:BK10="地下")*('数据-基础表'!BB11:BK11="商业")*('数据-基础表'!BB5:BK5))</f>
        <v>0</v>
      </c>
      <c r="F10" s="1324"/>
      <c r="G10" s="2161"/>
      <c r="H10" s="2161"/>
      <c r="I10" s="1324"/>
      <c r="J10" s="1324"/>
      <c r="K10" s="1324"/>
      <c r="L10" s="1324"/>
      <c r="M10" s="1324"/>
      <c r="N10" s="1324"/>
      <c r="O10" s="1324"/>
      <c r="P10" s="1324"/>
    </row>
    <row r="11" spans="1:16">
      <c r="A11" s="2162"/>
      <c r="B11" s="2163"/>
      <c r="C11" s="48" t="s">
        <v>1922</v>
      </c>
      <c r="D11" s="48">
        <f t="shared" si="0"/>
        <v>0</v>
      </c>
      <c r="E11" s="51">
        <f>SUMPRODUCT(('数据-基础表'!BB10:BK10="地下")*('数据-基础表'!BB11:BK11="办公")*('数据-基础表'!BB5:BK5))+'数据-基础表'!BP5</f>
        <v>0</v>
      </c>
      <c r="F11" s="1324"/>
      <c r="G11" s="2161"/>
      <c r="H11" s="2161"/>
      <c r="I11" s="1324"/>
      <c r="J11" s="1324"/>
      <c r="K11" s="1324"/>
      <c r="L11" s="1324"/>
      <c r="M11" s="1324"/>
      <c r="N11" s="1324"/>
      <c r="O11" s="1324"/>
      <c r="P11" s="1324"/>
    </row>
    <row r="12" spans="1:16">
      <c r="A12" s="2162"/>
      <c r="B12" s="2163"/>
      <c r="C12" s="48" t="s">
        <v>1923</v>
      </c>
      <c r="D12" s="48">
        <f t="shared" si="0"/>
        <v>0</v>
      </c>
      <c r="E12" s="51">
        <f>SUMPRODUCT(('数据-基础表'!BB10:BK10="地下")*('数据-基础表'!BB11:BK11="仓储")*('数据-基础表'!BB5:BK5))</f>
        <v>0</v>
      </c>
      <c r="F12" s="1324"/>
      <c r="G12" s="2161"/>
      <c r="H12" s="2161"/>
      <c r="I12" s="1324"/>
      <c r="J12" s="1324"/>
      <c r="K12" s="1324"/>
      <c r="L12" s="1324"/>
      <c r="M12" s="1324"/>
      <c r="N12" s="1324"/>
      <c r="O12" s="1324"/>
      <c r="P12" s="1324"/>
    </row>
    <row r="13" spans="1:16">
      <c r="A13" s="2162"/>
      <c r="B13" s="2163"/>
      <c r="C13" s="48" t="s">
        <v>1924</v>
      </c>
      <c r="D13" s="48">
        <f t="shared" si="0"/>
        <v>11006.06</v>
      </c>
      <c r="E13" s="51">
        <f>SUMPRODUCT(('数据-基础表'!BB10:BK10="地下")*('数据-基础表'!BB11:BK11="车库")*('数据-基础表'!BB5:BK5))</f>
        <v>30155.269999999997</v>
      </c>
      <c r="F13" s="1324"/>
      <c r="G13" s="2161"/>
      <c r="H13" s="2161"/>
      <c r="I13" s="1324"/>
      <c r="J13" s="1324"/>
      <c r="K13" s="1324"/>
      <c r="L13" s="1324"/>
      <c r="M13" s="1324"/>
      <c r="N13" s="1324"/>
      <c r="O13" s="1324"/>
      <c r="P13" s="1324"/>
    </row>
    <row r="14" spans="1:16">
      <c r="A14" s="2162"/>
      <c r="B14" s="2163"/>
      <c r="C14" s="48" t="s">
        <v>1936</v>
      </c>
      <c r="D14" s="48">
        <f t="shared" si="0"/>
        <v>0</v>
      </c>
      <c r="E14" s="51">
        <f>SUMPRODUCT(('数据-基础表'!BB10:BK10="地下")*('数据-基础表'!BB11:BK11="车库—商业")*('数据-基础表'!BB5:BK5))</f>
        <v>0</v>
      </c>
      <c r="F14" s="1324"/>
      <c r="G14" s="2161"/>
      <c r="H14" s="2161"/>
      <c r="I14" s="1324"/>
      <c r="J14" s="1324"/>
      <c r="K14" s="1324"/>
      <c r="L14" s="1324"/>
      <c r="M14" s="1324"/>
      <c r="N14" s="1324"/>
      <c r="O14" s="1324"/>
      <c r="P14" s="1324"/>
    </row>
    <row r="15" spans="1:16" ht="15" thickBot="1">
      <c r="A15" s="2162"/>
      <c r="B15" s="2163"/>
      <c r="C15" s="48" t="s">
        <v>1931</v>
      </c>
      <c r="D15" s="48">
        <f t="shared" si="0"/>
        <v>0</v>
      </c>
      <c r="E15" s="51">
        <f>SUMPRODUCT(('数据-基础表'!BB10:BK10="地下")*('数据-基础表'!BB11:BK11="车库—办公")*('数据-基础表'!BB5:BK5))</f>
        <v>0</v>
      </c>
      <c r="F15" s="1324"/>
      <c r="G15" s="2161"/>
      <c r="H15" s="2161"/>
      <c r="I15" s="1324"/>
      <c r="J15" s="1324"/>
      <c r="K15" s="1324"/>
      <c r="L15" s="1324"/>
      <c r="M15" s="1324"/>
      <c r="N15" s="1324"/>
      <c r="O15" s="1324"/>
      <c r="P15" s="1324"/>
    </row>
    <row r="16" spans="1:16" ht="15.75" thickBot="1">
      <c r="A16" s="2158"/>
      <c r="B16" s="2163"/>
      <c r="C16" s="50" t="s">
        <v>1925</v>
      </c>
      <c r="D16" s="50">
        <f>SUM(D8:D15)</f>
        <v>40467.620000000003</v>
      </c>
      <c r="E16" s="53">
        <f>SUM(E8:E15)</f>
        <v>110876.37</v>
      </c>
      <c r="F16" s="1324"/>
      <c r="G16" s="2161"/>
      <c r="H16" s="2164" t="s">
        <v>1937</v>
      </c>
      <c r="I16" s="2165"/>
      <c r="J16" s="1324"/>
      <c r="K16" s="3159" t="s">
        <v>1937</v>
      </c>
      <c r="L16" s="3160"/>
      <c r="M16" s="3160"/>
      <c r="N16" s="3160"/>
      <c r="O16" s="3160"/>
      <c r="P16" s="3161"/>
    </row>
    <row r="17" spans="1:19" ht="15">
      <c r="A17" s="2166" t="s">
        <v>1938</v>
      </c>
      <c r="B17" s="2167" t="s">
        <v>1939</v>
      </c>
      <c r="C17" s="2168" t="s">
        <v>1940</v>
      </c>
      <c r="D17" s="2169" t="s">
        <v>1928</v>
      </c>
      <c r="E17" s="2170" t="s">
        <v>1929</v>
      </c>
      <c r="F17" s="2171"/>
      <c r="G17" s="2172"/>
      <c r="H17" s="2173" t="s">
        <v>1941</v>
      </c>
      <c r="I17" s="2174" t="s">
        <v>1926</v>
      </c>
      <c r="J17" s="1324"/>
      <c r="K17" s="3156" t="s">
        <v>1942</v>
      </c>
      <c r="L17" s="3157"/>
      <c r="M17" s="3158"/>
      <c r="N17" s="3156" t="s">
        <v>1943</v>
      </c>
      <c r="O17" s="3157"/>
      <c r="P17" s="3158"/>
      <c r="R17" s="2152" t="s">
        <v>1944</v>
      </c>
      <c r="S17" s="63"/>
    </row>
    <row r="18" spans="1:19" ht="15">
      <c r="A18" s="2162"/>
      <c r="B18" s="2175"/>
      <c r="C18" s="2176"/>
      <c r="D18" s="2177"/>
      <c r="E18" s="2178" t="s">
        <v>1945</v>
      </c>
      <c r="F18" s="2179" t="s">
        <v>1946</v>
      </c>
      <c r="G18" s="2180" t="s">
        <v>1947</v>
      </c>
      <c r="H18" s="1198" t="s">
        <v>1948</v>
      </c>
      <c r="I18" s="2181" t="s">
        <v>1949</v>
      </c>
      <c r="J18" s="1324"/>
      <c r="K18" s="1198" t="s">
        <v>1950</v>
      </c>
      <c r="L18" s="2182" t="s">
        <v>1951</v>
      </c>
      <c r="M18" s="992" t="s">
        <v>1952</v>
      </c>
      <c r="N18" s="1198" t="s">
        <v>1950</v>
      </c>
      <c r="O18" s="2182" t="s">
        <v>1951</v>
      </c>
      <c r="P18" s="992" t="s">
        <v>1952</v>
      </c>
      <c r="R18" s="1193" t="s">
        <v>1953</v>
      </c>
      <c r="S18" s="1193" t="s">
        <v>1954</v>
      </c>
    </row>
    <row r="19" spans="1:19">
      <c r="A19" s="2183"/>
      <c r="B19" s="50" t="s">
        <v>1927</v>
      </c>
      <c r="C19" s="2835" t="s">
        <v>3368</v>
      </c>
      <c r="D19" s="48">
        <f>ROUND($D$3*E19/$E$3,2)</f>
        <v>27992.97</v>
      </c>
      <c r="E19" s="55">
        <f t="shared" ref="E19:E26" si="1">SUM(F19:G19)</f>
        <v>76697.34</v>
      </c>
      <c r="F19" s="56">
        <f>'数据-基础表'!K13</f>
        <v>76697.34</v>
      </c>
      <c r="G19" s="57"/>
      <c r="H19" s="666">
        <f>ROUND($D$3*I19/$E$3,2)</f>
        <v>1734.07</v>
      </c>
      <c r="I19" s="51">
        <f t="shared" ref="I19:I26" si="2">IF($I$17="自定义",P19,M19)</f>
        <v>4751.1499999999996</v>
      </c>
      <c r="J19" s="1324"/>
      <c r="K19" s="1323">
        <f t="shared" ref="K19:K26" si="3">ROUND(E$28*E19/E$27,2)</f>
        <v>4751.1499999999996</v>
      </c>
      <c r="L19" s="1193">
        <f t="shared" ref="L19:L26" si="4">ROUND(IF(COUNTIF(C19,"*住宅*")&gt;0,E$29*E19/E$32,0),2)</f>
        <v>0</v>
      </c>
      <c r="M19" s="1335">
        <f>K19+L19</f>
        <v>4751.1499999999996</v>
      </c>
      <c r="N19" s="2184"/>
      <c r="O19" s="2185"/>
      <c r="P19" s="1335">
        <f>N19+O19</f>
        <v>0</v>
      </c>
      <c r="R19" s="1193">
        <f t="shared" ref="R19:S26" si="5">D19+H19</f>
        <v>29727.040000000001</v>
      </c>
      <c r="S19" s="1194">
        <f t="shared" si="5"/>
        <v>81448.489999999991</v>
      </c>
    </row>
    <row r="20" spans="1:19">
      <c r="A20" s="2186"/>
      <c r="B20" s="50" t="s">
        <v>1955</v>
      </c>
      <c r="C20" s="2835" t="s">
        <v>3302</v>
      </c>
      <c r="D20" s="48">
        <f t="shared" ref="D20:D26" si="6">ROUND($D$3*E20/$E$3,2)</f>
        <v>1468.59</v>
      </c>
      <c r="E20" s="55">
        <f t="shared" si="1"/>
        <v>4023.76</v>
      </c>
      <c r="F20" s="56">
        <f>'数据-基础表'!I13</f>
        <v>4023.76</v>
      </c>
      <c r="G20" s="57"/>
      <c r="H20" s="666">
        <f t="shared" ref="H20:H26" si="7">ROUND($D$3*I20/$E$3,2)</f>
        <v>90.97</v>
      </c>
      <c r="I20" s="51">
        <f t="shared" si="2"/>
        <v>249.26</v>
      </c>
      <c r="J20" s="1324"/>
      <c r="K20" s="1323">
        <f t="shared" si="3"/>
        <v>249.26</v>
      </c>
      <c r="L20" s="1193">
        <f t="shared" si="4"/>
        <v>0</v>
      </c>
      <c r="M20" s="1335">
        <f t="shared" ref="M20:M26" si="8">K20+L20</f>
        <v>249.26</v>
      </c>
      <c r="N20" s="2184"/>
      <c r="O20" s="2185"/>
      <c r="P20" s="1335">
        <f t="shared" ref="P20:P26" si="9">N20+O20</f>
        <v>0</v>
      </c>
      <c r="R20" s="1193">
        <f t="shared" si="5"/>
        <v>1559.56</v>
      </c>
      <c r="S20" s="1194">
        <f t="shared" si="5"/>
        <v>4273.0200000000004</v>
      </c>
    </row>
    <row r="21" spans="1:19">
      <c r="A21" s="2186"/>
      <c r="B21" s="50" t="s">
        <v>1955</v>
      </c>
      <c r="C21" s="2835" t="s">
        <v>3303</v>
      </c>
      <c r="D21" s="48">
        <f t="shared" si="6"/>
        <v>11006.06</v>
      </c>
      <c r="E21" s="55">
        <f t="shared" si="1"/>
        <v>30155.269999999997</v>
      </c>
      <c r="F21" s="56"/>
      <c r="G21" s="57">
        <f>'数据-基础表'!M13</f>
        <v>30155.269999999997</v>
      </c>
      <c r="H21" s="666">
        <f t="shared" si="7"/>
        <v>681.79</v>
      </c>
      <c r="I21" s="51">
        <f t="shared" si="2"/>
        <v>1868.02</v>
      </c>
      <c r="J21" s="1324"/>
      <c r="K21" s="1323">
        <f t="shared" si="3"/>
        <v>1868.02</v>
      </c>
      <c r="L21" s="1193">
        <f t="shared" si="4"/>
        <v>0</v>
      </c>
      <c r="M21" s="1335">
        <f t="shared" si="8"/>
        <v>1868.02</v>
      </c>
      <c r="N21" s="2184"/>
      <c r="O21" s="2185"/>
      <c r="P21" s="1335">
        <f t="shared" si="9"/>
        <v>0</v>
      </c>
      <c r="R21" s="1193">
        <f t="shared" si="5"/>
        <v>11687.849999999999</v>
      </c>
      <c r="S21" s="1194">
        <f t="shared" si="5"/>
        <v>32023.289999999997</v>
      </c>
    </row>
    <row r="22" spans="1:19">
      <c r="A22" s="2186"/>
      <c r="B22" s="50" t="s">
        <v>1955</v>
      </c>
      <c r="C22" s="2842"/>
      <c r="D22" s="48">
        <f t="shared" si="6"/>
        <v>0</v>
      </c>
      <c r="E22" s="55">
        <f t="shared" si="1"/>
        <v>0</v>
      </c>
      <c r="F22" s="60"/>
      <c r="G22" s="61"/>
      <c r="H22" s="666">
        <f t="shared" si="7"/>
        <v>0</v>
      </c>
      <c r="I22" s="51">
        <f t="shared" si="2"/>
        <v>0</v>
      </c>
      <c r="J22" s="1324"/>
      <c r="K22" s="1323">
        <f t="shared" si="3"/>
        <v>0</v>
      </c>
      <c r="L22" s="1193">
        <f t="shared" si="4"/>
        <v>0</v>
      </c>
      <c r="M22" s="1335">
        <f t="shared" si="8"/>
        <v>0</v>
      </c>
      <c r="N22" s="2184"/>
      <c r="O22" s="2185"/>
      <c r="P22" s="1335">
        <f t="shared" si="9"/>
        <v>0</v>
      </c>
      <c r="R22" s="1193">
        <f t="shared" si="5"/>
        <v>0</v>
      </c>
      <c r="S22" s="1194">
        <f t="shared" si="5"/>
        <v>0</v>
      </c>
    </row>
    <row r="23" spans="1:19">
      <c r="A23" s="2186"/>
      <c r="B23" s="50" t="s">
        <v>1955</v>
      </c>
      <c r="C23" s="59"/>
      <c r="D23" s="48">
        <f>ROUND($D$3*E23/$E$3,2)</f>
        <v>0</v>
      </c>
      <c r="E23" s="55">
        <f>SUM(F23:G23)</f>
        <v>0</v>
      </c>
      <c r="F23" s="60"/>
      <c r="G23" s="61"/>
      <c r="H23" s="666">
        <f>ROUND($D$3*I23/$E$3,2)</f>
        <v>0</v>
      </c>
      <c r="I23" s="51">
        <f t="shared" si="2"/>
        <v>0</v>
      </c>
      <c r="J23" s="1324"/>
      <c r="K23" s="1323">
        <f t="shared" si="3"/>
        <v>0</v>
      </c>
      <c r="L23" s="1193">
        <f t="shared" si="4"/>
        <v>0</v>
      </c>
      <c r="M23" s="1335">
        <f t="shared" si="8"/>
        <v>0</v>
      </c>
      <c r="N23" s="2184"/>
      <c r="O23" s="2185"/>
      <c r="P23" s="1335">
        <f t="shared" si="9"/>
        <v>0</v>
      </c>
      <c r="R23" s="1193">
        <f t="shared" si="5"/>
        <v>0</v>
      </c>
      <c r="S23" s="1194">
        <f t="shared" si="5"/>
        <v>0</v>
      </c>
    </row>
    <row r="24" spans="1:19">
      <c r="A24" s="2186"/>
      <c r="B24" s="50" t="s">
        <v>1955</v>
      </c>
      <c r="C24" s="59"/>
      <c r="D24" s="48">
        <f>ROUND($D$3*E24/$E$3,2)</f>
        <v>0</v>
      </c>
      <c r="E24" s="55">
        <f>SUM(F24:G24)</f>
        <v>0</v>
      </c>
      <c r="F24" s="60"/>
      <c r="G24" s="61"/>
      <c r="H24" s="666">
        <f>ROUND($D$3*I24/$E$3,2)</f>
        <v>0</v>
      </c>
      <c r="I24" s="51">
        <f t="shared" si="2"/>
        <v>0</v>
      </c>
      <c r="J24" s="1324"/>
      <c r="K24" s="1323">
        <f t="shared" si="3"/>
        <v>0</v>
      </c>
      <c r="L24" s="1193">
        <f t="shared" si="4"/>
        <v>0</v>
      </c>
      <c r="M24" s="1335">
        <f t="shared" si="8"/>
        <v>0</v>
      </c>
      <c r="N24" s="2184"/>
      <c r="O24" s="2185"/>
      <c r="P24" s="1335">
        <f t="shared" si="9"/>
        <v>0</v>
      </c>
      <c r="R24" s="1193">
        <f t="shared" si="5"/>
        <v>0</v>
      </c>
      <c r="S24" s="1194">
        <f t="shared" si="5"/>
        <v>0</v>
      </c>
    </row>
    <row r="25" spans="1:19">
      <c r="A25" s="2186"/>
      <c r="B25" s="50" t="s">
        <v>1955</v>
      </c>
      <c r="C25" s="59"/>
      <c r="D25" s="48">
        <f t="shared" si="6"/>
        <v>0</v>
      </c>
      <c r="E25" s="55">
        <f t="shared" si="1"/>
        <v>0</v>
      </c>
      <c r="F25" s="60"/>
      <c r="G25" s="61"/>
      <c r="H25" s="47">
        <f t="shared" si="7"/>
        <v>0</v>
      </c>
      <c r="I25" s="51">
        <f t="shared" si="2"/>
        <v>0</v>
      </c>
      <c r="J25" s="1324"/>
      <c r="K25" s="1323">
        <f t="shared" si="3"/>
        <v>0</v>
      </c>
      <c r="L25" s="1193">
        <f t="shared" si="4"/>
        <v>0</v>
      </c>
      <c r="M25" s="1335">
        <f t="shared" si="8"/>
        <v>0</v>
      </c>
      <c r="N25" s="2184"/>
      <c r="O25" s="2185"/>
      <c r="P25" s="1335">
        <f t="shared" si="9"/>
        <v>0</v>
      </c>
      <c r="R25" s="1193">
        <f t="shared" si="5"/>
        <v>0</v>
      </c>
      <c r="S25" s="1194">
        <f t="shared" si="5"/>
        <v>0</v>
      </c>
    </row>
    <row r="26" spans="1:19">
      <c r="A26" s="2186"/>
      <c r="B26" s="50" t="s">
        <v>1955</v>
      </c>
      <c r="C26" s="62"/>
      <c r="D26" s="48">
        <f t="shared" si="6"/>
        <v>0</v>
      </c>
      <c r="E26" s="55">
        <f t="shared" si="1"/>
        <v>0</v>
      </c>
      <c r="F26" s="60"/>
      <c r="G26" s="61"/>
      <c r="H26" s="47">
        <f t="shared" si="7"/>
        <v>0</v>
      </c>
      <c r="I26" s="51">
        <f t="shared" si="2"/>
        <v>0</v>
      </c>
      <c r="J26" s="1324"/>
      <c r="K26" s="1330">
        <f t="shared" si="3"/>
        <v>0</v>
      </c>
      <c r="L26" s="1331">
        <f t="shared" si="4"/>
        <v>0</v>
      </c>
      <c r="M26" s="66">
        <f t="shared" si="8"/>
        <v>0</v>
      </c>
      <c r="N26" s="2187"/>
      <c r="O26" s="2188"/>
      <c r="P26" s="66">
        <f t="shared" si="9"/>
        <v>0</v>
      </c>
      <c r="R26" s="1193">
        <f t="shared" si="5"/>
        <v>0</v>
      </c>
      <c r="S26" s="1194">
        <f t="shared" si="5"/>
        <v>0</v>
      </c>
    </row>
    <row r="27" spans="1:19" ht="43.5" thickBot="1">
      <c r="A27" s="2186"/>
      <c r="B27" s="48"/>
      <c r="C27" s="2189" t="s">
        <v>1956</v>
      </c>
      <c r="D27" s="1325">
        <f>SUM(D19:D26)</f>
        <v>40467.620000000003</v>
      </c>
      <c r="E27" s="1326">
        <f>IF(SUM(E19:E26)='数据-基础表'!BA5,SUM(E19:E26),IF(F27="地上面积有误","面积有误","地下面积有误"))</f>
        <v>110876.37</v>
      </c>
      <c r="F27" s="1325">
        <f>IF(SUM(F19:F26)=E8,SUM(F19:F26),"地上面积有误")</f>
        <v>80721.099999999991</v>
      </c>
      <c r="G27" s="1327">
        <f>SUM(G19:G26)</f>
        <v>30155.269999999997</v>
      </c>
      <c r="H27" s="1328">
        <f>SUM(H19:H26)</f>
        <v>2506.83</v>
      </c>
      <c r="I27" s="1329">
        <f>SUM(I19:I26)</f>
        <v>6868.43</v>
      </c>
      <c r="J27" s="1324"/>
      <c r="K27" s="1332">
        <f>SUM(K19:K26)</f>
        <v>6868.43</v>
      </c>
      <c r="L27" s="1333">
        <f>SUM(L19:L26)</f>
        <v>0</v>
      </c>
      <c r="M27" s="1336">
        <f>SUM(M19:M26)</f>
        <v>6868.43</v>
      </c>
      <c r="N27" s="1332">
        <f t="shared" ref="N27:O27" si="10">SUM(N19:N26)</f>
        <v>0</v>
      </c>
      <c r="O27" s="1333">
        <f t="shared" si="10"/>
        <v>0</v>
      </c>
      <c r="P27" s="1334">
        <f>SUM(P19:P26)</f>
        <v>0</v>
      </c>
      <c r="R27" s="1195" t="str">
        <f>IF(SUM(R19:R26)=$D$3,SUM(R19:R26),SUM(R19:R26)&amp;"误差"&amp;ROUND(SUM(R19:R26)-$D$3,2))</f>
        <v>42974.45误差-624.05</v>
      </c>
      <c r="S27" s="1193" t="str">
        <f>IF(SUM(S19:S26)=$E$3,SUM(S19:S26),SUM(S19:S26)&amp;"误差"&amp;ROUND(SUM(S19:S26)-E3,2))</f>
        <v>117744.8误差-1709.79</v>
      </c>
    </row>
    <row r="28" spans="1:19">
      <c r="A28" s="2186"/>
      <c r="B28" s="50" t="s">
        <v>1957</v>
      </c>
      <c r="C28" s="1197" t="s">
        <v>1958</v>
      </c>
      <c r="D28" s="48">
        <f>ROUND($D$3*E28/$E$3,2)</f>
        <v>2506.84</v>
      </c>
      <c r="E28" s="55">
        <f>SUM(F28:G28)</f>
        <v>6868.4300000000012</v>
      </c>
      <c r="F28" s="63">
        <f>'数据-基础表'!BQ5+'数据-基础表'!BS5</f>
        <v>544.01499999999999</v>
      </c>
      <c r="G28" s="64">
        <f>'数据-基础表'!BR5+'数据-基础表'!BT5</f>
        <v>6324.4150000000009</v>
      </c>
      <c r="H28" s="1324"/>
      <c r="I28" s="1324"/>
      <c r="J28" s="1324"/>
      <c r="K28" s="1324"/>
      <c r="L28" s="1324"/>
      <c r="M28" s="1324"/>
      <c r="N28" s="1324"/>
      <c r="O28" s="1324"/>
      <c r="P28" s="1324"/>
    </row>
    <row r="29" spans="1:19">
      <c r="A29" s="2186"/>
      <c r="B29" s="50" t="s">
        <v>1957</v>
      </c>
      <c r="C29" s="2190" t="s">
        <v>1959</v>
      </c>
      <c r="D29" s="48">
        <f>ROUND($D$3*E29/$E$3,2)</f>
        <v>624.04</v>
      </c>
      <c r="E29" s="55">
        <f>SUM(F29:G29)</f>
        <v>1709.7899999999995</v>
      </c>
      <c r="F29" s="65">
        <f>'数据-基础表'!BM5+'数据-基础表'!BO5</f>
        <v>1709.7899999999995</v>
      </c>
      <c r="G29" s="66">
        <f>'数据-基础表'!BN5+'数据-基础表'!BP5</f>
        <v>0</v>
      </c>
      <c r="H29" s="1324"/>
      <c r="I29" s="1324"/>
      <c r="J29" s="1324"/>
      <c r="K29" s="1324"/>
      <c r="L29" s="1324"/>
      <c r="M29" s="1324"/>
      <c r="N29" s="1324"/>
      <c r="O29" s="1324"/>
      <c r="P29" s="1324"/>
    </row>
    <row r="30" spans="1:19" ht="15">
      <c r="A30" s="2186"/>
      <c r="B30" s="50"/>
      <c r="C30" s="2191" t="s">
        <v>1956</v>
      </c>
      <c r="D30" s="1325">
        <f>SUM(D28:D29)</f>
        <v>3130.88</v>
      </c>
      <c r="E30" s="1325">
        <f>SUM(E28:E29)</f>
        <v>8578.2200000000012</v>
      </c>
      <c r="F30" s="1325">
        <f>SUM(F28:F29)</f>
        <v>2253.8049999999994</v>
      </c>
      <c r="G30" s="1327">
        <f>SUM(G28:G29)</f>
        <v>6324.4150000000009</v>
      </c>
      <c r="H30" s="1324"/>
      <c r="I30" s="1324"/>
      <c r="J30" s="1324"/>
      <c r="K30" s="1324"/>
      <c r="L30" s="1324"/>
      <c r="M30" s="1324"/>
      <c r="N30" s="1324"/>
      <c r="O30" s="1324"/>
      <c r="P30" s="1324"/>
    </row>
    <row r="31" spans="1:19" ht="15.75" thickBot="1">
      <c r="A31" s="2192"/>
      <c r="B31" s="2193"/>
      <c r="C31" s="953" t="s">
        <v>1960</v>
      </c>
      <c r="D31" s="672">
        <f>D27+D30</f>
        <v>43598.5</v>
      </c>
      <c r="E31" s="672">
        <f>E27+E30</f>
        <v>119454.59</v>
      </c>
      <c r="F31" s="673">
        <f>F27+F30</f>
        <v>82974.904999999984</v>
      </c>
      <c r="G31" s="674">
        <f>G27+G30</f>
        <v>36479.684999999998</v>
      </c>
      <c r="H31" s="1324"/>
      <c r="I31" s="1324"/>
      <c r="J31" s="1324"/>
      <c r="K31" s="1324"/>
      <c r="L31" s="1324"/>
      <c r="M31" s="1324"/>
      <c r="N31" s="1324"/>
      <c r="O31" s="1324"/>
      <c r="P31" s="1324"/>
    </row>
    <row r="32" spans="1:19">
      <c r="A32" s="2157"/>
      <c r="B32" s="2157" t="s">
        <v>1961</v>
      </c>
      <c r="C32" s="2157"/>
      <c r="D32" s="2157"/>
      <c r="E32" s="1206">
        <f>SUMIF(C19:C26,"*住宅*",E19:E26)</f>
        <v>0</v>
      </c>
      <c r="F32" s="2157"/>
      <c r="G32" s="2157"/>
      <c r="H32" s="1324"/>
      <c r="I32" s="1324"/>
      <c r="J32" s="1324"/>
      <c r="K32" s="1324"/>
      <c r="L32" s="1324"/>
      <c r="M32" s="1324"/>
      <c r="N32" s="1324"/>
      <c r="O32" s="1324"/>
      <c r="P32" s="1324"/>
    </row>
    <row r="33" spans="4:4">
      <c r="D33" s="21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5" sqref="E24:E25"/>
    </sheetView>
  </sheetViews>
  <sheetFormatPr defaultColWidth="13.75" defaultRowHeight="12.75"/>
  <cols>
    <col min="1" max="1" width="20.875" style="2207" customWidth="1"/>
    <col min="2" max="2" width="12" style="2197" customWidth="1"/>
    <col min="3" max="3" width="10.75" style="2197" customWidth="1"/>
    <col min="4" max="4" width="9.125" style="2208" customWidth="1"/>
    <col min="5" max="5" width="15" style="2197" bestFit="1" customWidth="1"/>
    <col min="6" max="10" width="8.875" style="2197" customWidth="1"/>
    <col min="11" max="12" width="12.375" style="2113" customWidth="1"/>
    <col min="13" max="13" width="8.625" style="2197" customWidth="1"/>
    <col min="14" max="14" width="11.875" style="2197" customWidth="1"/>
    <col min="15" max="15" width="8.5" style="2197" customWidth="1"/>
    <col min="16" max="17" width="10.875" style="2197" customWidth="1"/>
    <col min="18" max="19" width="12.5" style="2197" customWidth="1"/>
    <col min="20" max="20" width="12.125" style="2197" customWidth="1"/>
    <col min="21" max="21" width="7.5" style="2197" customWidth="1"/>
    <col min="22" max="22" width="6.375" style="2197" customWidth="1"/>
    <col min="23" max="30" width="6.75" style="2197" customWidth="1"/>
    <col min="31" max="31" width="8" style="2197" customWidth="1"/>
    <col min="32" max="34" width="7.25" style="2197" customWidth="1"/>
    <col min="35" max="39" width="8" style="2197" customWidth="1"/>
    <col min="40" max="40" width="13.75" style="2196"/>
    <col min="41" max="41" width="11.625" style="2196" customWidth="1"/>
    <col min="42" max="42" width="9.75" style="2196" customWidth="1"/>
    <col min="43" max="67" width="13.75" style="2196"/>
    <col min="68" max="16384" width="13.75" style="2197"/>
  </cols>
  <sheetData>
    <row r="1" spans="1:67" ht="13.5" thickBot="1">
      <c r="A1" s="2920" t="s">
        <v>3460</v>
      </c>
      <c r="B1" s="675"/>
      <c r="C1" s="1511"/>
      <c r="D1" s="2195"/>
      <c r="E1" s="1511"/>
      <c r="F1" s="1511"/>
      <c r="G1" s="1511"/>
      <c r="H1" s="1511"/>
      <c r="I1" s="1511"/>
      <c r="J1" s="1511"/>
      <c r="K1" s="111"/>
      <c r="L1" s="1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1"/>
      <c r="AM1" s="1511"/>
    </row>
    <row r="2" spans="1:67" ht="13.5" thickBot="1">
      <c r="A2" s="2921" t="s">
        <v>3461</v>
      </c>
      <c r="B2" s="2922">
        <f>项目基本情况!D3</f>
        <v>43284</v>
      </c>
      <c r="C2" s="1511"/>
      <c r="D2" s="2195"/>
      <c r="E2" s="1511"/>
      <c r="F2" s="1511"/>
      <c r="G2" s="1511"/>
      <c r="H2" s="1511"/>
      <c r="I2" s="1511"/>
      <c r="J2" s="1511"/>
      <c r="K2" s="111"/>
      <c r="L2" s="1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row>
    <row r="3" spans="1:67" ht="13.5" thickBot="1">
      <c r="A3" s="2923"/>
      <c r="B3" s="675"/>
      <c r="C3" s="1511"/>
      <c r="D3" s="2195"/>
      <c r="E3" s="1511"/>
      <c r="F3" s="1511"/>
      <c r="G3" s="1511"/>
      <c r="H3" s="1511"/>
      <c r="I3" s="1511"/>
      <c r="J3" s="1511"/>
      <c r="K3" s="111"/>
      <c r="L3" s="1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row>
    <row r="4" spans="1:67" ht="13.5" thickBot="1">
      <c r="A4" s="2924" t="s">
        <v>3462</v>
      </c>
      <c r="B4" s="2925"/>
      <c r="C4" s="2926"/>
      <c r="D4" s="2927"/>
      <c r="E4" s="2926" t="s">
        <v>3463</v>
      </c>
      <c r="F4" s="2926"/>
      <c r="G4" s="2926"/>
      <c r="H4" s="2926"/>
      <c r="I4" s="2926"/>
      <c r="J4" s="2928"/>
      <c r="K4" s="2929"/>
      <c r="L4" s="2930"/>
      <c r="M4" s="2926"/>
      <c r="N4" s="2926" t="s">
        <v>3464</v>
      </c>
      <c r="O4" s="2926"/>
      <c r="P4" s="2926"/>
      <c r="Q4" s="2926"/>
      <c r="R4" s="2926"/>
      <c r="S4" s="2928"/>
      <c r="T4" s="2931" t="str">
        <f>'数据-汇总表'!I17</f>
        <v>按面积比例</v>
      </c>
      <c r="U4" s="2925" t="s">
        <v>3465</v>
      </c>
      <c r="V4" s="2926"/>
      <c r="W4" s="2926"/>
      <c r="X4" s="2926"/>
      <c r="Y4" s="2928"/>
      <c r="Z4" s="2932" t="s">
        <v>3466</v>
      </c>
      <c r="AA4" s="2932"/>
      <c r="AB4" s="2932"/>
      <c r="AC4" s="2932"/>
      <c r="AD4" s="2932"/>
      <c r="AE4" s="2933" t="s">
        <v>3467</v>
      </c>
      <c r="AF4" s="2932"/>
      <c r="AG4" s="2934"/>
      <c r="AH4" s="2925"/>
      <c r="AI4" s="2926"/>
      <c r="AJ4" s="2926"/>
      <c r="AK4" s="2926"/>
      <c r="AL4" s="2926"/>
      <c r="AM4" s="2928"/>
    </row>
    <row r="5" spans="1:67" s="2207" customFormat="1" ht="37.5">
      <c r="A5" s="2935" t="s">
        <v>3468</v>
      </c>
      <c r="B5" s="2936" t="s">
        <v>3469</v>
      </c>
      <c r="C5" s="2937" t="s">
        <v>3470</v>
      </c>
      <c r="D5" s="2938" t="s">
        <v>3471</v>
      </c>
      <c r="E5" s="2939" t="s">
        <v>3472</v>
      </c>
      <c r="F5" s="2940" t="s">
        <v>3473</v>
      </c>
      <c r="G5" s="2939" t="s">
        <v>3474</v>
      </c>
      <c r="H5" s="2939" t="s">
        <v>3475</v>
      </c>
      <c r="I5" s="2939" t="s">
        <v>3476</v>
      </c>
      <c r="J5" s="2941" t="s">
        <v>3477</v>
      </c>
      <c r="K5" s="2942" t="s">
        <v>3478</v>
      </c>
      <c r="L5" s="2943" t="s">
        <v>3479</v>
      </c>
      <c r="M5" s="2944" t="s">
        <v>3480</v>
      </c>
      <c r="N5" s="2945" t="s">
        <v>3481</v>
      </c>
      <c r="O5" s="2943" t="s">
        <v>3482</v>
      </c>
      <c r="P5" s="2946" t="s">
        <v>3483</v>
      </c>
      <c r="Q5" s="2947" t="s">
        <v>3484</v>
      </c>
      <c r="R5" s="2948" t="s">
        <v>3485</v>
      </c>
      <c r="S5" s="2949" t="s">
        <v>3486</v>
      </c>
      <c r="T5" s="2950" t="s">
        <v>3487</v>
      </c>
      <c r="U5" s="17" t="s">
        <v>3488</v>
      </c>
      <c r="V5" s="2939" t="s">
        <v>3489</v>
      </c>
      <c r="W5" s="2939" t="s">
        <v>3490</v>
      </c>
      <c r="X5" s="2951"/>
      <c r="Y5" s="2952" t="s">
        <v>3491</v>
      </c>
      <c r="Z5" s="2953" t="s">
        <v>3492</v>
      </c>
      <c r="AA5" s="2939" t="s">
        <v>3493</v>
      </c>
      <c r="AB5" s="2939" t="s">
        <v>3494</v>
      </c>
      <c r="AC5" s="2951"/>
      <c r="AD5" s="2951" t="s">
        <v>3495</v>
      </c>
      <c r="AE5" s="17" t="s">
        <v>3496</v>
      </c>
      <c r="AF5" s="2939" t="s">
        <v>3497</v>
      </c>
      <c r="AG5" s="2952" t="s">
        <v>3498</v>
      </c>
      <c r="AH5" s="17" t="s">
        <v>3499</v>
      </c>
      <c r="AI5" s="2953" t="s">
        <v>3500</v>
      </c>
      <c r="AJ5" s="2953" t="s">
        <v>3501</v>
      </c>
      <c r="AK5" s="2939" t="s">
        <v>3502</v>
      </c>
      <c r="AL5" s="2939" t="s">
        <v>3503</v>
      </c>
      <c r="AM5" s="2952" t="s">
        <v>3504</v>
      </c>
      <c r="AN5" s="2954" t="s">
        <v>3505</v>
      </c>
      <c r="AO5" s="312" t="s">
        <v>3506</v>
      </c>
      <c r="AP5" s="2955" t="s">
        <v>3507</v>
      </c>
      <c r="AQ5" s="2956" t="s">
        <v>3508</v>
      </c>
      <c r="AR5" s="2956" t="s">
        <v>3509</v>
      </c>
      <c r="AS5" s="2205"/>
      <c r="AT5" s="2205"/>
      <c r="AU5" s="2205"/>
      <c r="AV5" s="2205"/>
      <c r="AW5" s="2205"/>
      <c r="AX5" s="2205"/>
      <c r="AY5" s="2205"/>
      <c r="AZ5" s="2205"/>
      <c r="BA5" s="2205"/>
      <c r="BB5" s="2205"/>
      <c r="BC5" s="2205"/>
      <c r="BD5" s="2205"/>
      <c r="BE5" s="2205"/>
      <c r="BF5" s="2205"/>
      <c r="BG5" s="2205"/>
      <c r="BH5" s="2205"/>
      <c r="BI5" s="2205"/>
      <c r="BJ5" s="2205"/>
      <c r="BK5" s="2205"/>
      <c r="BL5" s="2205"/>
      <c r="BM5" s="2205"/>
      <c r="BN5" s="2205"/>
      <c r="BO5" s="2205"/>
    </row>
    <row r="6" spans="1:67">
      <c r="A6" s="2200" t="str">
        <f>'数据-汇总表'!C19</f>
        <v>小高层</v>
      </c>
      <c r="B6" s="924" t="str">
        <f>IF(A6=0,"","经营性")</f>
        <v>经营性</v>
      </c>
      <c r="C6" s="2957" t="s">
        <v>3193</v>
      </c>
      <c r="D6" s="997">
        <f>SUMIF(项目基本情况!D$12:I$12,C6,项目基本情况!D$14:I$14)</f>
        <v>70</v>
      </c>
      <c r="E6" s="994">
        <f>IF(B6="","",SUMIF(项目基本情况!D$12:I$12,C6,项目基本情况!D$13:I$13))</f>
        <v>68110</v>
      </c>
      <c r="F6" s="2958">
        <f>SUMIF(项目基本情况!D$12:I$12,C6,项目基本情况!D$15:I$15)</f>
        <v>68.010000000000005</v>
      </c>
      <c r="G6" s="2959">
        <f>IF(ISERROR(ROUND(POWER(1+H6,D6-F6)*(POWER(1+H6,F6)-1)/(POWER(1+H6,D6)-1),3)),0,ROUND(POWER(1+H6,D6-F6)*(POWER(1+H6,F6)-1)/(POWER(1+H6,D6)-1),3))</f>
        <v>0.996</v>
      </c>
      <c r="H6" s="745">
        <v>4.4999999999999998E-2</v>
      </c>
      <c r="I6" s="745">
        <v>0.05</v>
      </c>
      <c r="J6" s="2960">
        <v>8.5000000000000006E-2</v>
      </c>
      <c r="K6" s="1196">
        <f>SUMIF('数据-汇总表'!C$19:C$33,A6,'数据-汇总表'!E$19:E$33)</f>
        <v>76697.34</v>
      </c>
      <c r="L6" s="746">
        <v>4000</v>
      </c>
      <c r="M6" s="979">
        <f t="shared" ref="M6:M14" si="0">ROUND(K6*L6/10000,0)</f>
        <v>30679</v>
      </c>
      <c r="N6" s="744">
        <v>0.6</v>
      </c>
      <c r="O6" s="979">
        <f>IF($N$5="成新度","——",ROUND(M6*N6,0))</f>
        <v>18407</v>
      </c>
      <c r="P6" s="2961">
        <f>IF($N$5="成新度","——",M6-O6)</f>
        <v>12272</v>
      </c>
      <c r="Q6" s="747">
        <v>0.05</v>
      </c>
      <c r="R6" s="1196">
        <f ca="1">SUMIF('数据-汇总表'!C$19:C$33,A6,'数据-汇总表'!R$19:R$27)</f>
        <v>29727.040000000001</v>
      </c>
      <c r="S6" s="2136">
        <f>IF('数据-汇总表'!$I$17="按面积比例",SUMIF('数据-汇总表'!C$19:C$33,A6,'数据-汇总表'!K$19:K$33),SUMIF('数据-汇总表'!C$19:C$33,A6,'数据-汇总表'!N$19:N$33))</f>
        <v>4751.1499999999996</v>
      </c>
      <c r="T6" s="2962">
        <f>ROUND($L$14*S6/10000,0)</f>
        <v>1425</v>
      </c>
      <c r="U6" s="748"/>
      <c r="V6" s="749"/>
      <c r="W6" s="749"/>
      <c r="X6" s="2963"/>
      <c r="Y6" s="750"/>
      <c r="Z6" s="2964"/>
      <c r="AA6" s="2960"/>
      <c r="AB6" s="2960"/>
      <c r="AC6" s="2963"/>
      <c r="AD6" s="2965"/>
      <c r="AE6" s="2966">
        <f ca="1">IF(AN6="",0,SUMIF(INDIRECT("'"&amp;AN6&amp;"'"&amp;"!E:E"),$AE$5,INDIRECT("'"&amp;AN6&amp;"'"&amp;"!F:F")))</f>
        <v>0</v>
      </c>
      <c r="AF6" s="58"/>
      <c r="AG6" s="1054">
        <f>IF(AF6="",0,AE6-AF6)</f>
        <v>0</v>
      </c>
      <c r="AH6" s="751"/>
      <c r="AI6" s="2345"/>
      <c r="AJ6" s="2967"/>
      <c r="AK6" s="752"/>
      <c r="AL6" s="753"/>
      <c r="AM6" s="754"/>
      <c r="AN6" s="2968"/>
      <c r="AO6" s="24" t="e">
        <f ca="1">SUMIF(INDIRECT("'"&amp;AN6&amp;"'"&amp;"!A:A"),"总价",INDIRECT("'"&amp;AN6&amp;"'"&amp;"!B:B"))</f>
        <v>#REF!</v>
      </c>
      <c r="AP6" s="2969">
        <f>IF(C6="住宅",K6*L6,0)</f>
        <v>306789360</v>
      </c>
      <c r="AQ6" s="24">
        <f>ROUND($L$14*$N$14*S6/10000,0)</f>
        <v>1212</v>
      </c>
      <c r="AR6" s="24">
        <f>ROUND($L$14*(1-$N$14)*S6/10000,0)</f>
        <v>214</v>
      </c>
    </row>
    <row r="7" spans="1:67">
      <c r="A7" s="2200" t="str">
        <f>'数据-汇总表'!C20</f>
        <v>保障房</v>
      </c>
      <c r="B7" s="924" t="str">
        <f t="shared" ref="B7:B13" si="1">IF(A7=0,"","经营性")</f>
        <v>经营性</v>
      </c>
      <c r="C7" s="2957" t="s">
        <v>3193</v>
      </c>
      <c r="D7" s="997">
        <f>SUMIF(项目基本情况!D$12:I$12,C7,项目基本情况!D$14:I$14)</f>
        <v>70</v>
      </c>
      <c r="E7" s="994">
        <f>IF(B7="","",SUMIF(项目基本情况!D$12:I$12,C7,项目基本情况!D$13:I$13))</f>
        <v>68110</v>
      </c>
      <c r="F7" s="2958">
        <f>SUMIF(项目基本情况!D$12:I$12,C7,项目基本情况!D$15:I$15)</f>
        <v>68.010000000000005</v>
      </c>
      <c r="G7" s="2959">
        <f t="shared" ref="G7:G11" si="2">IF(ISERROR(ROUND(POWER(1+H7,D7-F7)*(POWER(1+H7,F7)-1)/(POWER(1+H7,D7)-1),3)),0,ROUND(POWER(1+H7,D7-F7)*(POWER(1+H7,F7)-1)/(POWER(1+H7,D7)-1),3))</f>
        <v>0.996</v>
      </c>
      <c r="H7" s="745">
        <v>4.4999999999999998E-2</v>
      </c>
      <c r="I7" s="745">
        <v>0.05</v>
      </c>
      <c r="J7" s="2960">
        <v>8.5000000000000006E-2</v>
      </c>
      <c r="K7" s="1196">
        <f>SUMIF('数据-汇总表'!C$19:C$33,A7,'数据-汇总表'!E$19:E$33)</f>
        <v>4023.76</v>
      </c>
      <c r="L7" s="746">
        <v>3000</v>
      </c>
      <c r="M7" s="979">
        <f t="shared" si="0"/>
        <v>1207</v>
      </c>
      <c r="N7" s="744">
        <v>0.85</v>
      </c>
      <c r="O7" s="979">
        <f t="shared" ref="O7:O14" si="3">IF($N$5="成新度","——",ROUND(M7*N7,0))</f>
        <v>1026</v>
      </c>
      <c r="P7" s="2961">
        <f t="shared" ref="P7:P14" si="4">IF($N$5="成新度","——",M7-O7)</f>
        <v>181</v>
      </c>
      <c r="Q7" s="747">
        <v>1E-8</v>
      </c>
      <c r="R7" s="1196">
        <f ca="1">SUMIF('数据-汇总表'!C$19:C$33,A7,'数据-汇总表'!R$19:R$27)</f>
        <v>1559.56</v>
      </c>
      <c r="S7" s="2136">
        <f>IF('数据-汇总表'!$I$17="按面积比例",SUMIF('数据-汇总表'!C$19:C$33,A7,'数据-汇总表'!K$19:K$33),SUMIF('数据-汇总表'!C$19:C$33,A7,'数据-汇总表'!N$19:N$33))</f>
        <v>249.26</v>
      </c>
      <c r="T7" s="2962">
        <f t="shared" ref="T7:T13" si="5">ROUND($L$14*S7/10000,0)</f>
        <v>75</v>
      </c>
      <c r="U7" s="748"/>
      <c r="V7" s="749"/>
      <c r="W7" s="749"/>
      <c r="X7" s="2963"/>
      <c r="Y7" s="750"/>
      <c r="Z7" s="2964"/>
      <c r="AA7" s="2960"/>
      <c r="AB7" s="2960"/>
      <c r="AC7" s="2963"/>
      <c r="AD7" s="2965"/>
      <c r="AE7" s="2966">
        <f t="shared" ref="AE7:AE13" ca="1" si="6">IF(AN7="",0,SUMIF(INDIRECT("'"&amp;AN7&amp;"'"&amp;"!E:E"),$AE$5,INDIRECT("'"&amp;AN7&amp;"'"&amp;"!F:F")))</f>
        <v>0</v>
      </c>
      <c r="AF7" s="58"/>
      <c r="AG7" s="1054">
        <f t="shared" ref="AG7:AG13" si="7">IF(AF7="",0,AE7-AF7)</f>
        <v>0</v>
      </c>
      <c r="AH7" s="751"/>
      <c r="AI7" s="2345"/>
      <c r="AJ7" s="2967"/>
      <c r="AK7" s="752"/>
      <c r="AL7" s="753"/>
      <c r="AM7" s="754"/>
      <c r="AN7" s="2968"/>
      <c r="AO7" s="24" t="e">
        <f t="shared" ref="AO7:AO13" ca="1" si="8">SUMIF(INDIRECT("'"&amp;AN7&amp;"'"&amp;"!A:A"),"总价",INDIRECT("'"&amp;AN7&amp;"'"&amp;"!B:B"))</f>
        <v>#REF!</v>
      </c>
      <c r="AP7" s="2969">
        <f t="shared" ref="AP7:AP13" si="9">IF(C7="住宅",K7*L7,0)</f>
        <v>12071280</v>
      </c>
      <c r="AQ7" s="24">
        <f t="shared" ref="AQ7:AQ13" si="10">ROUND($L$14*$N$14*S7/10000,0)</f>
        <v>64</v>
      </c>
      <c r="AR7" s="24">
        <f t="shared" ref="AR7:AR13" si="11">ROUND($L$14*(1-$N$14)*S7/10000,0)</f>
        <v>11</v>
      </c>
    </row>
    <row r="8" spans="1:67">
      <c r="A8" s="2200" t="str">
        <f>'数据-汇总表'!C21</f>
        <v>地下车库</v>
      </c>
      <c r="B8" s="924" t="str">
        <f t="shared" si="1"/>
        <v>经营性</v>
      </c>
      <c r="C8" s="2957" t="s">
        <v>3301</v>
      </c>
      <c r="D8" s="997">
        <f>SUMIF(项目基本情况!D$12:I$12,C8,项目基本情况!D$14:I$14)</f>
        <v>50</v>
      </c>
      <c r="E8" s="994">
        <f>IF(B8="","",SUMIF(项目基本情况!D$12:I$12,C8,项目基本情况!D$13:I$13))</f>
        <v>60805</v>
      </c>
      <c r="F8" s="2958">
        <f>SUMIF(项目基本情况!D$12:I$12,C8,项目基本情况!D$15:I$15)</f>
        <v>48</v>
      </c>
      <c r="G8" s="2959">
        <f t="shared" si="2"/>
        <v>0.98899999999999999</v>
      </c>
      <c r="H8" s="745">
        <v>4.4999999999999998E-2</v>
      </c>
      <c r="I8" s="745">
        <v>0.05</v>
      </c>
      <c r="J8" s="2960">
        <v>8.5000000000000006E-2</v>
      </c>
      <c r="K8" s="1196">
        <f>SUMIF('数据-汇总表'!C$19:C$33,A8,'数据-汇总表'!E$19:E$33)</f>
        <v>30155.269999999997</v>
      </c>
      <c r="L8" s="746">
        <v>3000</v>
      </c>
      <c r="M8" s="979">
        <f>ROUND(K8*L8/10000,0)</f>
        <v>9047</v>
      </c>
      <c r="N8" s="3043">
        <v>0.85</v>
      </c>
      <c r="O8" s="979">
        <f t="shared" si="3"/>
        <v>7690</v>
      </c>
      <c r="P8" s="2961">
        <f t="shared" si="4"/>
        <v>1357</v>
      </c>
      <c r="Q8" s="747">
        <v>0.03</v>
      </c>
      <c r="R8" s="1196">
        <f ca="1">SUMIF('数据-汇总表'!C$19:C$33,A8,'数据-汇总表'!R$19:R$27)</f>
        <v>11687.849999999999</v>
      </c>
      <c r="S8" s="2136">
        <f>IF('数据-汇总表'!$I$17="按面积比例",SUMIF('数据-汇总表'!C$19:C$33,A8,'数据-汇总表'!K$19:K$33),SUMIF('数据-汇总表'!C$19:C$33,A8,'数据-汇总表'!N$19:N$33))</f>
        <v>1868.02</v>
      </c>
      <c r="T8" s="2962">
        <f t="shared" si="5"/>
        <v>560</v>
      </c>
      <c r="U8" s="748">
        <v>0.8</v>
      </c>
      <c r="V8" s="749">
        <v>2.5000000000000001E-2</v>
      </c>
      <c r="W8" s="749">
        <v>0.1</v>
      </c>
      <c r="X8" s="2963"/>
      <c r="Y8" s="750">
        <v>1</v>
      </c>
      <c r="Z8" s="2964"/>
      <c r="AA8" s="2960"/>
      <c r="AB8" s="2960"/>
      <c r="AC8" s="2963"/>
      <c r="AD8" s="2965"/>
      <c r="AE8" s="2966">
        <f t="shared" ca="1" si="6"/>
        <v>47.5</v>
      </c>
      <c r="AF8" s="58"/>
      <c r="AG8" s="1054">
        <f t="shared" si="7"/>
        <v>0</v>
      </c>
      <c r="AH8" s="751"/>
      <c r="AI8" s="2345">
        <v>365</v>
      </c>
      <c r="AJ8" s="2967"/>
      <c r="AK8" s="752">
        <v>1.4999999999999999E-2</v>
      </c>
      <c r="AL8" s="753">
        <v>1.5E-3</v>
      </c>
      <c r="AM8" s="754">
        <v>0.01</v>
      </c>
      <c r="AN8" s="2968" t="s">
        <v>3319</v>
      </c>
      <c r="AO8" s="24">
        <f t="shared" ca="1" si="8"/>
        <v>11534</v>
      </c>
      <c r="AP8" s="2969">
        <f t="shared" si="9"/>
        <v>0</v>
      </c>
      <c r="AQ8" s="24">
        <f t="shared" si="10"/>
        <v>476</v>
      </c>
      <c r="AR8" s="24">
        <f t="shared" si="11"/>
        <v>84</v>
      </c>
    </row>
    <row r="9" spans="1:67" hidden="1">
      <c r="A9" s="2200">
        <f>'数据-汇总表'!C22</f>
        <v>0</v>
      </c>
      <c r="B9" s="924" t="str">
        <f t="shared" si="1"/>
        <v/>
      </c>
      <c r="C9" s="2957"/>
      <c r="D9" s="997">
        <f>SUMIF(项目基本情况!D$12:I$12,C9,项目基本情况!D$14:I$14)</f>
        <v>0</v>
      </c>
      <c r="E9" s="994" t="str">
        <f>IF(B9="","",SUMIF(项目基本情况!D$12:I$12,C9,项目基本情况!D$13:I$13))</f>
        <v/>
      </c>
      <c r="F9" s="2958">
        <f>SUMIF(项目基本情况!D$12:I$12,C9,项目基本情况!D$15:I$15)</f>
        <v>0</v>
      </c>
      <c r="G9" s="2959">
        <f t="shared" si="2"/>
        <v>0</v>
      </c>
      <c r="H9" s="745"/>
      <c r="I9" s="745"/>
      <c r="J9" s="2960"/>
      <c r="K9" s="1196">
        <f>SUMIF('数据-汇总表'!C$19:C$33,A9,'数据-汇总表'!E$19:E$33)</f>
        <v>0</v>
      </c>
      <c r="L9" s="746"/>
      <c r="M9" s="979">
        <f t="shared" si="0"/>
        <v>0</v>
      </c>
      <c r="N9" s="3043"/>
      <c r="O9" s="979">
        <f t="shared" si="3"/>
        <v>0</v>
      </c>
      <c r="P9" s="2961">
        <f t="shared" si="4"/>
        <v>0</v>
      </c>
      <c r="Q9" s="747"/>
      <c r="R9" s="1196">
        <f ca="1">SUMIF('数据-汇总表'!C$19:C$33,A9,'数据-汇总表'!R$19:R$27)</f>
        <v>0</v>
      </c>
      <c r="S9" s="2136">
        <f>IF('数据-汇总表'!$I$17="按面积比例",SUMIF('数据-汇总表'!C$19:C$33,A9,'数据-汇总表'!K$19:K$33),SUMIF('数据-汇总表'!C$19:C$33,A9,'数据-汇总表'!N$19:N$33))</f>
        <v>0</v>
      </c>
      <c r="T9" s="2962">
        <f t="shared" si="5"/>
        <v>0</v>
      </c>
      <c r="U9" s="748"/>
      <c r="V9" s="749"/>
      <c r="W9" s="749"/>
      <c r="X9" s="2963"/>
      <c r="Y9" s="750"/>
      <c r="Z9" s="2964"/>
      <c r="AA9" s="2960"/>
      <c r="AB9" s="2960"/>
      <c r="AC9" s="2963"/>
      <c r="AD9" s="2965"/>
      <c r="AE9" s="2966">
        <f t="shared" ca="1" si="6"/>
        <v>0</v>
      </c>
      <c r="AF9" s="58"/>
      <c r="AG9" s="1054">
        <f t="shared" si="7"/>
        <v>0</v>
      </c>
      <c r="AH9" s="751"/>
      <c r="AI9" s="2345"/>
      <c r="AJ9" s="2967"/>
      <c r="AK9" s="752"/>
      <c r="AL9" s="753"/>
      <c r="AM9" s="754"/>
      <c r="AN9" s="2968"/>
      <c r="AO9" s="24" t="e">
        <f t="shared" ca="1" si="8"/>
        <v>#REF!</v>
      </c>
      <c r="AP9" s="2969">
        <f t="shared" si="9"/>
        <v>0</v>
      </c>
      <c r="AQ9" s="24">
        <f t="shared" si="10"/>
        <v>0</v>
      </c>
      <c r="AR9" s="24">
        <f t="shared" si="11"/>
        <v>0</v>
      </c>
    </row>
    <row r="10" spans="1:67" hidden="1">
      <c r="A10" s="2200">
        <f>'数据-汇总表'!C23</f>
        <v>0</v>
      </c>
      <c r="B10" s="924" t="str">
        <f t="shared" si="1"/>
        <v/>
      </c>
      <c r="C10" s="2957"/>
      <c r="D10" s="997">
        <f>SUMIF(项目基本情况!D$12:I$12,C10,项目基本情况!D$14:I$14)</f>
        <v>0</v>
      </c>
      <c r="E10" s="994" t="str">
        <f>IF(B10="","",SUMIF(项目基本情况!D$12:I$12,C10,项目基本情况!D$13:I$13))</f>
        <v/>
      </c>
      <c r="F10" s="2958">
        <f>SUMIF(项目基本情况!D$12:I$12,C10,项目基本情况!D$15:I$15)</f>
        <v>0</v>
      </c>
      <c r="G10" s="2959">
        <f t="shared" si="2"/>
        <v>0</v>
      </c>
      <c r="H10" s="2960"/>
      <c r="I10" s="2960"/>
      <c r="J10" s="2960"/>
      <c r="K10" s="1196">
        <f>SUMIF('数据-汇总表'!C$19:C$33,A10,'数据-汇总表'!E$19:E$33)</f>
        <v>0</v>
      </c>
      <c r="L10" s="746"/>
      <c r="M10" s="979">
        <f t="shared" si="0"/>
        <v>0</v>
      </c>
      <c r="N10" s="3043"/>
      <c r="O10" s="979">
        <f t="shared" si="3"/>
        <v>0</v>
      </c>
      <c r="P10" s="2961">
        <f t="shared" si="4"/>
        <v>0</v>
      </c>
      <c r="Q10" s="747"/>
      <c r="R10" s="1196">
        <f ca="1">SUMIF('数据-汇总表'!C$19:C$33,A10,'数据-汇总表'!R$19:R$27)</f>
        <v>0</v>
      </c>
      <c r="S10" s="2136">
        <f>IF('数据-汇总表'!$I$17="按面积比例",SUMIF('数据-汇总表'!C$19:C$33,A10,'数据-汇总表'!K$19:K$33),SUMIF('数据-汇总表'!C$19:C$33,A10,'数据-汇总表'!N$19:N$33))</f>
        <v>0</v>
      </c>
      <c r="T10" s="2962">
        <f t="shared" si="5"/>
        <v>0</v>
      </c>
      <c r="U10" s="748"/>
      <c r="V10" s="749"/>
      <c r="W10" s="749"/>
      <c r="X10" s="2963"/>
      <c r="Y10" s="750"/>
      <c r="Z10" s="2964"/>
      <c r="AA10" s="2960"/>
      <c r="AB10" s="2960"/>
      <c r="AC10" s="2963"/>
      <c r="AD10" s="2965"/>
      <c r="AE10" s="2966">
        <f t="shared" ca="1" si="6"/>
        <v>0</v>
      </c>
      <c r="AF10" s="58"/>
      <c r="AG10" s="1054">
        <f t="shared" si="7"/>
        <v>0</v>
      </c>
      <c r="AH10" s="751"/>
      <c r="AI10" s="2345"/>
      <c r="AJ10" s="2967"/>
      <c r="AK10" s="752"/>
      <c r="AL10" s="753"/>
      <c r="AM10" s="754"/>
      <c r="AN10" s="2968"/>
      <c r="AO10" s="24" t="e">
        <f t="shared" ca="1" si="8"/>
        <v>#REF!</v>
      </c>
      <c r="AP10" s="2969">
        <f t="shared" si="9"/>
        <v>0</v>
      </c>
      <c r="AQ10" s="24">
        <f t="shared" si="10"/>
        <v>0</v>
      </c>
      <c r="AR10" s="24">
        <f t="shared" si="11"/>
        <v>0</v>
      </c>
    </row>
    <row r="11" spans="1:67" hidden="1">
      <c r="A11" s="2200">
        <f>'数据-汇总表'!C24</f>
        <v>0</v>
      </c>
      <c r="B11" s="924" t="str">
        <f t="shared" si="1"/>
        <v/>
      </c>
      <c r="C11" s="2957"/>
      <c r="D11" s="997">
        <f>SUMIF(项目基本情况!D$12:I$12,C11,项目基本情况!D$14:I$14)</f>
        <v>0</v>
      </c>
      <c r="E11" s="994" t="str">
        <f>IF(B11="","",SUMIF(项目基本情况!D$12:I$12,C11,项目基本情况!D$13:I$13))</f>
        <v/>
      </c>
      <c r="F11" s="2958">
        <f>SUMIF(项目基本情况!D$12:I$12,C11,项目基本情况!D$15:I$15)</f>
        <v>0</v>
      </c>
      <c r="G11" s="2959">
        <f t="shared" si="2"/>
        <v>0</v>
      </c>
      <c r="H11" s="2960"/>
      <c r="I11" s="2960"/>
      <c r="J11" s="2960"/>
      <c r="K11" s="1196">
        <f>SUMIF('数据-汇总表'!C$19:C$33,A11,'数据-汇总表'!E$19:E$33)</f>
        <v>0</v>
      </c>
      <c r="L11" s="746"/>
      <c r="M11" s="979">
        <f t="shared" si="0"/>
        <v>0</v>
      </c>
      <c r="N11" s="3043"/>
      <c r="O11" s="979">
        <f t="shared" si="3"/>
        <v>0</v>
      </c>
      <c r="P11" s="2961">
        <f t="shared" si="4"/>
        <v>0</v>
      </c>
      <c r="Q11" s="747"/>
      <c r="R11" s="1196">
        <f ca="1">SUMIF('数据-汇总表'!C$19:C$33,A11,'数据-汇总表'!R$19:R$27)</f>
        <v>0</v>
      </c>
      <c r="S11" s="2136">
        <f>IF('数据-汇总表'!$I$17="按面积比例",SUMIF('数据-汇总表'!C$19:C$33,A11,'数据-汇总表'!K$19:K$33),SUMIF('数据-汇总表'!C$19:C$33,A11,'数据-汇总表'!N$19:N$33))</f>
        <v>0</v>
      </c>
      <c r="T11" s="2962">
        <f t="shared" si="5"/>
        <v>0</v>
      </c>
      <c r="U11" s="751"/>
      <c r="V11" s="2960"/>
      <c r="W11" s="2960"/>
      <c r="X11" s="2963"/>
      <c r="Y11" s="750"/>
      <c r="Z11" s="2970"/>
      <c r="AA11" s="2960"/>
      <c r="AB11" s="2960"/>
      <c r="AC11" s="2963"/>
      <c r="AD11" s="2965"/>
      <c r="AE11" s="2966">
        <f t="shared" ca="1" si="6"/>
        <v>0</v>
      </c>
      <c r="AF11" s="58"/>
      <c r="AG11" s="1054">
        <f t="shared" si="7"/>
        <v>0</v>
      </c>
      <c r="AH11" s="751"/>
      <c r="AI11" s="2345"/>
      <c r="AJ11" s="2967"/>
      <c r="AK11" s="2971"/>
      <c r="AL11" s="2972"/>
      <c r="AM11" s="75"/>
      <c r="AN11" s="2968"/>
      <c r="AO11" s="24" t="e">
        <f t="shared" ca="1" si="8"/>
        <v>#REF!</v>
      </c>
      <c r="AP11" s="2969">
        <f t="shared" si="9"/>
        <v>0</v>
      </c>
      <c r="AQ11" s="24">
        <f t="shared" si="10"/>
        <v>0</v>
      </c>
      <c r="AR11" s="24">
        <f t="shared" si="11"/>
        <v>0</v>
      </c>
    </row>
    <row r="12" spans="1:67" hidden="1">
      <c r="A12" s="2200">
        <f>'数据-汇总表'!C25</f>
        <v>0</v>
      </c>
      <c r="B12" s="924" t="str">
        <f t="shared" si="1"/>
        <v/>
      </c>
      <c r="C12" s="2957"/>
      <c r="D12" s="997">
        <f>SUMIF(项目基本情况!D$12:I$12,C12,项目基本情况!D$14:I$14)</f>
        <v>0</v>
      </c>
      <c r="E12" s="994" t="str">
        <f>IF(B12="","",SUMIF(项目基本情况!D$12:I$12,C12,项目基本情况!D$13:I$13))</f>
        <v/>
      </c>
      <c r="F12" s="2958">
        <f>SUMIF(项目基本情况!D$12:I$12,C12,项目基本情况!D$15:I$15)</f>
        <v>0</v>
      </c>
      <c r="G12" s="2959">
        <f>IF(ISERROR(ROUND(POWER(1+H12,D12-F12)*(POWER(1+H12,F12)-1)/(POWER(1+H12,D12)-1),3)),0,ROUND(POWER(1+H12,D12-F12)*(POWER(1+H12,F12)-1)/(POWER(1+H12,D12)-1),3))</f>
        <v>0</v>
      </c>
      <c r="H12" s="2960"/>
      <c r="I12" s="2960"/>
      <c r="J12" s="2960"/>
      <c r="K12" s="1196">
        <f>SUMIF('数据-汇总表'!C$19:C$33,A12,'数据-汇总表'!E$19:E$33)</f>
        <v>0</v>
      </c>
      <c r="L12" s="746"/>
      <c r="M12" s="979">
        <f>ROUND(K12*L12/10000,0)</f>
        <v>0</v>
      </c>
      <c r="N12" s="3043"/>
      <c r="O12" s="979">
        <f t="shared" si="3"/>
        <v>0</v>
      </c>
      <c r="P12" s="2961">
        <f t="shared" si="4"/>
        <v>0</v>
      </c>
      <c r="Q12" s="747"/>
      <c r="R12" s="1196">
        <f ca="1">SUMIF('数据-汇总表'!C$19:C$33,A12,'数据-汇总表'!R$19:R$27)</f>
        <v>0</v>
      </c>
      <c r="S12" s="2136">
        <f>IF('数据-汇总表'!$I$17="按面积比例",SUMIF('数据-汇总表'!C$19:C$33,A12,'数据-汇总表'!K$19:K$33),SUMIF('数据-汇总表'!C$19:C$33,A12,'数据-汇总表'!N$19:N$33))</f>
        <v>0</v>
      </c>
      <c r="T12" s="2962">
        <f t="shared" si="5"/>
        <v>0</v>
      </c>
      <c r="U12" s="751"/>
      <c r="V12" s="2960"/>
      <c r="W12" s="2960"/>
      <c r="X12" s="2963"/>
      <c r="Y12" s="750"/>
      <c r="Z12" s="2970"/>
      <c r="AA12" s="2960"/>
      <c r="AB12" s="2960"/>
      <c r="AC12" s="2963"/>
      <c r="AD12" s="2965"/>
      <c r="AE12" s="2966">
        <f t="shared" ca="1" si="6"/>
        <v>0</v>
      </c>
      <c r="AF12" s="58"/>
      <c r="AG12" s="1054">
        <f t="shared" si="7"/>
        <v>0</v>
      </c>
      <c r="AH12" s="751"/>
      <c r="AI12" s="2345"/>
      <c r="AJ12" s="2967"/>
      <c r="AK12" s="2971"/>
      <c r="AL12" s="2972"/>
      <c r="AM12" s="75"/>
      <c r="AN12" s="2968"/>
      <c r="AO12" s="24" t="e">
        <f t="shared" ca="1" si="8"/>
        <v>#REF!</v>
      </c>
      <c r="AP12" s="2969">
        <f t="shared" si="9"/>
        <v>0</v>
      </c>
      <c r="AQ12" s="24">
        <f t="shared" si="10"/>
        <v>0</v>
      </c>
      <c r="AR12" s="24">
        <f t="shared" si="11"/>
        <v>0</v>
      </c>
    </row>
    <row r="13" spans="1:67" hidden="1">
      <c r="A13" s="2200">
        <f>'数据-汇总表'!C26</f>
        <v>0</v>
      </c>
      <c r="B13" s="924" t="str">
        <f t="shared" si="1"/>
        <v/>
      </c>
      <c r="C13" s="2957"/>
      <c r="D13" s="997">
        <f>SUMIF(项目基本情况!D$12:I$12,C13,项目基本情况!D$14:I$14)</f>
        <v>0</v>
      </c>
      <c r="E13" s="994" t="str">
        <f>IF(B13="","",SUMIF(项目基本情况!D$12:I$12,C13,项目基本情况!D$13:I$13))</f>
        <v/>
      </c>
      <c r="F13" s="2958">
        <f>SUMIF(项目基本情况!D$12:I$12,C13,项目基本情况!D$15:I$15)</f>
        <v>0</v>
      </c>
      <c r="G13" s="2959">
        <f>IF(ISERROR(ROUND(POWER(1+H13,D13-F13)*(POWER(1+H13,F13)-1)/(POWER(1+H13,D13)-1),3)),0,ROUND(POWER(1+H13,D13-F13)*(POWER(1+H13,F13)-1)/(POWER(1+H13,D13)-1),3))</f>
        <v>0</v>
      </c>
      <c r="H13" s="2960"/>
      <c r="I13" s="2960"/>
      <c r="J13" s="2960"/>
      <c r="K13" s="1196">
        <f>SUMIF('数据-汇总表'!C$19:C$33,A13,'数据-汇总表'!E$19:E$33)</f>
        <v>0</v>
      </c>
      <c r="L13" s="746"/>
      <c r="M13" s="979">
        <f>ROUND(K13*L13/10000,0)</f>
        <v>0</v>
      </c>
      <c r="N13" s="3043"/>
      <c r="O13" s="979">
        <f t="shared" si="3"/>
        <v>0</v>
      </c>
      <c r="P13" s="2961">
        <f t="shared" si="4"/>
        <v>0</v>
      </c>
      <c r="Q13" s="747"/>
      <c r="R13" s="1196">
        <f ca="1">SUMIF('数据-汇总表'!C$19:C$33,A13,'数据-汇总表'!R$19:R$27)</f>
        <v>0</v>
      </c>
      <c r="S13" s="2136">
        <f>IF('数据-汇总表'!$I$17="按面积比例",SUMIF('数据-汇总表'!C$19:C$33,A13,'数据-汇总表'!K$19:K$33),SUMIF('数据-汇总表'!C$19:C$33,A13,'数据-汇总表'!N$19:N$33))</f>
        <v>0</v>
      </c>
      <c r="T13" s="2962">
        <f t="shared" si="5"/>
        <v>0</v>
      </c>
      <c r="U13" s="748"/>
      <c r="V13" s="749"/>
      <c r="W13" s="749"/>
      <c r="X13" s="2963"/>
      <c r="Y13" s="750"/>
      <c r="Z13" s="2964"/>
      <c r="AA13" s="2960"/>
      <c r="AB13" s="2960"/>
      <c r="AC13" s="2963"/>
      <c r="AD13" s="2965"/>
      <c r="AE13" s="2966">
        <f t="shared" ca="1" si="6"/>
        <v>0</v>
      </c>
      <c r="AF13" s="58"/>
      <c r="AG13" s="1054">
        <f t="shared" si="7"/>
        <v>0</v>
      </c>
      <c r="AH13" s="751"/>
      <c r="AI13" s="2345"/>
      <c r="AJ13" s="2967"/>
      <c r="AK13" s="752"/>
      <c r="AL13" s="753"/>
      <c r="AM13" s="754"/>
      <c r="AN13" s="2968"/>
      <c r="AO13" s="24" t="e">
        <f t="shared" ca="1" si="8"/>
        <v>#REF!</v>
      </c>
      <c r="AP13" s="2969">
        <f t="shared" si="9"/>
        <v>0</v>
      </c>
      <c r="AQ13" s="24">
        <f t="shared" si="10"/>
        <v>0</v>
      </c>
      <c r="AR13" s="24">
        <f t="shared" si="11"/>
        <v>0</v>
      </c>
    </row>
    <row r="14" spans="1:67">
      <c r="A14" s="2973" t="s">
        <v>3510</v>
      </c>
      <c r="B14" s="924" t="s">
        <v>3511</v>
      </c>
      <c r="C14" s="2974" t="s">
        <v>3510</v>
      </c>
      <c r="D14" s="997"/>
      <c r="E14" s="994"/>
      <c r="F14" s="2958"/>
      <c r="G14" s="2959"/>
      <c r="H14" s="2975"/>
      <c r="I14" s="2975"/>
      <c r="J14" s="2975"/>
      <c r="K14" s="1196">
        <f>SUMIF('数据-汇总表'!C$19:C$33,A14,'数据-汇总表'!E$19:E$33)</f>
        <v>6868.4300000000012</v>
      </c>
      <c r="L14" s="746">
        <v>3000</v>
      </c>
      <c r="M14" s="979">
        <f t="shared" si="0"/>
        <v>2061</v>
      </c>
      <c r="N14" s="3043">
        <v>0.85</v>
      </c>
      <c r="O14" s="979">
        <f t="shared" si="3"/>
        <v>1752</v>
      </c>
      <c r="P14" s="2961">
        <f t="shared" si="4"/>
        <v>309</v>
      </c>
      <c r="Q14" s="2976"/>
      <c r="R14" s="1196"/>
      <c r="S14" s="2136"/>
      <c r="T14" s="2962"/>
      <c r="U14" s="2977"/>
      <c r="V14" s="2978"/>
      <c r="W14" s="2978"/>
      <c r="X14" s="2979"/>
      <c r="Y14" s="2980"/>
      <c r="Z14" s="2981"/>
      <c r="AA14" s="2982"/>
      <c r="AB14" s="2982"/>
      <c r="AC14" s="2963"/>
      <c r="AD14" s="2979"/>
      <c r="AE14" s="2966"/>
      <c r="AF14" s="24"/>
      <c r="AG14" s="1054"/>
      <c r="AH14" s="2966"/>
      <c r="AI14" s="2918"/>
      <c r="AJ14" s="659"/>
      <c r="AK14" s="127"/>
      <c r="AL14" s="2983"/>
      <c r="AM14" s="310"/>
    </row>
    <row r="15" spans="1:67">
      <c r="A15" s="2973" t="s">
        <v>3512</v>
      </c>
      <c r="B15" s="924" t="s">
        <v>3511</v>
      </c>
      <c r="C15" s="2974" t="s">
        <v>3513</v>
      </c>
      <c r="D15" s="997"/>
      <c r="E15" s="994"/>
      <c r="F15" s="2958"/>
      <c r="G15" s="2959"/>
      <c r="H15" s="2975"/>
      <c r="I15" s="2975"/>
      <c r="J15" s="2975"/>
      <c r="K15" s="1196">
        <f>SUMIF('数据-汇总表'!C$19:C$33,A15,'数据-汇总表'!E$19:E$33)</f>
        <v>1709.7899999999995</v>
      </c>
      <c r="L15" s="929"/>
      <c r="M15" s="979"/>
      <c r="N15" s="930"/>
      <c r="O15" s="979"/>
      <c r="P15" s="2961"/>
      <c r="Q15" s="2976"/>
      <c r="R15" s="1196"/>
      <c r="S15" s="2136"/>
      <c r="T15" s="2962"/>
      <c r="U15" s="2977"/>
      <c r="V15" s="2978"/>
      <c r="W15" s="2978"/>
      <c r="X15" s="2979"/>
      <c r="Y15" s="2980"/>
      <c r="Z15" s="2981"/>
      <c r="AA15" s="2982"/>
      <c r="AB15" s="2982"/>
      <c r="AC15" s="2963"/>
      <c r="AD15" s="2979"/>
      <c r="AE15" s="2966"/>
      <c r="AF15" s="24"/>
      <c r="AG15" s="1054"/>
      <c r="AH15" s="2966"/>
      <c r="AI15" s="2918"/>
      <c r="AJ15" s="659"/>
      <c r="AK15" s="127"/>
      <c r="AL15" s="2983"/>
      <c r="AM15" s="310"/>
    </row>
    <row r="16" spans="1:67" ht="13.5" thickBot="1">
      <c r="A16" s="2984" t="s">
        <v>3514</v>
      </c>
      <c r="B16" s="2985"/>
      <c r="C16" s="2986"/>
      <c r="D16" s="2987"/>
      <c r="E16" s="2985"/>
      <c r="F16" s="2985"/>
      <c r="G16" s="2988">
        <f>ROUND(SUMPRODUCT(G6:G13,K6:K13)/SUMPRODUCT((G6:G13&gt;0)*(K6:K13)),3)</f>
        <v>0.99399999999999999</v>
      </c>
      <c r="H16" s="2989">
        <f>ROUND(SUMPRODUCT(H6:H13,K6:K13)/SUMPRODUCT((H6:H13&gt;0)*(K6:K13)),3)</f>
        <v>4.4999999999999998E-2</v>
      </c>
      <c r="I16" s="2990"/>
      <c r="J16" s="2990"/>
      <c r="K16" s="2991">
        <f>SUM(K6:K15)</f>
        <v>119454.59</v>
      </c>
      <c r="L16" s="2992">
        <f>ROUND(M16*10000/SUM(K6:K14),0)</f>
        <v>3651</v>
      </c>
      <c r="M16" s="2992">
        <f>SUM(M6:M14)</f>
        <v>42994</v>
      </c>
      <c r="N16" s="2993">
        <f>ROUND(SUMPRODUCT(M6:M14,N6:N14)/M16,3)</f>
        <v>0.67200000000000004</v>
      </c>
      <c r="O16" s="2992">
        <f>SUM(O6:O14)</f>
        <v>28875</v>
      </c>
      <c r="P16" s="2992">
        <f>SUM(P6:P14)</f>
        <v>14119</v>
      </c>
      <c r="Q16" s="2994">
        <f>ROUND(SUMPRODUCT(Q6:Q13,K6:K13)/SUMPRODUCT((Q6:Q13&gt;0)*(K6:K13)),2)</f>
        <v>0.04</v>
      </c>
      <c r="R16" s="2995">
        <f ca="1">SUM(R6:R13)</f>
        <v>42974.45</v>
      </c>
      <c r="S16" s="2996">
        <f>SUM(S6:S13)</f>
        <v>6868.43</v>
      </c>
      <c r="T16" s="2997" t="str">
        <f>IF(SUMIF(T6:T13,"&lt;9E307")=M14,SUMIF(T6:T13,"&lt;9E307"),"有误，请检查")</f>
        <v>有误，请检查</v>
      </c>
      <c r="U16" s="2998"/>
      <c r="V16" s="326"/>
      <c r="W16" s="326"/>
      <c r="X16" s="2999"/>
      <c r="Y16" s="3000"/>
      <c r="Z16" s="3001"/>
      <c r="AA16" s="326"/>
      <c r="AB16" s="326"/>
      <c r="AC16" s="2999"/>
      <c r="AD16" s="2999"/>
      <c r="AE16" s="2998"/>
      <c r="AF16" s="326"/>
      <c r="AG16" s="3000"/>
      <c r="AH16" s="2998"/>
      <c r="AI16" s="3001"/>
      <c r="AJ16" s="3001"/>
      <c r="AK16" s="326"/>
      <c r="AL16" s="326"/>
      <c r="AM16" s="3000"/>
    </row>
    <row r="17" spans="1:67" ht="13.5" thickBot="1">
      <c r="A17" s="2201"/>
      <c r="B17" s="675"/>
      <c r="C17" s="1511"/>
      <c r="D17" s="2195"/>
      <c r="E17" s="2195"/>
      <c r="F17" s="1511"/>
      <c r="G17" s="1511"/>
      <c r="H17" s="1511"/>
      <c r="I17" s="1511"/>
      <c r="J17" s="1511"/>
      <c r="K17" s="111"/>
      <c r="L17" s="111"/>
      <c r="M17" s="1511"/>
      <c r="N17" s="1511"/>
      <c r="O17" s="1511"/>
      <c r="P17" s="1511"/>
      <c r="Q17" s="1511"/>
      <c r="R17" s="1511"/>
      <c r="S17" s="1511"/>
      <c r="T17" s="1511"/>
      <c r="U17" s="1511"/>
      <c r="V17" s="1511"/>
      <c r="W17" s="1511"/>
      <c r="X17" s="1511"/>
      <c r="Y17" s="1511"/>
      <c r="Z17" s="1511"/>
      <c r="AA17" s="1511"/>
      <c r="AB17" s="1511"/>
      <c r="AC17" s="1511"/>
      <c r="AD17" s="1511"/>
      <c r="AE17" s="1511"/>
      <c r="AF17" s="1511"/>
      <c r="AG17" s="1511"/>
      <c r="AH17" s="1511"/>
      <c r="AI17" s="1511"/>
      <c r="AJ17" s="1511"/>
      <c r="AK17" s="1511"/>
      <c r="AL17" s="1511"/>
      <c r="AM17" s="1511"/>
    </row>
    <row r="18" spans="1:67" ht="13.5" thickBot="1">
      <c r="A18" s="2924" t="s">
        <v>3515</v>
      </c>
      <c r="B18" s="675"/>
      <c r="C18" s="1511"/>
      <c r="D18" s="2195"/>
      <c r="E18" s="1511"/>
      <c r="F18" s="1511"/>
      <c r="G18" s="1511"/>
      <c r="H18" s="1511"/>
      <c r="I18" s="1511"/>
      <c r="J18" s="1511"/>
      <c r="K18" s="111"/>
      <c r="L18" s="1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AK18" s="1511"/>
      <c r="AL18" s="1511"/>
      <c r="AM18" s="1511"/>
    </row>
    <row r="19" spans="1:67">
      <c r="A19" s="3002" t="s">
        <v>3516</v>
      </c>
      <c r="B19" s="3003">
        <v>0</v>
      </c>
      <c r="C19" s="1511" t="s">
        <v>3517</v>
      </c>
      <c r="D19" s="2195"/>
      <c r="E19" s="1511"/>
      <c r="F19" s="1511"/>
      <c r="G19" s="1511"/>
      <c r="H19" s="1511"/>
      <c r="I19" s="1511"/>
      <c r="J19" s="1511"/>
      <c r="K19" s="2916" t="s">
        <v>3304</v>
      </c>
      <c r="L19" s="3171" t="s">
        <v>3305</v>
      </c>
      <c r="M19" s="3171"/>
      <c r="N19" s="3171"/>
      <c r="O19" s="3172" t="s">
        <v>3306</v>
      </c>
      <c r="P19" s="3172"/>
      <c r="Q19" s="1511"/>
      <c r="R19" s="1511"/>
      <c r="S19" s="1511"/>
      <c r="T19" s="1511"/>
      <c r="U19" s="1511"/>
      <c r="V19" s="1511"/>
      <c r="W19" s="1511"/>
      <c r="X19" s="1511"/>
      <c r="Y19" s="1511"/>
      <c r="Z19" s="1511"/>
      <c r="AA19" s="1511"/>
      <c r="AB19" s="1511"/>
      <c r="AC19" s="1511"/>
      <c r="AD19" s="1511"/>
      <c r="AE19" s="1511"/>
      <c r="AF19" s="1511"/>
      <c r="AG19" s="1511"/>
      <c r="AH19" s="1511"/>
      <c r="AI19" s="1511"/>
      <c r="AJ19" s="1511"/>
      <c r="AK19" s="1511"/>
      <c r="AL19" s="1511"/>
      <c r="AM19" s="1511"/>
    </row>
    <row r="20" spans="1:67">
      <c r="A20" s="3004" t="s">
        <v>3518</v>
      </c>
      <c r="B20" s="3005">
        <v>2</v>
      </c>
      <c r="C20" s="1511" t="s">
        <v>3519</v>
      </c>
      <c r="D20" s="2195"/>
      <c r="E20" s="1511"/>
      <c r="F20" s="1511"/>
      <c r="G20" s="1511"/>
      <c r="H20" s="1511"/>
      <c r="I20" s="1511"/>
      <c r="J20" s="1511"/>
      <c r="K20" s="2836"/>
      <c r="L20" s="2915" t="s">
        <v>3307</v>
      </c>
      <c r="M20" s="2915" t="s">
        <v>3236</v>
      </c>
      <c r="N20" s="2915" t="s">
        <v>3238</v>
      </c>
      <c r="O20" s="3173"/>
      <c r="P20" s="3173"/>
      <c r="Q20" s="1511"/>
      <c r="R20" s="1511"/>
      <c r="S20" s="1511"/>
      <c r="T20" s="1511"/>
      <c r="U20" s="1511"/>
      <c r="V20" s="1511"/>
      <c r="W20" s="1511"/>
      <c r="X20" s="1511"/>
      <c r="Y20" s="1511"/>
      <c r="Z20" s="1511"/>
      <c r="AA20" s="1511"/>
      <c r="AB20" s="1511"/>
      <c r="AC20" s="1511"/>
      <c r="AD20" s="1511"/>
      <c r="AE20" s="1511"/>
      <c r="AF20" s="1511"/>
      <c r="AG20" s="1511"/>
      <c r="AH20" s="1511"/>
      <c r="AI20" s="1511"/>
      <c r="AJ20" s="1511"/>
      <c r="AK20" s="1511"/>
      <c r="AL20" s="1511"/>
      <c r="AM20" s="1511"/>
    </row>
    <row r="21" spans="1:67">
      <c r="A21" s="3006" t="s">
        <v>3520</v>
      </c>
      <c r="B21" s="3044">
        <v>1.5</v>
      </c>
      <c r="C21" s="1511">
        <f>B21/B20</f>
        <v>0.75</v>
      </c>
      <c r="D21" s="2195"/>
      <c r="E21" s="1511"/>
      <c r="F21" s="1511"/>
      <c r="G21" s="1511"/>
      <c r="H21" s="1511"/>
      <c r="I21" s="1511"/>
      <c r="J21" s="1511"/>
      <c r="K21" s="2837" t="s">
        <v>3308</v>
      </c>
      <c r="L21" s="2837" t="s">
        <v>3309</v>
      </c>
      <c r="M21" s="2837" t="s">
        <v>3310</v>
      </c>
      <c r="N21" s="2837" t="s">
        <v>3311</v>
      </c>
      <c r="O21" s="3174" t="s">
        <v>3312</v>
      </c>
      <c r="P21" s="3175"/>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row>
    <row r="22" spans="1:67">
      <c r="A22" s="3004" t="s">
        <v>3521</v>
      </c>
      <c r="B22" s="3007">
        <f>B19+B20</f>
        <v>2</v>
      </c>
      <c r="C22" s="1511"/>
      <c r="D22" s="2195"/>
      <c r="E22" s="1511"/>
      <c r="F22" s="1511"/>
      <c r="G22" s="1511"/>
      <c r="H22" s="1511"/>
      <c r="I22" s="1511"/>
      <c r="J22" s="1511"/>
      <c r="K22" s="111"/>
      <c r="L22" s="1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11"/>
      <c r="AI22" s="1511"/>
      <c r="AJ22" s="1511"/>
      <c r="AK22" s="1511"/>
      <c r="AL22" s="1511"/>
      <c r="AM22" s="1511"/>
    </row>
    <row r="23" spans="1:67">
      <c r="A23" s="3006" t="s">
        <v>3522</v>
      </c>
      <c r="B23" s="3007">
        <f>B19+B21</f>
        <v>1.5</v>
      </c>
      <c r="C23" s="1511"/>
      <c r="D23" s="2195"/>
      <c r="E23" s="1511"/>
      <c r="F23" s="1511"/>
      <c r="G23" s="1511"/>
      <c r="H23" s="1511"/>
      <c r="I23" s="1511"/>
      <c r="J23" s="1511"/>
      <c r="K23" s="111"/>
      <c r="L23" s="1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11"/>
      <c r="AI23" s="1511"/>
      <c r="AJ23" s="1511"/>
      <c r="AK23" s="1511"/>
      <c r="AL23" s="1511"/>
      <c r="AM23" s="1511"/>
    </row>
    <row r="24" spans="1:67" ht="13.5" thickBot="1">
      <c r="A24" s="3008" t="s">
        <v>3523</v>
      </c>
      <c r="B24" s="3009">
        <f>B20-B21</f>
        <v>0.5</v>
      </c>
      <c r="C24" s="1511"/>
      <c r="D24" s="2195"/>
      <c r="E24" s="1511"/>
      <c r="F24" s="1511"/>
      <c r="G24" s="1511"/>
      <c r="H24" s="1511"/>
      <c r="I24" s="1511"/>
      <c r="J24" s="1511"/>
      <c r="K24" s="111"/>
      <c r="L24" s="1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c r="AH24" s="1511"/>
      <c r="AI24" s="1511"/>
      <c r="AJ24" s="1511"/>
      <c r="AK24" s="1511"/>
      <c r="AL24" s="1511"/>
      <c r="AM24" s="1511"/>
    </row>
    <row r="25" spans="1:67" ht="13.5" thickBot="1">
      <c r="A25" s="2923"/>
      <c r="B25" s="675"/>
      <c r="C25" s="1511"/>
      <c r="D25" s="2195"/>
      <c r="E25" s="1511"/>
      <c r="F25" s="1511"/>
      <c r="G25" s="1511"/>
      <c r="H25" s="1511"/>
      <c r="I25" s="1511"/>
      <c r="J25" s="1511"/>
      <c r="K25" s="111"/>
      <c r="L25" s="111"/>
      <c r="M25" s="1511"/>
      <c r="N25" s="1511"/>
      <c r="O25" s="1511"/>
      <c r="P25" s="1511"/>
      <c r="Q25" s="1511"/>
      <c r="R25" s="1511"/>
      <c r="S25" s="1511"/>
      <c r="T25" s="1511"/>
      <c r="U25" s="1511"/>
      <c r="V25" s="1511"/>
      <c r="W25" s="1511"/>
      <c r="X25" s="1511"/>
      <c r="Y25" s="1511"/>
      <c r="Z25" s="1511"/>
      <c r="AA25" s="1511"/>
      <c r="AB25" s="1511"/>
      <c r="AC25" s="1511"/>
      <c r="AD25" s="1511"/>
      <c r="AE25" s="1511"/>
      <c r="AF25" s="1511"/>
      <c r="AG25" s="1511"/>
      <c r="AH25" s="1511"/>
      <c r="AI25" s="1511"/>
      <c r="AJ25" s="1511"/>
      <c r="AK25" s="1511"/>
      <c r="AL25" s="1511"/>
      <c r="AM25" s="1511"/>
    </row>
    <row r="26" spans="1:67" ht="13.5" thickBot="1">
      <c r="A26" s="2921" t="s">
        <v>3524</v>
      </c>
      <c r="B26" s="3010" t="s">
        <v>3525</v>
      </c>
      <c r="C26" s="3011" t="s">
        <v>3526</v>
      </c>
      <c r="D26" s="2195"/>
      <c r="E26" s="1511"/>
      <c r="F26" s="1511"/>
      <c r="G26" s="1511"/>
      <c r="H26" s="1511"/>
      <c r="I26" s="1511"/>
      <c r="J26" s="1511"/>
      <c r="K26" s="111"/>
      <c r="L26" s="1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row>
    <row r="27" spans="1:67" s="2202" customFormat="1">
      <c r="A27" s="3012" t="s">
        <v>3527</v>
      </c>
      <c r="B27" s="71">
        <v>430</v>
      </c>
      <c r="C27" s="3013" t="s">
        <v>3403</v>
      </c>
      <c r="D27" s="3014"/>
      <c r="E27" s="111"/>
      <c r="F27" s="111"/>
      <c r="G27" s="1511"/>
      <c r="H27" s="1511"/>
      <c r="I27" s="1511"/>
      <c r="J27" s="1511"/>
      <c r="K27" s="111"/>
      <c r="L27" s="111"/>
      <c r="M27" s="1511"/>
      <c r="N27" s="1511"/>
      <c r="O27" s="1511"/>
      <c r="P27" s="1511"/>
      <c r="Q27" s="1511"/>
      <c r="R27" s="1511"/>
      <c r="S27" s="1511"/>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row>
    <row r="28" spans="1:67" s="2202" customFormat="1">
      <c r="A28" s="3015" t="s">
        <v>3528</v>
      </c>
      <c r="B28" s="74">
        <v>430</v>
      </c>
      <c r="C28" s="3016"/>
      <c r="D28" s="3014"/>
      <c r="E28" s="111"/>
      <c r="F28" s="111"/>
      <c r="G28" s="1511"/>
      <c r="H28" s="1511"/>
      <c r="I28" s="1511"/>
      <c r="J28" s="1511"/>
      <c r="K28" s="111"/>
      <c r="L28" s="111"/>
      <c r="M28" s="1511"/>
      <c r="N28" s="1511"/>
      <c r="O28" s="1511"/>
      <c r="P28" s="1511"/>
      <c r="Q28" s="1511"/>
      <c r="R28" s="1511"/>
      <c r="S28" s="1511"/>
      <c r="T28" s="1511"/>
      <c r="U28" s="1511"/>
      <c r="V28" s="1511"/>
      <c r="W28" s="1511"/>
      <c r="X28" s="1511"/>
      <c r="Y28" s="1511"/>
      <c r="Z28" s="1511"/>
      <c r="AA28" s="1511"/>
      <c r="AB28" s="1511"/>
      <c r="AC28" s="1511"/>
      <c r="AD28" s="1511"/>
      <c r="AE28" s="1511"/>
      <c r="AF28" s="1511"/>
      <c r="AG28" s="1511"/>
      <c r="AH28" s="1511"/>
      <c r="AI28" s="1511"/>
      <c r="AJ28" s="1511"/>
      <c r="AK28" s="1511"/>
      <c r="AL28" s="1511"/>
      <c r="AM28" s="1511"/>
      <c r="AN28" s="911"/>
      <c r="AO28" s="911"/>
      <c r="AP28" s="911"/>
      <c r="AQ28" s="911"/>
      <c r="AR28" s="911"/>
      <c r="AS28" s="911"/>
      <c r="AT28" s="911"/>
      <c r="AU28" s="911"/>
      <c r="AV28" s="911"/>
      <c r="AW28" s="911"/>
      <c r="AX28" s="911"/>
      <c r="AY28" s="911"/>
      <c r="AZ28" s="911"/>
      <c r="BA28" s="911"/>
      <c r="BB28" s="911"/>
      <c r="BC28" s="911"/>
      <c r="BD28" s="911"/>
      <c r="BE28" s="911"/>
      <c r="BF28" s="911"/>
      <c r="BG28" s="911"/>
      <c r="BH28" s="911"/>
      <c r="BI28" s="911"/>
      <c r="BJ28" s="911"/>
      <c r="BK28" s="911"/>
      <c r="BL28" s="911"/>
      <c r="BM28" s="911"/>
      <c r="BN28" s="911"/>
      <c r="BO28" s="911"/>
    </row>
    <row r="29" spans="1:67" s="2202" customFormat="1" ht="25.5" thickBot="1">
      <c r="A29" s="3017" t="s">
        <v>3529</v>
      </c>
      <c r="B29" s="3046">
        <v>3400</v>
      </c>
      <c r="C29" s="3018" t="s">
        <v>3530</v>
      </c>
      <c r="D29" s="3014"/>
      <c r="E29" s="111"/>
      <c r="F29" s="111"/>
      <c r="G29" s="1511"/>
      <c r="H29" s="1511"/>
      <c r="I29" s="1511"/>
      <c r="J29" s="1511"/>
      <c r="K29" s="111"/>
      <c r="L29" s="1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911"/>
      <c r="AO29" s="911"/>
      <c r="AP29" s="911"/>
      <c r="AQ29" s="911"/>
      <c r="AR29" s="911"/>
      <c r="AS29" s="911"/>
      <c r="AT29" s="911"/>
      <c r="AU29" s="911"/>
      <c r="AV29" s="911"/>
      <c r="AW29" s="911"/>
      <c r="AX29" s="911"/>
      <c r="AY29" s="911"/>
      <c r="AZ29" s="911"/>
      <c r="BA29" s="911"/>
      <c r="BB29" s="911"/>
      <c r="BC29" s="911"/>
      <c r="BD29" s="911"/>
      <c r="BE29" s="911"/>
      <c r="BF29" s="911"/>
      <c r="BG29" s="911"/>
      <c r="BH29" s="911"/>
      <c r="BI29" s="911"/>
      <c r="BJ29" s="911"/>
      <c r="BK29" s="911"/>
      <c r="BL29" s="911"/>
      <c r="BM29" s="911"/>
      <c r="BN29" s="911"/>
      <c r="BO29" s="911"/>
    </row>
    <row r="30" spans="1:67" s="2202" customFormat="1">
      <c r="A30" s="3019" t="s">
        <v>3531</v>
      </c>
      <c r="B30" s="667">
        <v>200</v>
      </c>
      <c r="C30" s="3016"/>
      <c r="D30" s="3014"/>
      <c r="E30" s="111"/>
      <c r="F30" s="111"/>
      <c r="G30" s="1511"/>
      <c r="H30" s="1511"/>
      <c r="I30" s="1511"/>
      <c r="J30" s="1511"/>
      <c r="K30" s="111"/>
      <c r="L30" s="1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911"/>
      <c r="AO30" s="911"/>
      <c r="AP30" s="911"/>
      <c r="AQ30" s="911"/>
      <c r="AR30" s="911"/>
      <c r="AS30" s="911"/>
      <c r="AT30" s="911"/>
      <c r="AU30" s="911"/>
      <c r="AV30" s="911"/>
      <c r="AW30" s="911"/>
      <c r="AX30" s="911"/>
      <c r="AY30" s="911"/>
      <c r="AZ30" s="911"/>
      <c r="BA30" s="911"/>
      <c r="BB30" s="911"/>
      <c r="BC30" s="911"/>
      <c r="BD30" s="911"/>
      <c r="BE30" s="911"/>
      <c r="BF30" s="911"/>
      <c r="BG30" s="911"/>
      <c r="BH30" s="911"/>
      <c r="BI30" s="911"/>
      <c r="BJ30" s="911"/>
      <c r="BK30" s="911"/>
      <c r="BL30" s="911"/>
      <c r="BM30" s="911"/>
      <c r="BN30" s="911"/>
      <c r="BO30" s="911"/>
    </row>
    <row r="31" spans="1:67" s="2202" customFormat="1" ht="24">
      <c r="A31" s="3015" t="s">
        <v>3532</v>
      </c>
      <c r="B31" s="3020">
        <f>B30-B32</f>
        <v>200</v>
      </c>
      <c r="C31" s="3018"/>
      <c r="D31" s="3014"/>
      <c r="E31" s="111"/>
      <c r="F31" s="111"/>
      <c r="G31" s="1511"/>
      <c r="H31" s="1511"/>
      <c r="I31" s="1511"/>
      <c r="J31" s="1511"/>
      <c r="K31" s="111"/>
      <c r="L31" s="1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row>
    <row r="32" spans="1:67" s="2202" customFormat="1" ht="24.75" thickBot="1">
      <c r="A32" s="3021" t="s">
        <v>3533</v>
      </c>
      <c r="B32" s="668">
        <v>0</v>
      </c>
      <c r="C32" s="3016"/>
      <c r="D32" s="2195"/>
      <c r="E32" s="1511"/>
      <c r="F32" s="1511"/>
      <c r="G32" s="1511"/>
      <c r="H32" s="1511"/>
      <c r="I32" s="1511"/>
      <c r="J32" s="1511"/>
      <c r="K32" s="111"/>
      <c r="L32" s="111"/>
      <c r="M32" s="1511"/>
      <c r="N32" s="1511"/>
      <c r="O32" s="1511"/>
      <c r="P32" s="1511"/>
      <c r="Q32" s="1511"/>
      <c r="R32" s="1511"/>
      <c r="S32" s="1511"/>
      <c r="T32" s="1511"/>
      <c r="U32" s="1511"/>
      <c r="V32" s="1511"/>
      <c r="W32" s="1511"/>
      <c r="X32" s="1511"/>
      <c r="Y32" s="1511"/>
      <c r="Z32" s="1511"/>
      <c r="AA32" s="1511"/>
      <c r="AB32" s="1511"/>
      <c r="AC32" s="1511"/>
      <c r="AD32" s="1511"/>
      <c r="AE32" s="1511"/>
      <c r="AF32" s="1511"/>
      <c r="AG32" s="1511"/>
      <c r="AH32" s="1511"/>
      <c r="AI32" s="1511"/>
      <c r="AJ32" s="1511"/>
      <c r="AK32" s="1511"/>
      <c r="AL32" s="1511"/>
      <c r="AM32" s="1511"/>
      <c r="AN32" s="911"/>
      <c r="AO32" s="911"/>
      <c r="AP32" s="911"/>
      <c r="AQ32" s="911"/>
      <c r="AR32" s="911"/>
      <c r="AS32" s="911"/>
      <c r="AT32" s="911"/>
      <c r="AU32" s="911"/>
      <c r="AV32" s="911"/>
      <c r="AW32" s="911"/>
      <c r="AX32" s="911"/>
      <c r="AY32" s="911"/>
      <c r="AZ32" s="911"/>
      <c r="BA32" s="911"/>
      <c r="BB32" s="911"/>
      <c r="BC32" s="911"/>
      <c r="BD32" s="911"/>
      <c r="BE32" s="911"/>
      <c r="BF32" s="911"/>
      <c r="BG32" s="911"/>
      <c r="BH32" s="911"/>
      <c r="BI32" s="911"/>
      <c r="BJ32" s="911"/>
      <c r="BK32" s="911"/>
      <c r="BL32" s="911"/>
      <c r="BM32" s="911"/>
      <c r="BN32" s="911"/>
      <c r="BO32" s="911"/>
    </row>
    <row r="33" spans="1:67" s="2202" customFormat="1">
      <c r="A33" s="3012" t="s">
        <v>3534</v>
      </c>
      <c r="B33" s="669">
        <v>0.03</v>
      </c>
      <c r="C33" s="1693" t="s">
        <v>3535</v>
      </c>
      <c r="D33" s="2195"/>
      <c r="E33" s="1511"/>
      <c r="F33" s="1511"/>
      <c r="G33" s="1511"/>
      <c r="H33" s="1511"/>
      <c r="I33" s="1511"/>
      <c r="J33" s="1511"/>
      <c r="K33" s="111"/>
      <c r="L33" s="111"/>
      <c r="M33" s="1511"/>
      <c r="N33" s="1511"/>
      <c r="O33" s="1511"/>
      <c r="P33" s="1511"/>
      <c r="Q33" s="1511"/>
      <c r="R33" s="1511"/>
      <c r="S33" s="1511"/>
      <c r="T33" s="1511"/>
      <c r="U33" s="1511"/>
      <c r="V33" s="1511"/>
      <c r="W33" s="1511"/>
      <c r="X33" s="1511"/>
      <c r="Y33" s="1511"/>
      <c r="Z33" s="1511"/>
      <c r="AA33" s="1511"/>
      <c r="AB33" s="1511"/>
      <c r="AC33" s="1511"/>
      <c r="AD33" s="1511"/>
      <c r="AE33" s="1511"/>
      <c r="AF33" s="1511"/>
      <c r="AG33" s="1511"/>
      <c r="AH33" s="1511"/>
      <c r="AI33" s="1511"/>
      <c r="AJ33" s="1511"/>
      <c r="AK33" s="1511"/>
      <c r="AL33" s="1511"/>
      <c r="AM33" s="1511"/>
      <c r="AN33" s="911"/>
      <c r="AO33" s="911"/>
      <c r="AP33" s="911"/>
      <c r="AQ33" s="911"/>
      <c r="AR33" s="911"/>
      <c r="AS33" s="911"/>
      <c r="AT33" s="911"/>
      <c r="AU33" s="911"/>
      <c r="AV33" s="911"/>
      <c r="AW33" s="911"/>
      <c r="AX33" s="911"/>
      <c r="AY33" s="911"/>
      <c r="AZ33" s="911"/>
      <c r="BA33" s="911"/>
      <c r="BB33" s="911"/>
      <c r="BC33" s="911"/>
      <c r="BD33" s="911"/>
      <c r="BE33" s="911"/>
      <c r="BF33" s="911"/>
      <c r="BG33" s="911"/>
      <c r="BH33" s="911"/>
      <c r="BI33" s="911"/>
      <c r="BJ33" s="911"/>
      <c r="BK33" s="911"/>
      <c r="BL33" s="911"/>
      <c r="BM33" s="911"/>
      <c r="BN33" s="911"/>
      <c r="BO33" s="911"/>
    </row>
    <row r="34" spans="1:67" s="2202" customFormat="1">
      <c r="A34" s="3015" t="s">
        <v>3536</v>
      </c>
      <c r="B34" s="75">
        <v>0.03</v>
      </c>
      <c r="C34" s="1693" t="s">
        <v>3537</v>
      </c>
      <c r="D34" s="2195" t="s">
        <v>3538</v>
      </c>
      <c r="E34" s="675"/>
      <c r="F34" s="1511"/>
      <c r="G34" s="1511"/>
      <c r="H34" s="1511"/>
      <c r="I34" s="1511"/>
      <c r="J34" s="1511"/>
      <c r="K34" s="111"/>
      <c r="L34" s="1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911"/>
      <c r="AO34" s="911"/>
      <c r="AP34" s="911"/>
      <c r="AQ34" s="911"/>
      <c r="AR34" s="911"/>
      <c r="AS34" s="911"/>
      <c r="AT34" s="911"/>
      <c r="AU34" s="911"/>
      <c r="AV34" s="911"/>
      <c r="AW34" s="911"/>
      <c r="AX34" s="911"/>
      <c r="AY34" s="911"/>
      <c r="AZ34" s="911"/>
      <c r="BA34" s="911"/>
      <c r="BB34" s="911"/>
      <c r="BC34" s="911"/>
      <c r="BD34" s="911"/>
      <c r="BE34" s="911"/>
      <c r="BF34" s="911"/>
      <c r="BG34" s="911"/>
      <c r="BH34" s="911"/>
      <c r="BI34" s="911"/>
      <c r="BJ34" s="911"/>
      <c r="BK34" s="911"/>
      <c r="BL34" s="911"/>
      <c r="BM34" s="911"/>
      <c r="BN34" s="911"/>
      <c r="BO34" s="911"/>
    </row>
    <row r="35" spans="1:67" s="2202" customFormat="1">
      <c r="A35" s="3015" t="s">
        <v>3539</v>
      </c>
      <c r="B35" s="74">
        <v>200</v>
      </c>
      <c r="C35" s="1693" t="s">
        <v>3540</v>
      </c>
      <c r="D35" s="3014"/>
      <c r="E35" s="111"/>
      <c r="F35" s="111"/>
      <c r="G35" s="1511"/>
      <c r="H35" s="1511"/>
      <c r="I35" s="1511"/>
      <c r="J35" s="1511"/>
      <c r="K35" s="111"/>
      <c r="L35" s="1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911"/>
      <c r="AO35" s="911"/>
      <c r="AP35" s="911"/>
      <c r="AQ35" s="911"/>
      <c r="AR35" s="911"/>
      <c r="AS35" s="911"/>
      <c r="AT35" s="911"/>
      <c r="AU35" s="911"/>
      <c r="AV35" s="911"/>
      <c r="AW35" s="911"/>
      <c r="AX35" s="911"/>
      <c r="AY35" s="911"/>
      <c r="AZ35" s="911"/>
      <c r="BA35" s="911"/>
      <c r="BB35" s="911"/>
      <c r="BC35" s="911"/>
      <c r="BD35" s="911"/>
      <c r="BE35" s="911"/>
      <c r="BF35" s="911"/>
      <c r="BG35" s="911"/>
      <c r="BH35" s="911"/>
      <c r="BI35" s="911"/>
      <c r="BJ35" s="911"/>
      <c r="BK35" s="911"/>
      <c r="BL35" s="911"/>
      <c r="BM35" s="911"/>
      <c r="BN35" s="911"/>
      <c r="BO35" s="911"/>
    </row>
    <row r="36" spans="1:67" ht="13.5" thickBot="1">
      <c r="A36" s="3017" t="s">
        <v>3541</v>
      </c>
      <c r="B36" s="76">
        <v>1.4999999999999999E-2</v>
      </c>
      <c r="C36" s="1693" t="s">
        <v>3542</v>
      </c>
      <c r="D36" s="2195"/>
      <c r="E36" s="1511"/>
      <c r="F36" s="1511"/>
      <c r="G36" s="1511"/>
      <c r="H36" s="1511"/>
      <c r="I36" s="1511"/>
      <c r="J36" s="1511"/>
      <c r="K36" s="111"/>
      <c r="L36" s="1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row>
    <row r="37" spans="1:67">
      <c r="A37" s="3019" t="s">
        <v>3543</v>
      </c>
      <c r="B37" s="77">
        <v>0.02</v>
      </c>
      <c r="C37" s="1693" t="s">
        <v>3544</v>
      </c>
      <c r="D37" s="2195"/>
      <c r="E37" s="1511"/>
      <c r="F37" s="1511"/>
      <c r="G37" s="1511"/>
      <c r="H37" s="1511"/>
      <c r="I37" s="1511"/>
      <c r="J37" s="1511"/>
      <c r="K37" s="111"/>
      <c r="L37" s="1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row>
    <row r="38" spans="1:67">
      <c r="A38" s="3015" t="s">
        <v>1444</v>
      </c>
      <c r="B38" s="2919">
        <v>0.02</v>
      </c>
      <c r="C38" s="1693" t="s">
        <v>3544</v>
      </c>
      <c r="D38" s="2195"/>
      <c r="E38" s="1511"/>
      <c r="F38" s="1511"/>
      <c r="G38" s="1511"/>
      <c r="H38" s="1511"/>
      <c r="I38" s="1511"/>
      <c r="J38" s="1511"/>
      <c r="K38" s="111"/>
      <c r="L38" s="1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row>
    <row r="39" spans="1:67">
      <c r="A39" s="3021" t="s">
        <v>1412</v>
      </c>
      <c r="B39" s="305">
        <f ca="1">存贷款利率!I1</f>
        <v>1.4999999999999999E-2</v>
      </c>
      <c r="C39" s="1693"/>
      <c r="D39" s="2195"/>
      <c r="E39" s="1511"/>
      <c r="F39" s="1511"/>
      <c r="G39" s="1511"/>
      <c r="H39" s="1511"/>
      <c r="I39" s="1511"/>
      <c r="J39" s="1511"/>
      <c r="K39" s="111"/>
      <c r="L39" s="111"/>
      <c r="M39" s="1511"/>
      <c r="N39" s="1511"/>
      <c r="O39" s="1511"/>
      <c r="P39" s="1511"/>
      <c r="Q39" s="1511"/>
      <c r="R39" s="1511"/>
      <c r="S39" s="1511"/>
      <c r="T39" s="1511"/>
      <c r="U39" s="1511"/>
      <c r="V39" s="1511"/>
      <c r="W39" s="1511"/>
      <c r="X39" s="1511"/>
      <c r="Y39" s="1511"/>
      <c r="Z39" s="1511"/>
      <c r="AA39" s="1511"/>
      <c r="AB39" s="1511"/>
      <c r="AC39" s="1511"/>
      <c r="AD39" s="1511"/>
      <c r="AE39" s="1511"/>
      <c r="AF39" s="1511"/>
      <c r="AG39" s="1511"/>
      <c r="AH39" s="1511"/>
      <c r="AI39" s="1511"/>
      <c r="AJ39" s="1511"/>
      <c r="AK39" s="1511"/>
      <c r="AL39" s="1511"/>
      <c r="AM39" s="1511"/>
    </row>
    <row r="40" spans="1:67" ht="13.5" thickBot="1">
      <c r="A40" s="3021" t="s">
        <v>1448</v>
      </c>
      <c r="B40" s="1232">
        <f ca="1">存贷款利率!G1</f>
        <v>4.7500000000000001E-2</v>
      </c>
      <c r="C40" s="1693" t="s">
        <v>1963</v>
      </c>
      <c r="D40" s="1511"/>
      <c r="E40" s="2195"/>
      <c r="F40" s="1511"/>
      <c r="G40" s="1511"/>
      <c r="H40" s="1511"/>
      <c r="I40" s="1511"/>
      <c r="J40" s="1511"/>
      <c r="K40" s="111"/>
      <c r="L40" s="111"/>
      <c r="M40" s="1511"/>
      <c r="N40" s="1511"/>
      <c r="O40" s="1511"/>
      <c r="P40" s="1511"/>
      <c r="Q40" s="1511"/>
      <c r="R40" s="1511"/>
      <c r="S40" s="1511"/>
      <c r="T40" s="1511"/>
      <c r="U40" s="1511"/>
      <c r="V40" s="1511"/>
      <c r="W40" s="1511"/>
      <c r="X40" s="1511"/>
      <c r="Y40" s="1511"/>
      <c r="Z40" s="1511"/>
      <c r="AA40" s="1511"/>
      <c r="AB40" s="1511"/>
      <c r="AC40" s="1511"/>
      <c r="AD40" s="1511"/>
      <c r="AE40" s="1511"/>
      <c r="AF40" s="1511"/>
      <c r="AG40" s="1511"/>
      <c r="AH40" s="1511"/>
      <c r="AI40" s="1511"/>
      <c r="AJ40" s="1511"/>
      <c r="AK40" s="1511"/>
      <c r="AL40" s="1511"/>
      <c r="AM40" s="1511"/>
    </row>
    <row r="41" spans="1:67">
      <c r="A41" s="3012" t="s">
        <v>3545</v>
      </c>
      <c r="B41" s="3022">
        <f>B42+B43</f>
        <v>5.6000000000000001E-2</v>
      </c>
      <c r="C41" s="3018"/>
      <c r="D41" s="1511"/>
      <c r="E41" s="2195"/>
      <c r="F41" s="1511"/>
      <c r="G41" s="1511"/>
      <c r="H41" s="1511"/>
      <c r="I41" s="1511"/>
      <c r="J41" s="1511"/>
      <c r="K41" s="111"/>
      <c r="L41" s="111"/>
      <c r="M41" s="1511"/>
      <c r="N41" s="1511"/>
      <c r="O41" s="1511"/>
      <c r="P41" s="1511"/>
      <c r="Q41" s="1511"/>
      <c r="R41" s="1511"/>
      <c r="S41" s="1511"/>
      <c r="T41" s="1511"/>
      <c r="U41" s="1511"/>
      <c r="V41" s="1511"/>
      <c r="W41" s="1511"/>
      <c r="X41" s="1511"/>
      <c r="Y41" s="1511"/>
      <c r="Z41" s="1511"/>
      <c r="AA41" s="1511"/>
      <c r="AB41" s="1511"/>
      <c r="AC41" s="1511"/>
      <c r="AD41" s="1511"/>
      <c r="AE41" s="1511"/>
      <c r="AF41" s="1511"/>
      <c r="AG41" s="1511"/>
      <c r="AH41" s="1511"/>
      <c r="AI41" s="1511"/>
      <c r="AJ41" s="1511"/>
      <c r="AK41" s="1511"/>
      <c r="AL41" s="1511"/>
      <c r="AM41" s="1511"/>
    </row>
    <row r="42" spans="1:67">
      <c r="A42" s="2917" t="s">
        <v>3546</v>
      </c>
      <c r="B42" s="3023">
        <v>0.05</v>
      </c>
      <c r="C42" s="3024">
        <f>IF(B2&lt;DATE(2016,5,1),0,B42)</f>
        <v>0.05</v>
      </c>
      <c r="D42" s="2195"/>
      <c r="E42" s="1511"/>
      <c r="F42" s="1511"/>
      <c r="G42" s="1511"/>
      <c r="H42" s="1511"/>
      <c r="I42" s="1511"/>
      <c r="J42" s="1511"/>
      <c r="K42" s="111"/>
      <c r="L42" s="111"/>
      <c r="M42" s="1511"/>
      <c r="N42" s="1511"/>
      <c r="O42" s="1511"/>
      <c r="P42" s="1511"/>
      <c r="Q42" s="1511"/>
      <c r="R42" s="1511"/>
      <c r="S42" s="1511"/>
      <c r="T42" s="1511"/>
      <c r="U42" s="1511"/>
      <c r="V42" s="1511"/>
      <c r="W42" s="1511"/>
      <c r="X42" s="1511"/>
      <c r="Y42" s="1511"/>
      <c r="Z42" s="1511"/>
      <c r="AA42" s="1511"/>
      <c r="AB42" s="1511"/>
      <c r="AC42" s="1511"/>
      <c r="AD42" s="1511"/>
      <c r="AE42" s="1511"/>
      <c r="AF42" s="1511"/>
      <c r="AG42" s="1511"/>
      <c r="AH42" s="1511"/>
      <c r="AI42" s="1511"/>
      <c r="AJ42" s="1511"/>
      <c r="AK42" s="1511"/>
      <c r="AL42" s="1511"/>
      <c r="AM42" s="1511"/>
    </row>
    <row r="43" spans="1:67">
      <c r="A43" s="2917" t="s">
        <v>3547</v>
      </c>
      <c r="B43" s="3025">
        <f>B42*(B44+B45+B46)+B47</f>
        <v>6.000000000000001E-3</v>
      </c>
      <c r="C43" s="3018"/>
      <c r="D43" s="2195"/>
      <c r="E43" s="1511"/>
      <c r="F43" s="1511"/>
      <c r="G43" s="1511"/>
      <c r="H43" s="1511"/>
      <c r="I43" s="1511"/>
      <c r="J43" s="1511"/>
      <c r="K43" s="111"/>
      <c r="L43" s="111"/>
      <c r="M43" s="1511"/>
      <c r="N43" s="1511"/>
      <c r="O43" s="1511"/>
      <c r="P43" s="1511"/>
      <c r="Q43" s="1511"/>
      <c r="R43" s="1511"/>
      <c r="S43" s="1511"/>
      <c r="T43" s="1511"/>
      <c r="U43" s="1511"/>
      <c r="V43" s="1511"/>
      <c r="W43" s="1511"/>
      <c r="X43" s="1511"/>
      <c r="Y43" s="1511"/>
      <c r="Z43" s="1511"/>
      <c r="AA43" s="1511"/>
      <c r="AB43" s="1511"/>
      <c r="AC43" s="1511"/>
      <c r="AD43" s="1511"/>
      <c r="AE43" s="1511"/>
      <c r="AF43" s="1511"/>
      <c r="AG43" s="1511"/>
      <c r="AH43" s="1511"/>
      <c r="AI43" s="1511"/>
      <c r="AJ43" s="1511"/>
      <c r="AK43" s="1511"/>
      <c r="AL43" s="1511"/>
      <c r="AM43" s="1511"/>
    </row>
    <row r="44" spans="1:67">
      <c r="A44" s="119" t="s">
        <v>3548</v>
      </c>
      <c r="B44" s="3026">
        <v>7.0000000000000007E-2</v>
      </c>
      <c r="C44" s="1693" t="s">
        <v>3549</v>
      </c>
      <c r="D44" s="2195"/>
      <c r="E44" s="1511"/>
      <c r="F44" s="1511"/>
      <c r="G44" s="1511"/>
      <c r="H44" s="1511"/>
      <c r="I44" s="1511"/>
      <c r="J44" s="1511"/>
      <c r="K44" s="111"/>
      <c r="L44" s="111"/>
      <c r="M44" s="1511"/>
      <c r="N44" s="1511"/>
      <c r="O44" s="1511"/>
      <c r="P44" s="1511"/>
      <c r="Q44" s="1511"/>
      <c r="R44" s="1511"/>
      <c r="S44" s="1511"/>
      <c r="T44" s="1511"/>
      <c r="U44" s="1511"/>
      <c r="V44" s="1511"/>
      <c r="W44" s="1511"/>
      <c r="X44" s="1511"/>
      <c r="Y44" s="1511"/>
      <c r="Z44" s="1511"/>
      <c r="AA44" s="1511"/>
      <c r="AB44" s="1511"/>
      <c r="AC44" s="1511"/>
      <c r="AD44" s="1511"/>
      <c r="AE44" s="1511"/>
      <c r="AF44" s="1511"/>
      <c r="AG44" s="1511"/>
      <c r="AH44" s="1511"/>
      <c r="AI44" s="1511"/>
      <c r="AJ44" s="1511"/>
      <c r="AK44" s="1511"/>
      <c r="AL44" s="1511"/>
      <c r="AM44" s="1511"/>
    </row>
    <row r="45" spans="1:67">
      <c r="A45" s="119" t="s">
        <v>3550</v>
      </c>
      <c r="B45" s="3023">
        <v>0.03</v>
      </c>
      <c r="C45" s="3018" t="s">
        <v>3551</v>
      </c>
      <c r="D45" s="2195"/>
      <c r="E45" s="1511"/>
      <c r="F45" s="1511"/>
      <c r="G45" s="1511"/>
      <c r="H45" s="1511"/>
      <c r="I45" s="1511"/>
      <c r="J45" s="1511"/>
      <c r="K45" s="111"/>
      <c r="L45" s="111"/>
      <c r="M45" s="1511"/>
      <c r="N45" s="1511"/>
      <c r="O45" s="1511"/>
      <c r="P45" s="1511"/>
      <c r="Q45" s="1511"/>
      <c r="R45" s="1511"/>
      <c r="S45" s="1511"/>
      <c r="T45" s="1511"/>
      <c r="U45" s="1511"/>
      <c r="V45" s="1511"/>
      <c r="W45" s="1511"/>
      <c r="X45" s="1511"/>
      <c r="Y45" s="1511"/>
      <c r="Z45" s="1511"/>
      <c r="AA45" s="1511"/>
      <c r="AB45" s="1511"/>
      <c r="AC45" s="1511"/>
      <c r="AD45" s="1511"/>
      <c r="AE45" s="1511"/>
      <c r="AF45" s="1511"/>
      <c r="AG45" s="1511"/>
      <c r="AH45" s="1511"/>
      <c r="AI45" s="1511"/>
      <c r="AJ45" s="1511"/>
      <c r="AK45" s="1511"/>
      <c r="AL45" s="1511"/>
      <c r="AM45" s="1511"/>
    </row>
    <row r="46" spans="1:67">
      <c r="A46" s="119" t="s">
        <v>3552</v>
      </c>
      <c r="B46" s="3023">
        <v>0.02</v>
      </c>
      <c r="C46" s="3018" t="s">
        <v>3553</v>
      </c>
      <c r="D46" s="2195"/>
      <c r="E46" s="1511"/>
      <c r="F46" s="1511"/>
      <c r="G46" s="1511"/>
      <c r="H46" s="1511"/>
      <c r="I46" s="1511"/>
      <c r="J46" s="1511"/>
      <c r="K46" s="111"/>
      <c r="L46" s="1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c r="AH46" s="1511"/>
      <c r="AI46" s="1511"/>
      <c r="AJ46" s="1511"/>
      <c r="AK46" s="1511"/>
      <c r="AL46" s="1511"/>
      <c r="AM46" s="1511"/>
    </row>
    <row r="47" spans="1:67" ht="13.5" thickBot="1">
      <c r="A47" s="3027" t="s">
        <v>3554</v>
      </c>
      <c r="B47" s="3028">
        <v>0</v>
      </c>
      <c r="C47" s="3018" t="s">
        <v>3555</v>
      </c>
      <c r="D47" s="2195"/>
      <c r="E47" s="1511"/>
      <c r="F47" s="1511"/>
      <c r="G47" s="1511"/>
      <c r="H47" s="1511"/>
      <c r="I47" s="1511"/>
      <c r="J47" s="1511"/>
      <c r="K47" s="111"/>
      <c r="L47" s="111"/>
      <c r="M47" s="1511"/>
      <c r="N47" s="1511"/>
      <c r="O47" s="1511"/>
      <c r="P47" s="1511"/>
      <c r="Q47" s="1511"/>
      <c r="R47" s="1511"/>
      <c r="S47" s="1511"/>
      <c r="T47" s="1511"/>
      <c r="U47" s="1511"/>
      <c r="V47" s="1511"/>
      <c r="W47" s="1511"/>
      <c r="X47" s="1511"/>
      <c r="Y47" s="1511"/>
      <c r="Z47" s="1511"/>
      <c r="AA47" s="1511"/>
      <c r="AB47" s="1511"/>
      <c r="AC47" s="1511"/>
      <c r="AD47" s="1511"/>
      <c r="AE47" s="1511"/>
      <c r="AF47" s="1511"/>
      <c r="AG47" s="1511"/>
      <c r="AH47" s="1511"/>
      <c r="AI47" s="1511"/>
      <c r="AJ47" s="1511"/>
      <c r="AK47" s="1511"/>
      <c r="AL47" s="1511"/>
      <c r="AM47" s="1511"/>
    </row>
    <row r="48" spans="1:67">
      <c r="A48" s="3029" t="s">
        <v>3556</v>
      </c>
      <c r="B48" s="3030">
        <v>0.03</v>
      </c>
      <c r="C48" s="3031" t="s">
        <v>3557</v>
      </c>
      <c r="D48" s="2195"/>
      <c r="E48" s="1511"/>
      <c r="F48" s="1511"/>
      <c r="G48" s="1511"/>
      <c r="H48" s="1511"/>
      <c r="I48" s="1511"/>
      <c r="J48" s="1511"/>
      <c r="K48" s="111"/>
      <c r="L48" s="111"/>
      <c r="M48" s="1511"/>
      <c r="N48" s="1511"/>
      <c r="O48" s="1511"/>
      <c r="P48" s="1511"/>
      <c r="Q48" s="1511"/>
      <c r="R48" s="1511"/>
      <c r="S48" s="1511"/>
      <c r="T48" s="1511"/>
      <c r="U48" s="1511"/>
      <c r="V48" s="1511"/>
      <c r="W48" s="1511"/>
      <c r="X48" s="1511"/>
      <c r="Y48" s="1511"/>
      <c r="Z48" s="1511"/>
      <c r="AA48" s="1511"/>
      <c r="AB48" s="1511"/>
      <c r="AC48" s="1511"/>
      <c r="AD48" s="1511"/>
      <c r="AE48" s="1511"/>
      <c r="AF48" s="1511"/>
      <c r="AG48" s="1511"/>
      <c r="AH48" s="1511"/>
      <c r="AI48" s="1511"/>
      <c r="AJ48" s="1511"/>
      <c r="AK48" s="1511"/>
      <c r="AL48" s="1511"/>
      <c r="AM48" s="1511"/>
    </row>
    <row r="49" spans="1:39" ht="13.5" thickBot="1">
      <c r="A49" s="3021" t="s">
        <v>3558</v>
      </c>
      <c r="B49" s="3023">
        <v>5.0000000000000001E-4</v>
      </c>
      <c r="C49" s="3031" t="s">
        <v>3559</v>
      </c>
      <c r="D49" s="2195"/>
      <c r="E49" s="1511"/>
      <c r="F49" s="1511"/>
      <c r="G49" s="1511"/>
      <c r="H49" s="1511"/>
      <c r="I49" s="1511"/>
      <c r="J49" s="1511"/>
      <c r="K49" s="111"/>
      <c r="L49" s="111"/>
      <c r="M49" s="1511"/>
      <c r="N49" s="1511"/>
      <c r="O49" s="1511"/>
      <c r="P49" s="1511"/>
      <c r="Q49" s="1511"/>
      <c r="R49" s="1511"/>
      <c r="S49" s="1511"/>
      <c r="T49" s="1511"/>
      <c r="U49" s="1511"/>
      <c r="V49" s="1511"/>
      <c r="W49" s="1511"/>
      <c r="X49" s="1511"/>
      <c r="Y49" s="1511"/>
      <c r="Z49" s="1511"/>
      <c r="AA49" s="1511"/>
      <c r="AB49" s="1511"/>
      <c r="AC49" s="1511"/>
      <c r="AD49" s="1511"/>
      <c r="AE49" s="1511"/>
      <c r="AF49" s="1511"/>
      <c r="AG49" s="1511"/>
      <c r="AH49" s="1511"/>
      <c r="AI49" s="1511"/>
      <c r="AJ49" s="1511"/>
      <c r="AK49" s="1511"/>
      <c r="AL49" s="1511"/>
      <c r="AM49" s="1511"/>
    </row>
    <row r="50" spans="1:39">
      <c r="A50" s="3032" t="s">
        <v>3560</v>
      </c>
      <c r="B50" s="3033">
        <v>1.2E-2</v>
      </c>
      <c r="C50" s="111"/>
      <c r="D50" s="2195"/>
      <c r="E50" s="1511"/>
      <c r="F50" s="1511"/>
      <c r="G50" s="1511"/>
      <c r="H50" s="1511"/>
      <c r="I50" s="1511"/>
      <c r="J50" s="1511"/>
      <c r="K50" s="111"/>
      <c r="L50" s="111"/>
      <c r="M50" s="1511"/>
      <c r="N50" s="1511"/>
      <c r="O50" s="1511"/>
      <c r="P50" s="1511"/>
      <c r="Q50" s="1511"/>
      <c r="R50" s="1511"/>
      <c r="S50" s="1511"/>
      <c r="T50" s="1511"/>
      <c r="U50" s="1511"/>
      <c r="V50" s="1511"/>
      <c r="W50" s="1511"/>
      <c r="X50" s="1511"/>
      <c r="Y50" s="1511"/>
      <c r="Z50" s="1511"/>
      <c r="AA50" s="1511"/>
      <c r="AB50" s="1511"/>
      <c r="AC50" s="1511"/>
      <c r="AD50" s="1511"/>
      <c r="AE50" s="1511"/>
      <c r="AF50" s="1511"/>
      <c r="AG50" s="1511"/>
      <c r="AH50" s="1511"/>
      <c r="AI50" s="1511"/>
      <c r="AJ50" s="1511"/>
      <c r="AK50" s="1511"/>
      <c r="AL50" s="1511"/>
      <c r="AM50" s="1511"/>
    </row>
    <row r="51" spans="1:39" ht="13.5" thickBot="1">
      <c r="A51" s="3017" t="s">
        <v>3561</v>
      </c>
      <c r="B51" s="3034">
        <v>0.12</v>
      </c>
      <c r="C51" s="111"/>
      <c r="D51" s="2195"/>
      <c r="E51" s="1511"/>
      <c r="F51" s="1511"/>
      <c r="G51" s="1511"/>
      <c r="H51" s="1511"/>
      <c r="I51" s="1511"/>
      <c r="J51" s="1511"/>
      <c r="K51" s="111"/>
      <c r="L51" s="1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row>
    <row r="52" spans="1:39">
      <c r="A52" s="3032" t="s">
        <v>3562</v>
      </c>
      <c r="B52" s="3035">
        <f>SUMIF(A54:A63,B53,B54:B63)</f>
        <v>12</v>
      </c>
      <c r="C52" s="111"/>
      <c r="D52" s="2195"/>
      <c r="E52" s="1511"/>
      <c r="F52" s="1511"/>
      <c r="G52" s="1511"/>
      <c r="H52" s="1511"/>
      <c r="I52" s="1511"/>
      <c r="J52" s="1511"/>
      <c r="K52" s="111"/>
      <c r="L52" s="1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c r="AH52" s="1511"/>
      <c r="AI52" s="1511"/>
      <c r="AJ52" s="1511"/>
      <c r="AK52" s="1511"/>
      <c r="AL52" s="1511"/>
      <c r="AM52" s="1511"/>
    </row>
    <row r="53" spans="1:39">
      <c r="A53" s="3015" t="s">
        <v>3563</v>
      </c>
      <c r="B53" s="3036" t="s">
        <v>442</v>
      </c>
      <c r="C53" s="111" t="s">
        <v>3564</v>
      </c>
      <c r="D53" s="3037" t="s">
        <v>3404</v>
      </c>
      <c r="E53" s="1511"/>
      <c r="F53" s="1511"/>
      <c r="G53" s="1511"/>
      <c r="H53" s="1511"/>
      <c r="I53" s="1511"/>
      <c r="J53" s="1511"/>
      <c r="K53" s="111"/>
      <c r="L53" s="111"/>
      <c r="M53" s="1511"/>
      <c r="N53" s="1511"/>
      <c r="O53" s="1511"/>
      <c r="P53" s="1511"/>
      <c r="Q53" s="1511"/>
      <c r="R53" s="1511"/>
      <c r="S53" s="1511"/>
      <c r="T53" s="1511"/>
      <c r="U53" s="1511"/>
      <c r="V53" s="1511"/>
      <c r="W53" s="1511"/>
      <c r="X53" s="1511"/>
      <c r="Y53" s="1511"/>
      <c r="Z53" s="1511"/>
      <c r="AA53" s="1511"/>
      <c r="AB53" s="1511"/>
      <c r="AC53" s="1511"/>
      <c r="AD53" s="1511"/>
      <c r="AE53" s="1511"/>
      <c r="AF53" s="1511"/>
      <c r="AG53" s="1511"/>
      <c r="AH53" s="1511"/>
      <c r="AI53" s="1511"/>
      <c r="AJ53" s="1511"/>
      <c r="AK53" s="1511"/>
      <c r="AL53" s="1511"/>
      <c r="AM53" s="1511"/>
    </row>
    <row r="54" spans="1:39">
      <c r="A54" s="3038" t="s">
        <v>3565</v>
      </c>
      <c r="B54" s="3039">
        <v>30</v>
      </c>
      <c r="C54" s="111">
        <v>30</v>
      </c>
      <c r="D54" s="2195"/>
      <c r="E54" s="1511"/>
      <c r="F54" s="1511"/>
      <c r="G54" s="1511"/>
      <c r="H54" s="1511"/>
      <c r="I54" s="1511"/>
      <c r="J54" s="1511"/>
      <c r="K54" s="111"/>
      <c r="L54" s="111"/>
      <c r="M54" s="1511"/>
      <c r="N54" s="1511"/>
      <c r="O54" s="1511"/>
      <c r="P54" s="1511"/>
      <c r="Q54" s="1511"/>
      <c r="R54" s="1511"/>
      <c r="S54" s="1511"/>
      <c r="T54" s="1511"/>
      <c r="U54" s="1511"/>
      <c r="V54" s="1511"/>
      <c r="W54" s="1511"/>
      <c r="X54" s="1511"/>
      <c r="Y54" s="1511"/>
      <c r="Z54" s="1511"/>
      <c r="AA54" s="1511"/>
      <c r="AB54" s="1511"/>
      <c r="AC54" s="1511"/>
      <c r="AD54" s="1511"/>
      <c r="AE54" s="1511"/>
      <c r="AF54" s="1511"/>
      <c r="AG54" s="1511"/>
      <c r="AH54" s="1511"/>
      <c r="AI54" s="1511"/>
      <c r="AJ54" s="1511"/>
      <c r="AK54" s="1511"/>
      <c r="AL54" s="1511"/>
      <c r="AM54" s="1511"/>
    </row>
    <row r="55" spans="1:39">
      <c r="A55" s="3038" t="s">
        <v>3566</v>
      </c>
      <c r="B55" s="3039">
        <v>20</v>
      </c>
      <c r="C55" s="111">
        <v>24</v>
      </c>
      <c r="D55" s="2195"/>
      <c r="E55" s="1511"/>
      <c r="F55" s="1511"/>
      <c r="G55" s="1511"/>
      <c r="H55" s="1511"/>
      <c r="I55" s="3040"/>
      <c r="J55" s="1511"/>
      <c r="K55" s="111"/>
      <c r="L55" s="1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row>
    <row r="56" spans="1:39">
      <c r="A56" s="3038" t="s">
        <v>3567</v>
      </c>
      <c r="B56" s="3039">
        <v>12</v>
      </c>
      <c r="C56" s="111">
        <v>18</v>
      </c>
      <c r="D56" s="2195"/>
      <c r="E56" s="1511"/>
      <c r="F56" s="1511"/>
      <c r="G56" s="1511"/>
      <c r="H56" s="1511"/>
      <c r="I56" s="1511"/>
      <c r="J56" s="1511"/>
      <c r="K56" s="111"/>
      <c r="L56" s="111"/>
      <c r="M56" s="1511"/>
      <c r="N56" s="1511"/>
      <c r="O56" s="1511"/>
      <c r="P56" s="1511"/>
      <c r="Q56" s="1511"/>
      <c r="R56" s="1511"/>
      <c r="S56" s="1511"/>
      <c r="T56" s="1511"/>
      <c r="U56" s="1511"/>
      <c r="V56" s="1511"/>
      <c r="W56" s="1511"/>
      <c r="X56" s="1511"/>
      <c r="Y56" s="1511"/>
      <c r="Z56" s="1511"/>
      <c r="AA56" s="1511"/>
      <c r="AB56" s="1511"/>
      <c r="AC56" s="1511"/>
      <c r="AD56" s="1511"/>
      <c r="AE56" s="1511"/>
      <c r="AF56" s="1511"/>
      <c r="AG56" s="1511"/>
      <c r="AH56" s="1511"/>
      <c r="AI56" s="1511"/>
      <c r="AJ56" s="1511"/>
      <c r="AK56" s="1511"/>
      <c r="AL56" s="1511"/>
      <c r="AM56" s="1511"/>
    </row>
    <row r="57" spans="1:39">
      <c r="A57" s="3038" t="s">
        <v>3568</v>
      </c>
      <c r="B57" s="3039"/>
      <c r="C57" s="111">
        <v>12</v>
      </c>
      <c r="D57" s="2195"/>
      <c r="E57" s="1511"/>
      <c r="F57" s="1511"/>
      <c r="G57" s="1511"/>
      <c r="H57" s="1511"/>
      <c r="I57" s="1511"/>
      <c r="J57" s="1511"/>
      <c r="K57" s="111"/>
      <c r="L57" s="111"/>
      <c r="M57" s="1511"/>
      <c r="N57" s="1511"/>
      <c r="O57" s="1511"/>
      <c r="P57" s="1511"/>
      <c r="Q57" s="1511"/>
      <c r="R57" s="1511"/>
      <c r="S57" s="1511"/>
      <c r="T57" s="1511"/>
      <c r="U57" s="1511"/>
      <c r="V57" s="1511"/>
      <c r="W57" s="1511"/>
      <c r="X57" s="1511"/>
      <c r="Y57" s="1511"/>
      <c r="Z57" s="1511"/>
      <c r="AA57" s="1511"/>
      <c r="AB57" s="1511"/>
      <c r="AC57" s="1511"/>
      <c r="AD57" s="1511"/>
      <c r="AE57" s="1511"/>
      <c r="AF57" s="1511"/>
      <c r="AG57" s="1511"/>
      <c r="AH57" s="1511"/>
      <c r="AI57" s="1511"/>
      <c r="AJ57" s="1511"/>
      <c r="AK57" s="1511"/>
      <c r="AL57" s="1511"/>
      <c r="AM57" s="1511"/>
    </row>
    <row r="58" spans="1:39">
      <c r="A58" s="3038" t="s">
        <v>3569</v>
      </c>
      <c r="B58" s="3039"/>
      <c r="C58" s="111">
        <v>3</v>
      </c>
      <c r="D58" s="2195"/>
      <c r="E58" s="1511"/>
      <c r="F58" s="1511"/>
      <c r="G58" s="1511"/>
      <c r="H58" s="1511"/>
      <c r="I58" s="1511"/>
      <c r="J58" s="1511"/>
      <c r="K58" s="111"/>
      <c r="L58" s="111"/>
      <c r="M58" s="1511"/>
      <c r="N58" s="1511"/>
      <c r="O58" s="1511"/>
      <c r="P58" s="1511"/>
      <c r="Q58" s="1511"/>
      <c r="R58" s="1511"/>
      <c r="S58" s="1511"/>
      <c r="T58" s="1511"/>
      <c r="U58" s="1511"/>
      <c r="V58" s="1511"/>
      <c r="W58" s="1511"/>
      <c r="X58" s="1511"/>
      <c r="Y58" s="1511"/>
      <c r="Z58" s="1511"/>
      <c r="AA58" s="1511"/>
      <c r="AB58" s="1511"/>
      <c r="AC58" s="1511"/>
      <c r="AD58" s="1511"/>
      <c r="AE58" s="1511"/>
      <c r="AF58" s="1511"/>
      <c r="AG58" s="1511"/>
      <c r="AH58" s="1511"/>
      <c r="AI58" s="1511"/>
      <c r="AJ58" s="1511"/>
      <c r="AK58" s="1511"/>
      <c r="AL58" s="1511"/>
      <c r="AM58" s="1511"/>
    </row>
    <row r="59" spans="1:39">
      <c r="A59" s="3038" t="s">
        <v>3570</v>
      </c>
      <c r="B59" s="3039"/>
      <c r="C59" s="111">
        <v>1.5</v>
      </c>
      <c r="D59" s="2195"/>
      <c r="E59" s="1511"/>
      <c r="F59" s="1511"/>
      <c r="G59" s="1511"/>
      <c r="H59" s="1511"/>
      <c r="I59" s="1511"/>
      <c r="J59" s="1511"/>
      <c r="K59" s="111"/>
      <c r="L59" s="1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c r="AJ59" s="1511"/>
      <c r="AK59" s="1511"/>
      <c r="AL59" s="1511"/>
      <c r="AM59" s="1511"/>
    </row>
    <row r="60" spans="1:39">
      <c r="A60" s="3038" t="s">
        <v>3571</v>
      </c>
      <c r="B60" s="3039"/>
      <c r="C60" s="1511"/>
      <c r="D60" s="2195"/>
      <c r="E60" s="1511"/>
      <c r="F60" s="1511"/>
      <c r="G60" s="1511"/>
      <c r="H60" s="1511"/>
      <c r="I60" s="1511"/>
      <c r="J60" s="1511"/>
      <c r="K60" s="111"/>
      <c r="L60" s="1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row>
    <row r="61" spans="1:39">
      <c r="A61" s="3038" t="s">
        <v>3572</v>
      </c>
      <c r="B61" s="3039"/>
      <c r="C61" s="1511"/>
      <c r="D61" s="2195"/>
      <c r="E61" s="1511"/>
      <c r="F61" s="1511"/>
      <c r="G61" s="1511"/>
      <c r="H61" s="1511"/>
      <c r="I61" s="1511"/>
      <c r="J61" s="1511"/>
      <c r="K61" s="111"/>
      <c r="L61" s="1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c r="AJ61" s="1511"/>
      <c r="AK61" s="1511"/>
      <c r="AL61" s="1511"/>
      <c r="AM61" s="1511"/>
    </row>
    <row r="62" spans="1:39">
      <c r="A62" s="3038" t="s">
        <v>3573</v>
      </c>
      <c r="B62" s="3039"/>
      <c r="C62" s="1511"/>
      <c r="D62" s="2195"/>
      <c r="E62" s="1511"/>
      <c r="F62" s="1511"/>
      <c r="G62" s="1511"/>
      <c r="H62" s="1511"/>
      <c r="I62" s="1511"/>
      <c r="J62" s="1511"/>
      <c r="K62" s="111"/>
      <c r="L62" s="111"/>
      <c r="M62" s="1511"/>
      <c r="N62" s="1511"/>
      <c r="O62" s="1511"/>
      <c r="P62" s="1511"/>
      <c r="Q62" s="1511"/>
      <c r="R62" s="1511"/>
      <c r="S62" s="1511"/>
      <c r="T62" s="1511"/>
      <c r="U62" s="1511"/>
      <c r="V62" s="1511"/>
      <c r="W62" s="1511"/>
      <c r="X62" s="1511"/>
      <c r="Y62" s="1511"/>
      <c r="Z62" s="1511"/>
      <c r="AA62" s="1511"/>
      <c r="AB62" s="1511"/>
      <c r="AC62" s="1511"/>
      <c r="AD62" s="1511"/>
      <c r="AE62" s="1511"/>
      <c r="AF62" s="1511"/>
      <c r="AG62" s="1511"/>
      <c r="AH62" s="1511"/>
      <c r="AI62" s="1511"/>
      <c r="AJ62" s="1511"/>
      <c r="AK62" s="1511"/>
      <c r="AL62" s="1511"/>
      <c r="AM62" s="1511"/>
    </row>
    <row r="63" spans="1:39" ht="13.5" thickBot="1">
      <c r="A63" s="3041" t="s">
        <v>3574</v>
      </c>
      <c r="B63" s="3042"/>
      <c r="C63" s="1511"/>
      <c r="D63" s="2195"/>
      <c r="E63" s="1511"/>
      <c r="F63" s="1511"/>
      <c r="G63" s="1511"/>
      <c r="H63" s="1511"/>
      <c r="I63" s="1511"/>
      <c r="J63" s="1511"/>
      <c r="K63" s="111"/>
      <c r="L63" s="111"/>
      <c r="M63" s="1511"/>
      <c r="N63" s="1511"/>
      <c r="O63" s="1511"/>
      <c r="P63" s="1511"/>
      <c r="Q63" s="1511"/>
      <c r="R63" s="1511"/>
      <c r="S63" s="1511"/>
      <c r="T63" s="1511"/>
      <c r="U63" s="1511"/>
      <c r="V63" s="1511"/>
      <c r="W63" s="1511"/>
      <c r="X63" s="1511"/>
      <c r="Y63" s="1511"/>
      <c r="Z63" s="1511"/>
      <c r="AA63" s="1511"/>
      <c r="AB63" s="1511"/>
      <c r="AC63" s="1511"/>
      <c r="AD63" s="1511"/>
      <c r="AE63" s="1511"/>
      <c r="AF63" s="1511"/>
      <c r="AG63" s="1511"/>
      <c r="AH63" s="1511"/>
      <c r="AI63" s="1511"/>
      <c r="AJ63" s="1511"/>
      <c r="AK63" s="1511"/>
      <c r="AL63" s="1511"/>
      <c r="AM63" s="1511"/>
    </row>
    <row r="64" spans="1:39" s="910" customFormat="1">
      <c r="A64" s="2203"/>
      <c r="D64" s="2204"/>
      <c r="K64" s="741"/>
      <c r="L64" s="741"/>
    </row>
    <row r="65" spans="1:12" s="910" customFormat="1">
      <c r="A65" s="2203"/>
      <c r="D65" s="2204"/>
      <c r="K65" s="741"/>
      <c r="L65" s="741"/>
    </row>
    <row r="66" spans="1:12" s="910" customFormat="1">
      <c r="A66" s="2203"/>
      <c r="D66" s="2204"/>
      <c r="K66" s="741"/>
      <c r="L66" s="741"/>
    </row>
    <row r="67" spans="1:12" s="910" customFormat="1">
      <c r="A67" s="2203"/>
      <c r="D67" s="2204"/>
      <c r="K67" s="741"/>
      <c r="L67" s="741"/>
    </row>
    <row r="68" spans="1:12" s="910" customFormat="1">
      <c r="A68" s="2203"/>
      <c r="D68" s="2204"/>
      <c r="K68" s="741"/>
      <c r="L68" s="741"/>
    </row>
    <row r="69" spans="1:12" s="910" customFormat="1">
      <c r="A69" s="2203"/>
      <c r="D69" s="2204"/>
      <c r="K69" s="741"/>
      <c r="L69" s="741"/>
    </row>
    <row r="70" spans="1:12" s="910" customFormat="1">
      <c r="A70" s="2203"/>
      <c r="D70" s="2204"/>
      <c r="K70" s="741"/>
      <c r="L70" s="741"/>
    </row>
    <row r="71" spans="1:12" s="910" customFormat="1">
      <c r="A71" s="2203"/>
      <c r="D71" s="2204"/>
      <c r="K71" s="741"/>
      <c r="L71" s="741"/>
    </row>
    <row r="72" spans="1:12" s="910" customFormat="1">
      <c r="A72" s="2203"/>
      <c r="D72" s="2204"/>
      <c r="K72" s="741"/>
      <c r="L72" s="741"/>
    </row>
    <row r="73" spans="1:12" s="910" customFormat="1">
      <c r="A73" s="2203"/>
      <c r="D73" s="2204"/>
      <c r="K73" s="741"/>
      <c r="L73" s="741"/>
    </row>
    <row r="74" spans="1:12" s="910" customFormat="1">
      <c r="A74" s="2203"/>
      <c r="D74" s="2204"/>
      <c r="K74" s="741"/>
      <c r="L74" s="741"/>
    </row>
    <row r="75" spans="1:12" s="910" customFormat="1">
      <c r="A75" s="2203"/>
      <c r="D75" s="2204"/>
      <c r="K75" s="741"/>
      <c r="L75" s="741"/>
    </row>
    <row r="76" spans="1:12" s="910" customFormat="1">
      <c r="A76" s="2203"/>
      <c r="D76" s="2204"/>
      <c r="K76" s="741"/>
      <c r="L76" s="741"/>
    </row>
    <row r="77" spans="1:12" s="910" customFormat="1">
      <c r="A77" s="2203"/>
      <c r="D77" s="2204"/>
      <c r="K77" s="741"/>
      <c r="L77" s="741"/>
    </row>
    <row r="78" spans="1:12" s="910" customFormat="1">
      <c r="A78" s="2203"/>
      <c r="D78" s="2204"/>
      <c r="K78" s="741"/>
      <c r="L78" s="741"/>
    </row>
    <row r="79" spans="1:12" s="910" customFormat="1">
      <c r="A79" s="2203"/>
      <c r="D79" s="2204"/>
      <c r="K79" s="741"/>
      <c r="L79" s="741"/>
    </row>
    <row r="80" spans="1:12" s="910" customFormat="1">
      <c r="A80" s="2203"/>
      <c r="D80" s="2204"/>
      <c r="K80" s="741"/>
      <c r="L80" s="741"/>
    </row>
    <row r="81" spans="1:12" s="910" customFormat="1">
      <c r="A81" s="2203"/>
      <c r="D81" s="2204"/>
      <c r="K81" s="741"/>
      <c r="L81" s="741"/>
    </row>
    <row r="82" spans="1:12" s="910" customFormat="1">
      <c r="A82" s="2203"/>
      <c r="D82" s="2204"/>
      <c r="K82" s="741"/>
      <c r="L82" s="741"/>
    </row>
    <row r="83" spans="1:12" s="910" customFormat="1">
      <c r="A83" s="2203"/>
      <c r="D83" s="2204"/>
      <c r="K83" s="741"/>
      <c r="L83" s="741"/>
    </row>
    <row r="84" spans="1:12" s="910" customFormat="1">
      <c r="A84" s="2203"/>
      <c r="D84" s="2204"/>
      <c r="K84" s="741"/>
      <c r="L84" s="741"/>
    </row>
    <row r="85" spans="1:12" s="910" customFormat="1">
      <c r="A85" s="2203"/>
      <c r="D85" s="2204"/>
      <c r="K85" s="741"/>
      <c r="L85" s="741"/>
    </row>
    <row r="86" spans="1:12" s="910" customFormat="1">
      <c r="A86" s="2203"/>
      <c r="D86" s="2204"/>
      <c r="K86" s="741"/>
      <c r="L86" s="741"/>
    </row>
    <row r="87" spans="1:12" s="910" customFormat="1">
      <c r="A87" s="2203"/>
      <c r="D87" s="2204"/>
      <c r="K87" s="741"/>
      <c r="L87" s="741"/>
    </row>
    <row r="88" spans="1:12" s="910" customFormat="1">
      <c r="A88" s="2203"/>
      <c r="D88" s="2204"/>
      <c r="K88" s="741"/>
      <c r="L88" s="741"/>
    </row>
    <row r="89" spans="1:12" s="910" customFormat="1">
      <c r="A89" s="2203"/>
      <c r="D89" s="2204"/>
      <c r="K89" s="741"/>
      <c r="L89" s="741"/>
    </row>
    <row r="90" spans="1:12" s="910" customFormat="1">
      <c r="A90" s="2203"/>
      <c r="D90" s="2204"/>
      <c r="K90" s="741"/>
      <c r="L90" s="741"/>
    </row>
    <row r="91" spans="1:12" s="910" customFormat="1">
      <c r="A91" s="2203"/>
      <c r="D91" s="2204"/>
      <c r="K91" s="741"/>
      <c r="L91" s="741"/>
    </row>
    <row r="92" spans="1:12" s="910" customFormat="1">
      <c r="A92" s="2203"/>
      <c r="D92" s="2204"/>
      <c r="K92" s="741"/>
      <c r="L92" s="741"/>
    </row>
    <row r="93" spans="1:12" s="910" customFormat="1">
      <c r="A93" s="2203"/>
      <c r="D93" s="2204"/>
      <c r="K93" s="741"/>
      <c r="L93" s="741"/>
    </row>
    <row r="94" spans="1:12" s="910" customFormat="1">
      <c r="A94" s="2203"/>
      <c r="D94" s="2204"/>
      <c r="K94" s="741"/>
      <c r="L94" s="741"/>
    </row>
    <row r="95" spans="1:12" s="910" customFormat="1">
      <c r="A95" s="2203"/>
      <c r="D95" s="2204"/>
      <c r="K95" s="741"/>
      <c r="L95" s="741"/>
    </row>
    <row r="96" spans="1:12" s="910" customFormat="1">
      <c r="A96" s="2203"/>
      <c r="D96" s="2204"/>
      <c r="K96" s="741"/>
      <c r="L96" s="741"/>
    </row>
    <row r="97" spans="1:12" s="910" customFormat="1">
      <c r="A97" s="2203"/>
      <c r="D97" s="2204"/>
      <c r="K97" s="741"/>
      <c r="L97" s="741"/>
    </row>
    <row r="98" spans="1:12" s="910" customFormat="1">
      <c r="A98" s="2203"/>
      <c r="D98" s="2204"/>
      <c r="K98" s="741"/>
      <c r="L98" s="741"/>
    </row>
    <row r="99" spans="1:12" s="910" customFormat="1">
      <c r="A99" s="2203"/>
      <c r="D99" s="2204"/>
      <c r="K99" s="741"/>
      <c r="L99" s="741"/>
    </row>
    <row r="100" spans="1:12" s="910" customFormat="1">
      <c r="A100" s="2203"/>
      <c r="D100" s="2204"/>
      <c r="K100" s="741"/>
      <c r="L100" s="741"/>
    </row>
    <row r="101" spans="1:12" s="910" customFormat="1">
      <c r="A101" s="2203"/>
      <c r="D101" s="2204"/>
      <c r="K101" s="741"/>
      <c r="L101" s="741"/>
    </row>
    <row r="102" spans="1:12" s="910" customFormat="1">
      <c r="A102" s="2203"/>
      <c r="D102" s="2204"/>
      <c r="K102" s="741"/>
      <c r="L102" s="741"/>
    </row>
    <row r="103" spans="1:12" s="910" customFormat="1">
      <c r="A103" s="2203"/>
      <c r="D103" s="2204"/>
      <c r="K103" s="741"/>
      <c r="L103" s="741"/>
    </row>
    <row r="104" spans="1:12" s="910" customFormat="1">
      <c r="A104" s="2203"/>
      <c r="D104" s="2204"/>
      <c r="K104" s="741"/>
      <c r="L104" s="741"/>
    </row>
    <row r="105" spans="1:12" s="910" customFormat="1">
      <c r="A105" s="2203"/>
      <c r="D105" s="2204"/>
      <c r="K105" s="741"/>
      <c r="L105" s="741"/>
    </row>
    <row r="106" spans="1:12" s="910" customFormat="1">
      <c r="A106" s="2203"/>
      <c r="D106" s="2204"/>
      <c r="K106" s="741"/>
      <c r="L106" s="741"/>
    </row>
    <row r="107" spans="1:12" s="910" customFormat="1">
      <c r="A107" s="2203"/>
      <c r="D107" s="2204"/>
      <c r="K107" s="741"/>
      <c r="L107" s="741"/>
    </row>
    <row r="108" spans="1:12" s="910" customFormat="1">
      <c r="A108" s="2203"/>
      <c r="D108" s="2204"/>
      <c r="K108" s="741"/>
      <c r="L108" s="741"/>
    </row>
    <row r="109" spans="1:12" s="910" customFormat="1">
      <c r="A109" s="2203"/>
      <c r="D109" s="2204"/>
      <c r="K109" s="741"/>
      <c r="L109" s="741"/>
    </row>
    <row r="110" spans="1:12" s="910" customFormat="1">
      <c r="A110" s="2203"/>
      <c r="D110" s="2204"/>
      <c r="K110" s="741"/>
      <c r="L110" s="741"/>
    </row>
    <row r="111" spans="1:12" s="910" customFormat="1">
      <c r="A111" s="2203"/>
      <c r="D111" s="2204"/>
      <c r="K111" s="741"/>
      <c r="L111" s="741"/>
    </row>
    <row r="112" spans="1:12" s="910" customFormat="1">
      <c r="A112" s="2203"/>
      <c r="D112" s="2204"/>
      <c r="K112" s="741"/>
      <c r="L112" s="741"/>
    </row>
    <row r="113" spans="1:12" s="910" customFormat="1">
      <c r="A113" s="2203"/>
      <c r="D113" s="2204"/>
      <c r="K113" s="741"/>
      <c r="L113" s="741"/>
    </row>
    <row r="114" spans="1:12" s="910" customFormat="1">
      <c r="A114" s="2203"/>
      <c r="D114" s="2204"/>
      <c r="K114" s="741"/>
      <c r="L114" s="741"/>
    </row>
    <row r="115" spans="1:12" s="910" customFormat="1">
      <c r="A115" s="2203"/>
      <c r="D115" s="2204"/>
      <c r="K115" s="741"/>
      <c r="L115" s="741"/>
    </row>
    <row r="116" spans="1:12" s="910" customFormat="1">
      <c r="A116" s="2203"/>
      <c r="D116" s="2204"/>
      <c r="K116" s="741"/>
      <c r="L116" s="741"/>
    </row>
    <row r="117" spans="1:12" s="910" customFormat="1">
      <c r="A117" s="2203"/>
      <c r="D117" s="2204"/>
      <c r="K117" s="741"/>
      <c r="L117" s="741"/>
    </row>
    <row r="118" spans="1:12" s="910" customFormat="1">
      <c r="A118" s="2203"/>
      <c r="D118" s="2204"/>
      <c r="K118" s="741"/>
      <c r="L118" s="741"/>
    </row>
    <row r="119" spans="1:12" s="910" customFormat="1">
      <c r="A119" s="2203"/>
      <c r="D119" s="2204"/>
      <c r="K119" s="741"/>
      <c r="L119" s="741"/>
    </row>
    <row r="120" spans="1:12" s="910" customFormat="1">
      <c r="A120" s="2203"/>
      <c r="D120" s="2204"/>
      <c r="K120" s="741"/>
      <c r="L120" s="741"/>
    </row>
    <row r="121" spans="1:12" s="910" customFormat="1">
      <c r="A121" s="2203"/>
      <c r="D121" s="2204"/>
      <c r="K121" s="741"/>
      <c r="L121" s="741"/>
    </row>
    <row r="122" spans="1:12" s="910" customFormat="1">
      <c r="A122" s="2203"/>
      <c r="D122" s="2204"/>
      <c r="K122" s="741"/>
      <c r="L122" s="741"/>
    </row>
    <row r="123" spans="1:12" s="910" customFormat="1">
      <c r="A123" s="2203"/>
      <c r="D123" s="2204"/>
      <c r="K123" s="741"/>
      <c r="L123" s="741"/>
    </row>
    <row r="124" spans="1:12" s="910" customFormat="1">
      <c r="A124" s="2203"/>
      <c r="D124" s="2204"/>
      <c r="K124" s="741"/>
      <c r="L124" s="741"/>
    </row>
    <row r="125" spans="1:12" s="910" customFormat="1">
      <c r="A125" s="2203"/>
      <c r="D125" s="2204"/>
      <c r="K125" s="741"/>
      <c r="L125" s="741"/>
    </row>
    <row r="126" spans="1:12" s="910" customFormat="1">
      <c r="A126" s="2203"/>
      <c r="D126" s="2204"/>
      <c r="K126" s="741"/>
      <c r="L126" s="741"/>
    </row>
    <row r="127" spans="1:12" s="910" customFormat="1">
      <c r="A127" s="2203"/>
      <c r="D127" s="2204"/>
      <c r="K127" s="741"/>
      <c r="L127" s="741"/>
    </row>
    <row r="128" spans="1:12" s="910" customFormat="1">
      <c r="A128" s="2203"/>
      <c r="D128" s="2204"/>
      <c r="K128" s="741"/>
      <c r="L128" s="741"/>
    </row>
    <row r="129" spans="1:12" s="910" customFormat="1">
      <c r="A129" s="2203"/>
      <c r="D129" s="2204"/>
      <c r="K129" s="741"/>
      <c r="L129" s="741"/>
    </row>
    <row r="130" spans="1:12" s="910" customFormat="1">
      <c r="A130" s="2203"/>
      <c r="D130" s="2204"/>
      <c r="K130" s="741"/>
      <c r="L130" s="741"/>
    </row>
    <row r="131" spans="1:12" s="910" customFormat="1">
      <c r="A131" s="2203"/>
      <c r="D131" s="2204"/>
      <c r="K131" s="741"/>
      <c r="L131" s="741"/>
    </row>
    <row r="132" spans="1:12" s="910" customFormat="1">
      <c r="A132" s="2203"/>
      <c r="D132" s="2204"/>
      <c r="K132" s="741"/>
      <c r="L132" s="741"/>
    </row>
    <row r="133" spans="1:12" s="910" customFormat="1">
      <c r="A133" s="2203"/>
      <c r="D133" s="2204"/>
      <c r="K133" s="741"/>
      <c r="L133" s="741"/>
    </row>
    <row r="134" spans="1:12" s="2196" customFormat="1">
      <c r="A134" s="2205"/>
      <c r="D134" s="2206"/>
      <c r="K134" s="27"/>
      <c r="L134" s="27"/>
    </row>
    <row r="135" spans="1:12" s="2196" customFormat="1">
      <c r="A135" s="2205"/>
      <c r="D135" s="2206"/>
      <c r="K135" s="27"/>
      <c r="L135" s="27"/>
    </row>
    <row r="136" spans="1:12" s="2196" customFormat="1">
      <c r="A136" s="2205"/>
      <c r="D136" s="2206"/>
      <c r="K136" s="27"/>
      <c r="L136" s="27"/>
    </row>
    <row r="137" spans="1:12" s="2196" customFormat="1">
      <c r="A137" s="2205"/>
      <c r="D137" s="2206"/>
      <c r="K137" s="27"/>
      <c r="L137" s="27"/>
    </row>
    <row r="138" spans="1:12" s="2196" customFormat="1">
      <c r="A138" s="2205"/>
      <c r="D138" s="2206"/>
      <c r="K138" s="27"/>
      <c r="L138" s="27"/>
    </row>
    <row r="139" spans="1:12" s="2196" customFormat="1">
      <c r="A139" s="2205"/>
      <c r="D139" s="2206"/>
      <c r="K139" s="27"/>
      <c r="L139" s="27"/>
    </row>
    <row r="140" spans="1:12" s="2196" customFormat="1">
      <c r="A140" s="2205"/>
      <c r="D140" s="2206"/>
      <c r="K140" s="27"/>
      <c r="L140" s="27"/>
    </row>
    <row r="141" spans="1:12" s="2196" customFormat="1">
      <c r="A141" s="2205"/>
      <c r="D141" s="2206"/>
      <c r="K141" s="27"/>
      <c r="L141" s="27"/>
    </row>
    <row r="142" spans="1:12" s="2196" customFormat="1">
      <c r="A142" s="2205"/>
      <c r="D142" s="2206"/>
      <c r="K142" s="27"/>
      <c r="L142" s="27"/>
    </row>
    <row r="143" spans="1:12" s="2196" customFormat="1">
      <c r="A143" s="2205"/>
      <c r="D143" s="2206"/>
      <c r="K143" s="27"/>
      <c r="L143" s="27"/>
    </row>
    <row r="144" spans="1:12" s="2196" customFormat="1">
      <c r="A144" s="2205"/>
      <c r="D144" s="2206"/>
      <c r="K144" s="27"/>
      <c r="L144" s="27"/>
    </row>
    <row r="145" spans="1:12" s="2196" customFormat="1">
      <c r="A145" s="2205"/>
      <c r="D145" s="2206"/>
      <c r="K145" s="27"/>
      <c r="L145" s="27"/>
    </row>
    <row r="146" spans="1:12" s="2196" customFormat="1">
      <c r="A146" s="2205"/>
      <c r="D146" s="2206"/>
      <c r="K146" s="27"/>
      <c r="L146" s="27"/>
    </row>
    <row r="147" spans="1:12" s="2196" customFormat="1">
      <c r="A147" s="2205"/>
      <c r="D147" s="2206"/>
      <c r="K147" s="27"/>
      <c r="L147" s="27"/>
    </row>
    <row r="148" spans="1:12" s="2196" customFormat="1">
      <c r="A148" s="2205"/>
      <c r="D148" s="2206"/>
      <c r="K148" s="27"/>
      <c r="L148" s="27"/>
    </row>
    <row r="149" spans="1:12" s="2196" customFormat="1">
      <c r="A149" s="2205"/>
      <c r="D149" s="2206"/>
      <c r="K149" s="27"/>
      <c r="L149" s="27"/>
    </row>
    <row r="150" spans="1:12" s="2196" customFormat="1">
      <c r="A150" s="2205"/>
      <c r="D150" s="2206"/>
      <c r="K150" s="27"/>
      <c r="L150" s="27"/>
    </row>
    <row r="151" spans="1:12" s="2196" customFormat="1">
      <c r="A151" s="2205"/>
      <c r="D151" s="2206"/>
      <c r="K151" s="27"/>
      <c r="L151" s="27"/>
    </row>
    <row r="152" spans="1:12" s="2196" customFormat="1">
      <c r="A152" s="2205"/>
      <c r="D152" s="2206"/>
      <c r="K152" s="27"/>
      <c r="L152" s="27"/>
    </row>
    <row r="153" spans="1:12" s="2196" customFormat="1">
      <c r="A153" s="2205"/>
      <c r="D153" s="2206"/>
      <c r="K153" s="27"/>
      <c r="L153" s="27"/>
    </row>
    <row r="154" spans="1:12" s="2196" customFormat="1">
      <c r="A154" s="2205"/>
      <c r="D154" s="2206"/>
      <c r="K154" s="27"/>
      <c r="L154" s="27"/>
    </row>
    <row r="155" spans="1:12" s="2196" customFormat="1">
      <c r="A155" s="2205"/>
      <c r="D155" s="2206"/>
      <c r="K155" s="27"/>
      <c r="L155" s="27"/>
    </row>
    <row r="156" spans="1:12" s="2196" customFormat="1">
      <c r="A156" s="2205"/>
      <c r="D156" s="2206"/>
      <c r="K156" s="27"/>
      <c r="L156" s="27"/>
    </row>
    <row r="157" spans="1:12" s="2196" customFormat="1">
      <c r="A157" s="2205"/>
      <c r="D157" s="2206"/>
      <c r="K157" s="27"/>
      <c r="L157" s="27"/>
    </row>
    <row r="158" spans="1:12" s="2196" customFormat="1">
      <c r="A158" s="2205"/>
      <c r="D158" s="2206"/>
      <c r="K158" s="27"/>
      <c r="L158" s="27"/>
    </row>
    <row r="159" spans="1:12" s="2196" customFormat="1">
      <c r="A159" s="2205"/>
      <c r="D159" s="2206"/>
      <c r="K159" s="27"/>
      <c r="L159" s="27"/>
    </row>
    <row r="160" spans="1:12" s="2196" customFormat="1">
      <c r="A160" s="2205"/>
      <c r="D160" s="2206"/>
      <c r="K160" s="27"/>
      <c r="L160" s="27"/>
    </row>
    <row r="161" spans="1:12" s="2196" customFormat="1">
      <c r="A161" s="2205"/>
      <c r="D161" s="2206"/>
      <c r="K161" s="27"/>
      <c r="L161" s="27"/>
    </row>
    <row r="162" spans="1:12" s="2196" customFormat="1">
      <c r="A162" s="2205"/>
      <c r="D162" s="2206"/>
      <c r="K162" s="27"/>
      <c r="L162" s="27"/>
    </row>
    <row r="163" spans="1:12" s="2196" customFormat="1">
      <c r="A163" s="2205"/>
      <c r="D163" s="2206"/>
      <c r="K163" s="27"/>
      <c r="L163" s="27"/>
    </row>
    <row r="164" spans="1:12" s="2196" customFormat="1">
      <c r="A164" s="2205"/>
      <c r="D164" s="2206"/>
      <c r="K164" s="27"/>
      <c r="L164" s="27"/>
    </row>
    <row r="165" spans="1:12" s="2196" customFormat="1">
      <c r="A165" s="2205"/>
      <c r="D165" s="2206"/>
      <c r="K165" s="27"/>
      <c r="L165" s="27"/>
    </row>
    <row r="166" spans="1:12" s="2196" customFormat="1">
      <c r="A166" s="2205"/>
      <c r="D166" s="2206"/>
      <c r="K166" s="27"/>
      <c r="L166" s="27"/>
    </row>
    <row r="167" spans="1:12" s="2196" customFormat="1">
      <c r="A167" s="2205"/>
      <c r="D167" s="2206"/>
      <c r="K167" s="27"/>
      <c r="L167" s="27"/>
    </row>
    <row r="168" spans="1:12" s="2196" customFormat="1">
      <c r="A168" s="2205"/>
      <c r="D168" s="2206"/>
      <c r="K168" s="27"/>
      <c r="L168" s="27"/>
    </row>
    <row r="169" spans="1:12" s="2196" customFormat="1">
      <c r="A169" s="2205"/>
      <c r="D169" s="2206"/>
      <c r="K169" s="27"/>
      <c r="L169" s="27"/>
    </row>
    <row r="170" spans="1:12" s="2196" customFormat="1">
      <c r="A170" s="2205"/>
      <c r="D170" s="2206"/>
      <c r="K170" s="27"/>
      <c r="L170" s="27"/>
    </row>
    <row r="171" spans="1:12" s="2196" customFormat="1">
      <c r="A171" s="2205"/>
      <c r="D171" s="2206"/>
      <c r="K171" s="27"/>
      <c r="L171" s="27"/>
    </row>
    <row r="172" spans="1:12" s="2196" customFormat="1">
      <c r="A172" s="2205"/>
      <c r="D172" s="2206"/>
      <c r="K172" s="27"/>
      <c r="L172" s="27"/>
    </row>
    <row r="173" spans="1:12" s="2196" customFormat="1">
      <c r="A173" s="2205"/>
      <c r="D173" s="2206"/>
      <c r="K173" s="27"/>
      <c r="L173" s="27"/>
    </row>
    <row r="174" spans="1:12" s="2196" customFormat="1">
      <c r="A174" s="2205"/>
      <c r="D174" s="2206"/>
      <c r="K174" s="27"/>
      <c r="L174" s="27"/>
    </row>
  </sheetData>
  <sheetProtection password="C66D" sheet="1" objects="1" scenarios="1" formatCells="0" formatColumns="0" formatRows="0"/>
  <mergeCells count="4">
    <mergeCell ref="L19:N19"/>
    <mergeCell ref="O19:P19"/>
    <mergeCell ref="O20:P20"/>
    <mergeCell ref="O21:P21"/>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231" customWidth="1"/>
    <col min="2" max="2" width="24.5" style="2279" customWidth="1"/>
    <col min="3" max="3" width="24.5" style="2278" customWidth="1"/>
    <col min="4" max="4" width="2.625" style="2278" customWidth="1"/>
    <col min="5" max="5" width="5.875" style="2278" customWidth="1"/>
    <col min="6" max="6" width="27" style="2279" customWidth="1"/>
    <col min="7" max="7" width="27" style="2280" customWidth="1"/>
    <col min="8" max="8" width="11.875" style="2258" customWidth="1"/>
    <col min="9" max="9" width="16.75" style="2259" customWidth="1"/>
    <col min="10" max="10" width="2.625" style="2258" customWidth="1"/>
    <col min="11" max="11" width="11.875" style="2258" customWidth="1"/>
    <col min="12" max="12" width="16.75" style="2259" customWidth="1"/>
    <col min="13" max="13" width="2.625" style="2258" customWidth="1"/>
    <col min="14" max="14" width="11.875" style="2258" customWidth="1"/>
    <col min="15" max="15" width="16.75" style="2259" customWidth="1"/>
    <col min="16" max="16" width="2.625" style="2258" customWidth="1"/>
    <col min="17" max="17" width="11.875" style="2258" customWidth="1"/>
    <col min="18" max="18" width="16.75" style="2260" customWidth="1"/>
    <col min="19" max="29" width="9" style="2230"/>
    <col min="30" max="16384" width="9" style="2231"/>
  </cols>
  <sheetData>
    <row r="1" spans="1:29" s="2224" customFormat="1" ht="19.5" thickBot="1">
      <c r="A1" s="3176" t="s">
        <v>1964</v>
      </c>
      <c r="B1" s="3177"/>
      <c r="C1" s="3177"/>
      <c r="D1" s="3177"/>
      <c r="E1" s="3177"/>
      <c r="F1" s="3177"/>
      <c r="G1" s="3177"/>
      <c r="H1" s="2219"/>
      <c r="I1" s="2220"/>
      <c r="J1" s="2219"/>
      <c r="K1" s="2219"/>
      <c r="L1" s="2220"/>
      <c r="M1" s="2219"/>
      <c r="N1" s="2219"/>
      <c r="O1" s="2220"/>
      <c r="P1" s="2219"/>
      <c r="Q1" s="2221"/>
      <c r="R1" s="2222"/>
      <c r="S1" s="2223"/>
      <c r="T1" s="2223"/>
      <c r="U1" s="2223"/>
      <c r="V1" s="2223"/>
      <c r="W1" s="2223"/>
      <c r="X1" s="2223"/>
      <c r="Y1" s="2223"/>
      <c r="Z1" s="2223"/>
      <c r="AA1" s="2223"/>
      <c r="AB1" s="2223"/>
      <c r="AC1" s="2223"/>
    </row>
    <row r="2" spans="1:29" ht="15.75" thickBot="1">
      <c r="A2" s="2225"/>
      <c r="B2" s="2226"/>
      <c r="C2" s="2227" t="s">
        <v>1965</v>
      </c>
      <c r="D2" s="2228"/>
      <c r="E2" s="2229"/>
      <c r="F2" s="2199"/>
      <c r="G2" s="2227" t="s">
        <v>1966</v>
      </c>
      <c r="H2" s="2230"/>
      <c r="I2" s="2230"/>
      <c r="J2" s="2230"/>
      <c r="K2" s="2230"/>
      <c r="L2" s="2230"/>
      <c r="M2" s="2230"/>
      <c r="N2" s="2230"/>
      <c r="O2" s="2230"/>
      <c r="P2" s="2230"/>
      <c r="Q2" s="2230"/>
      <c r="R2" s="2230"/>
    </row>
    <row r="3" spans="1:29" ht="54">
      <c r="A3" s="358" t="s">
        <v>1967</v>
      </c>
      <c r="B3" s="1200" t="s">
        <v>1968</v>
      </c>
      <c r="C3" s="2232" t="s">
        <v>1969</v>
      </c>
      <c r="D3" s="2233"/>
      <c r="E3" s="374" t="s">
        <v>1967</v>
      </c>
      <c r="F3" s="2234" t="s">
        <v>1970</v>
      </c>
      <c r="G3" s="2235"/>
      <c r="H3" s="2230"/>
      <c r="I3" s="2230"/>
      <c r="J3" s="2230"/>
      <c r="K3" s="2230"/>
      <c r="L3" s="2230"/>
      <c r="M3" s="2230"/>
      <c r="N3" s="2230"/>
      <c r="O3" s="2230"/>
      <c r="P3" s="2230"/>
      <c r="Q3" s="2230"/>
      <c r="R3" s="2230"/>
    </row>
    <row r="4" spans="1:29" ht="41.25">
      <c r="A4" s="374"/>
      <c r="B4" s="1723" t="s">
        <v>1971</v>
      </c>
      <c r="C4" s="2236" t="s">
        <v>1972</v>
      </c>
      <c r="D4" s="2233"/>
      <c r="E4" s="2237"/>
      <c r="F4" s="42" t="s">
        <v>1973</v>
      </c>
      <c r="G4" s="2238"/>
      <c r="H4" s="2230"/>
      <c r="I4" s="2230"/>
      <c r="J4" s="2230"/>
      <c r="K4" s="2230"/>
      <c r="L4" s="2230"/>
      <c r="M4" s="2230"/>
      <c r="N4" s="2230"/>
      <c r="O4" s="2230"/>
      <c r="P4" s="2230"/>
      <c r="Q4" s="2230"/>
      <c r="R4" s="2230"/>
    </row>
    <row r="5" spans="1:29" ht="15">
      <c r="A5" s="374"/>
      <c r="B5" s="1723" t="s">
        <v>1975</v>
      </c>
      <c r="C5" s="2236"/>
      <c r="D5" s="2233"/>
      <c r="E5" s="2237"/>
      <c r="F5" s="1723" t="s">
        <v>1976</v>
      </c>
      <c r="G5" s="2238"/>
      <c r="H5" s="2230"/>
      <c r="I5" s="2230"/>
      <c r="J5" s="2230"/>
      <c r="K5" s="2230"/>
      <c r="L5" s="2230"/>
      <c r="M5" s="2230"/>
      <c r="N5" s="2230"/>
      <c r="O5" s="2230"/>
      <c r="P5" s="2230"/>
      <c r="Q5" s="2230"/>
      <c r="R5" s="2230"/>
    </row>
    <row r="6" spans="1:29" ht="54">
      <c r="A6" s="374"/>
      <c r="B6" s="1723" t="s">
        <v>1977</v>
      </c>
      <c r="C6" s="2238" t="s">
        <v>1974</v>
      </c>
      <c r="D6" s="2233"/>
      <c r="E6" s="2237"/>
      <c r="F6" s="1723" t="s">
        <v>1978</v>
      </c>
      <c r="G6" s="2238"/>
      <c r="H6" s="2230"/>
      <c r="I6" s="2230"/>
      <c r="J6" s="2230"/>
      <c r="K6" s="2230"/>
      <c r="L6" s="2230"/>
      <c r="M6" s="2230"/>
      <c r="N6" s="2230"/>
      <c r="O6" s="2230"/>
      <c r="P6" s="2230"/>
      <c r="Q6" s="2230"/>
      <c r="R6" s="2230"/>
    </row>
    <row r="7" spans="1:29" ht="15.75" thickBot="1">
      <c r="A7" s="374"/>
      <c r="B7" s="1723" t="s">
        <v>1976</v>
      </c>
      <c r="C7" s="2238"/>
      <c r="D7" s="2239"/>
      <c r="E7" s="2240"/>
      <c r="F7" s="2241" t="s">
        <v>1979</v>
      </c>
      <c r="G7" s="2242"/>
      <c r="H7" s="2230"/>
      <c r="I7" s="2230"/>
      <c r="J7" s="2230"/>
      <c r="K7" s="2230"/>
      <c r="L7" s="2230"/>
      <c r="M7" s="2230"/>
      <c r="N7" s="2230"/>
      <c r="O7" s="2230"/>
      <c r="P7" s="2230"/>
      <c r="Q7" s="2230"/>
      <c r="R7" s="2230"/>
    </row>
    <row r="8" spans="1:29" ht="15">
      <c r="A8" s="374"/>
      <c r="B8" s="1723" t="s">
        <v>1978</v>
      </c>
      <c r="C8" s="2238"/>
      <c r="D8" s="2239"/>
      <c r="E8" s="2239"/>
      <c r="F8" s="1079"/>
      <c r="G8" s="1079"/>
      <c r="H8" s="2230"/>
      <c r="I8" s="2230"/>
      <c r="J8" s="2230"/>
      <c r="K8" s="2230"/>
      <c r="L8" s="2230"/>
      <c r="M8" s="2230"/>
      <c r="N8" s="2230"/>
      <c r="O8" s="2230"/>
      <c r="P8" s="2230"/>
      <c r="Q8" s="2230"/>
      <c r="R8" s="2230"/>
    </row>
    <row r="9" spans="1:29" ht="15">
      <c r="A9" s="374"/>
      <c r="B9" s="1723" t="s">
        <v>1980</v>
      </c>
      <c r="C9" s="2236"/>
      <c r="D9" s="2233"/>
      <c r="E9" s="2239"/>
      <c r="F9" s="1079"/>
      <c r="G9" s="1079"/>
      <c r="H9" s="2230"/>
      <c r="I9" s="2230"/>
      <c r="J9" s="2230"/>
      <c r="K9" s="2230"/>
      <c r="L9" s="2230"/>
      <c r="M9" s="2230"/>
      <c r="N9" s="2230"/>
      <c r="O9" s="2230"/>
      <c r="P9" s="2230"/>
      <c r="Q9" s="2230"/>
      <c r="R9" s="2230"/>
    </row>
    <row r="10" spans="1:29" s="72" customFormat="1" ht="15.75" thickBot="1">
      <c r="A10" s="2243"/>
      <c r="B10" s="2244" t="s">
        <v>1981</v>
      </c>
      <c r="C10" s="2245"/>
      <c r="D10" s="2233"/>
      <c r="E10" s="2233"/>
      <c r="F10" s="1079"/>
      <c r="G10" s="1079"/>
      <c r="H10" s="2246"/>
      <c r="I10" s="2247"/>
      <c r="J10" s="2248"/>
      <c r="K10" s="2246"/>
      <c r="L10" s="2247"/>
      <c r="M10" s="2248"/>
      <c r="N10" s="2246"/>
      <c r="O10" s="2247"/>
      <c r="P10" s="2248"/>
      <c r="Q10" s="2246"/>
      <c r="R10" s="2247"/>
      <c r="S10" s="2230"/>
      <c r="T10" s="2230"/>
      <c r="U10" s="2230"/>
      <c r="V10" s="2230"/>
      <c r="W10" s="2230"/>
      <c r="X10" s="2230"/>
      <c r="Y10" s="2230"/>
      <c r="Z10" s="2230"/>
      <c r="AA10" s="2230"/>
      <c r="AB10" s="2230"/>
      <c r="AC10" s="2230"/>
    </row>
    <row r="11" spans="1:29" s="72" customFormat="1" ht="15">
      <c r="A11" s="2249"/>
      <c r="B11" s="2239"/>
      <c r="C11" s="2233"/>
      <c r="D11" s="2233"/>
      <c r="E11" s="2233"/>
      <c r="F11" s="2239"/>
      <c r="G11" s="1097"/>
      <c r="H11" s="2246"/>
      <c r="I11" s="2247"/>
      <c r="J11" s="2248"/>
      <c r="K11" s="2246"/>
      <c r="L11" s="2247"/>
      <c r="M11" s="2248"/>
      <c r="N11" s="2246"/>
      <c r="O11" s="2247"/>
      <c r="P11" s="2248"/>
      <c r="Q11" s="2246"/>
      <c r="R11" s="2247"/>
      <c r="S11" s="2230"/>
      <c r="T11" s="2230"/>
      <c r="U11" s="2230"/>
      <c r="V11" s="2230"/>
      <c r="W11" s="2230"/>
      <c r="X11" s="2230"/>
      <c r="Y11" s="2230"/>
      <c r="Z11" s="2230"/>
      <c r="AA11" s="2230"/>
      <c r="AB11" s="2230"/>
      <c r="AC11" s="2230"/>
    </row>
    <row r="12" spans="1:29" s="2224" customFormat="1" ht="18">
      <c r="A12" s="2249"/>
      <c r="B12" s="2239"/>
      <c r="C12" s="2233"/>
      <c r="D12" s="2250"/>
      <c r="E12" s="2233"/>
      <c r="F12" s="2239"/>
      <c r="G12" s="1097"/>
      <c r="H12" s="2251"/>
      <c r="I12" s="2252"/>
      <c r="J12" s="2251"/>
      <c r="K12" s="2251"/>
      <c r="L12" s="2253"/>
      <c r="M12" s="2251"/>
      <c r="N12" s="2254"/>
      <c r="O12" s="2255"/>
      <c r="P12" s="2254"/>
      <c r="Q12" s="2254"/>
      <c r="R12" s="2222"/>
      <c r="S12" s="2223"/>
      <c r="T12" s="2223"/>
      <c r="U12" s="2223"/>
      <c r="V12" s="2223"/>
      <c r="W12" s="2223"/>
      <c r="X12" s="2223"/>
      <c r="Y12" s="2223"/>
      <c r="Z12" s="2223"/>
      <c r="AA12" s="2223"/>
      <c r="AB12" s="2223"/>
      <c r="AC12" s="2223"/>
    </row>
    <row r="13" spans="1:29" ht="19.5" thickBot="1">
      <c r="A13" s="2256" t="s">
        <v>1982</v>
      </c>
      <c r="B13" s="2250"/>
      <c r="C13" s="2250"/>
      <c r="D13" s="2257"/>
      <c r="E13" s="2250"/>
      <c r="F13" s="2250"/>
      <c r="G13" s="2250"/>
    </row>
    <row r="14" spans="1:29" ht="15.75" thickBot="1">
      <c r="A14" s="2261"/>
      <c r="B14" s="2262"/>
      <c r="C14" s="2263" t="s">
        <v>1983</v>
      </c>
      <c r="D14" s="2233"/>
      <c r="E14" s="2264"/>
      <c r="F14" s="2264"/>
      <c r="G14" s="2227" t="s">
        <v>1984</v>
      </c>
    </row>
    <row r="15" spans="1:29" ht="57">
      <c r="A15" s="67" t="s">
        <v>1985</v>
      </c>
      <c r="B15" s="1199" t="s">
        <v>1968</v>
      </c>
      <c r="C15" s="2265" t="str">
        <f>C3</f>
        <v>估价对象周边居住用地比例、居住小区规模和社区发展完善程度，综合评价居住社区成熟度一般</v>
      </c>
      <c r="D15" s="2233"/>
      <c r="E15" s="2266" t="s">
        <v>1986</v>
      </c>
      <c r="F15" s="1199" t="s">
        <v>1987</v>
      </c>
      <c r="G15" s="78">
        <f>G3</f>
        <v>0</v>
      </c>
    </row>
    <row r="16" spans="1:29" ht="42.75">
      <c r="A16" s="588"/>
      <c r="B16" s="2267" t="s">
        <v>1971</v>
      </c>
      <c r="C16" s="2268" t="str">
        <f>C4</f>
        <v>估价对象位于XX商圈，周边商业氛围成熟，人流量大，商业繁华度好</v>
      </c>
      <c r="D16" s="2233"/>
      <c r="E16" s="2269"/>
      <c r="F16" s="2270" t="s">
        <v>1973</v>
      </c>
      <c r="G16" s="79">
        <f>G4</f>
        <v>0</v>
      </c>
    </row>
    <row r="17" spans="1:18" ht="15">
      <c r="A17" s="588"/>
      <c r="B17" s="2267" t="s">
        <v>1975</v>
      </c>
      <c r="C17" s="2268">
        <f>C5</f>
        <v>0</v>
      </c>
      <c r="D17" s="2239"/>
      <c r="E17" s="2269"/>
      <c r="F17" s="2270" t="s">
        <v>1988</v>
      </c>
      <c r="G17" s="1499"/>
    </row>
    <row r="18" spans="1:18" ht="57">
      <c r="A18" s="588"/>
      <c r="B18" s="2270" t="s">
        <v>1977</v>
      </c>
      <c r="C18" s="79" t="str">
        <f>C6</f>
        <v>估价对象周边道路状况、公共交通通达情况、停车便捷程度，综合评价交通便捷度较好</v>
      </c>
      <c r="D18" s="2239"/>
      <c r="E18" s="2269"/>
      <c r="F18" s="2270" t="s">
        <v>1979</v>
      </c>
      <c r="G18" s="79">
        <f>G7</f>
        <v>0</v>
      </c>
    </row>
    <row r="19" spans="1:18" ht="15">
      <c r="A19" s="588"/>
      <c r="B19" s="2270" t="s">
        <v>1989</v>
      </c>
      <c r="C19" s="1499"/>
      <c r="D19" s="2233"/>
      <c r="E19" s="2269"/>
      <c r="F19" s="1723" t="s">
        <v>1976</v>
      </c>
      <c r="G19" s="79">
        <f>G5</f>
        <v>0</v>
      </c>
    </row>
    <row r="20" spans="1:18" ht="15">
      <c r="A20" s="588"/>
      <c r="B20" s="2270" t="s">
        <v>1990</v>
      </c>
      <c r="C20" s="2268">
        <f>C9</f>
        <v>0</v>
      </c>
      <c r="D20" s="2239"/>
      <c r="E20" s="2269"/>
      <c r="F20" s="1723" t="s">
        <v>1991</v>
      </c>
      <c r="G20" s="79">
        <f>G6</f>
        <v>0</v>
      </c>
    </row>
    <row r="21" spans="1:18" ht="15">
      <c r="A21" s="588"/>
      <c r="B21" s="1723" t="s">
        <v>1976</v>
      </c>
      <c r="C21" s="79">
        <f>C7</f>
        <v>0</v>
      </c>
      <c r="D21" s="2233"/>
      <c r="E21" s="2269"/>
      <c r="F21" s="2270" t="s">
        <v>1992</v>
      </c>
      <c r="G21" s="2271"/>
    </row>
    <row r="22" spans="1:18" ht="13.5" customHeight="1">
      <c r="A22" s="588"/>
      <c r="B22" s="1723" t="s">
        <v>1978</v>
      </c>
      <c r="C22" s="79">
        <f>C8</f>
        <v>0</v>
      </c>
      <c r="D22" s="2233"/>
      <c r="E22" s="2269"/>
      <c r="F22" s="2270" t="s">
        <v>1981</v>
      </c>
      <c r="G22" s="1499"/>
    </row>
    <row r="23" spans="1:18" s="2230" customFormat="1" ht="15.75" thickBot="1">
      <c r="A23" s="588"/>
      <c r="B23" s="2270" t="s">
        <v>1992</v>
      </c>
      <c r="C23" s="2271"/>
      <c r="D23" s="2258"/>
      <c r="E23" s="2272"/>
      <c r="F23" s="2273" t="s">
        <v>1993</v>
      </c>
      <c r="G23" s="2274"/>
      <c r="H23" s="2258"/>
      <c r="I23" s="2259"/>
      <c r="J23" s="2258"/>
      <c r="K23" s="2258"/>
      <c r="L23" s="2259"/>
      <c r="M23" s="2258"/>
      <c r="N23" s="2258"/>
      <c r="O23" s="2259"/>
      <c r="P23" s="2258"/>
      <c r="Q23" s="2258"/>
      <c r="R23" s="2260"/>
    </row>
    <row r="24" spans="1:18" s="2230" customFormat="1" ht="15.75" thickBot="1">
      <c r="A24" s="2275"/>
      <c r="B24" s="2273" t="s">
        <v>1994</v>
      </c>
      <c r="C24" s="80">
        <f>C10</f>
        <v>0</v>
      </c>
      <c r="D24" s="2258"/>
      <c r="E24" s="2276"/>
      <c r="F24" s="2276"/>
      <c r="G24" s="2277"/>
      <c r="H24" s="2258"/>
      <c r="I24" s="2259"/>
      <c r="J24" s="2258"/>
      <c r="K24" s="2258"/>
      <c r="L24" s="2259"/>
      <c r="M24" s="2258"/>
      <c r="N24" s="2258"/>
      <c r="O24" s="2259"/>
      <c r="P24" s="2258"/>
      <c r="Q24" s="2258"/>
      <c r="R24" s="2260"/>
    </row>
    <row r="25" spans="1:18" s="2230" customFormat="1">
      <c r="B25" s="2258"/>
      <c r="C25" s="2258"/>
      <c r="D25" s="2258"/>
      <c r="H25" s="2258"/>
      <c r="I25" s="2259"/>
      <c r="J25" s="2258"/>
      <c r="K25" s="2258"/>
      <c r="L25" s="2259"/>
      <c r="M25" s="2258"/>
      <c r="N25" s="2258"/>
      <c r="O25" s="2259"/>
      <c r="P25" s="2258"/>
      <c r="Q25" s="2258"/>
      <c r="R25" s="2260"/>
    </row>
    <row r="26" spans="1:18" s="2230" customFormat="1">
      <c r="B26" s="2258"/>
      <c r="C26" s="2258"/>
      <c r="D26" s="2258"/>
      <c r="H26" s="2258"/>
      <c r="I26" s="2259"/>
      <c r="J26" s="2258"/>
      <c r="K26" s="2258"/>
      <c r="L26" s="2259"/>
      <c r="M26" s="2258"/>
      <c r="N26" s="2258"/>
      <c r="O26" s="2259"/>
      <c r="P26" s="2258"/>
      <c r="Q26" s="2258"/>
      <c r="R26" s="2260"/>
    </row>
    <row r="27" spans="1:18" s="2230" customFormat="1">
      <c r="B27" s="2258"/>
      <c r="C27" s="2258"/>
      <c r="D27" s="2258"/>
      <c r="H27" s="2258"/>
      <c r="I27" s="2259"/>
      <c r="J27" s="2258"/>
      <c r="K27" s="2258"/>
      <c r="L27" s="2259"/>
      <c r="M27" s="2258"/>
      <c r="N27" s="2258"/>
      <c r="O27" s="2259"/>
      <c r="P27" s="2258"/>
      <c r="Q27" s="2258"/>
      <c r="R27" s="2260"/>
    </row>
    <row r="28" spans="1:18" s="2230" customFormat="1">
      <c r="B28" s="2258"/>
      <c r="C28" s="2258"/>
      <c r="D28" s="2258"/>
      <c r="H28" s="2258"/>
      <c r="I28" s="2259"/>
      <c r="J28" s="2258"/>
      <c r="K28" s="2258"/>
      <c r="L28" s="2259"/>
      <c r="M28" s="2258"/>
      <c r="N28" s="2258"/>
      <c r="O28" s="2259"/>
      <c r="P28" s="2258"/>
      <c r="Q28" s="2258"/>
      <c r="R28" s="2260"/>
    </row>
    <row r="29" spans="1:18" s="2230" customFormat="1">
      <c r="B29" s="2258"/>
      <c r="C29" s="2258"/>
      <c r="D29" s="2258"/>
      <c r="H29" s="2258"/>
      <c r="I29" s="2259"/>
      <c r="J29" s="2258"/>
      <c r="K29" s="2258"/>
      <c r="L29" s="2259"/>
      <c r="M29" s="2258"/>
      <c r="N29" s="2258"/>
      <c r="O29" s="2259"/>
      <c r="P29" s="2258"/>
      <c r="Q29" s="2258"/>
      <c r="R29" s="2260"/>
    </row>
    <row r="30" spans="1:18" s="2230" customFormat="1">
      <c r="B30" s="2258"/>
      <c r="C30" s="2258"/>
      <c r="D30" s="2258"/>
      <c r="H30" s="2258"/>
      <c r="I30" s="2259"/>
      <c r="J30" s="2258"/>
      <c r="K30" s="2258"/>
      <c r="L30" s="2259"/>
      <c r="M30" s="2258"/>
      <c r="N30" s="2258"/>
      <c r="O30" s="2259"/>
      <c r="P30" s="2258"/>
      <c r="Q30" s="2258"/>
      <c r="R30" s="2260"/>
    </row>
    <row r="31" spans="1:18" s="2230" customFormat="1">
      <c r="B31" s="2258"/>
      <c r="C31" s="2258"/>
      <c r="D31" s="2258"/>
      <c r="H31" s="2258"/>
      <c r="I31" s="2259"/>
      <c r="J31" s="2258"/>
      <c r="K31" s="2258"/>
      <c r="L31" s="2259"/>
      <c r="M31" s="2258"/>
      <c r="N31" s="2258"/>
      <c r="O31" s="2259"/>
      <c r="P31" s="2258"/>
      <c r="Q31" s="2258"/>
      <c r="R31" s="2260"/>
    </row>
    <row r="32" spans="1:18" s="2230" customFormat="1">
      <c r="B32" s="2258"/>
      <c r="C32" s="2258"/>
      <c r="D32" s="2258"/>
      <c r="H32" s="2258"/>
      <c r="I32" s="2259"/>
      <c r="J32" s="2258"/>
      <c r="K32" s="2258"/>
      <c r="L32" s="2259"/>
      <c r="M32" s="2258"/>
      <c r="N32" s="2258"/>
      <c r="O32" s="2259"/>
      <c r="P32" s="2258"/>
      <c r="Q32" s="2258"/>
      <c r="R32" s="2260"/>
    </row>
    <row r="33" spans="2:18" s="2230" customFormat="1">
      <c r="B33" s="2258"/>
      <c r="C33" s="2258"/>
      <c r="D33" s="2258"/>
      <c r="H33" s="2258"/>
      <c r="I33" s="2259"/>
      <c r="J33" s="2258"/>
      <c r="K33" s="2258"/>
      <c r="L33" s="2259"/>
      <c r="M33" s="2258"/>
      <c r="N33" s="2258"/>
      <c r="O33" s="2259"/>
      <c r="P33" s="2258"/>
      <c r="Q33" s="2258"/>
      <c r="R33" s="2260"/>
    </row>
    <row r="34" spans="2:18" s="2230" customFormat="1">
      <c r="B34" s="2258"/>
      <c r="C34" s="2258"/>
      <c r="D34" s="2258"/>
      <c r="H34" s="2258"/>
      <c r="I34" s="2259"/>
      <c r="J34" s="2258"/>
      <c r="K34" s="2258"/>
      <c r="L34" s="2259"/>
      <c r="M34" s="2258"/>
      <c r="N34" s="2258"/>
      <c r="O34" s="2259"/>
      <c r="P34" s="2258"/>
      <c r="Q34" s="2258"/>
      <c r="R34" s="2260"/>
    </row>
    <row r="35" spans="2:18" s="2230" customFormat="1">
      <c r="B35" s="2258"/>
      <c r="C35" s="2258"/>
      <c r="D35" s="2258"/>
      <c r="H35" s="2258"/>
      <c r="I35" s="2259"/>
      <c r="J35" s="2258"/>
      <c r="K35" s="2258"/>
      <c r="L35" s="2259"/>
      <c r="M35" s="2258"/>
      <c r="N35" s="2258"/>
      <c r="O35" s="2259"/>
      <c r="P35" s="2258"/>
      <c r="Q35" s="2258"/>
      <c r="R35" s="2260"/>
    </row>
    <row r="36" spans="2:18" s="2230" customFormat="1">
      <c r="B36" s="2258"/>
      <c r="C36" s="2258"/>
      <c r="D36" s="2258"/>
      <c r="H36" s="2258"/>
      <c r="I36" s="2259"/>
      <c r="J36" s="2258"/>
      <c r="K36" s="2258"/>
      <c r="L36" s="2259"/>
      <c r="M36" s="2258"/>
      <c r="N36" s="2258"/>
      <c r="O36" s="2259"/>
      <c r="P36" s="2258"/>
      <c r="Q36" s="2258"/>
      <c r="R36" s="2260"/>
    </row>
    <row r="37" spans="2:18" s="2230" customFormat="1">
      <c r="B37" s="2258"/>
      <c r="C37" s="2258"/>
      <c r="D37" s="2258"/>
      <c r="H37" s="2258"/>
      <c r="I37" s="2259"/>
      <c r="J37" s="2258"/>
      <c r="K37" s="2258"/>
      <c r="L37" s="2259"/>
      <c r="M37" s="2258"/>
      <c r="N37" s="2258"/>
      <c r="O37" s="2259"/>
      <c r="P37" s="2258"/>
      <c r="Q37" s="2258"/>
      <c r="R37" s="2260"/>
    </row>
    <row r="38" spans="2:18" s="2230" customFormat="1">
      <c r="B38" s="2258"/>
      <c r="C38" s="2258"/>
      <c r="D38" s="2258"/>
      <c r="E38" s="2258"/>
      <c r="F38" s="2258"/>
      <c r="G38" s="2259"/>
      <c r="H38" s="2258"/>
      <c r="I38" s="2259"/>
      <c r="J38" s="2258"/>
      <c r="K38" s="2258"/>
      <c r="L38" s="2259"/>
      <c r="M38" s="2258"/>
      <c r="N38" s="2258"/>
      <c r="O38" s="2259"/>
      <c r="P38" s="2258"/>
      <c r="Q38" s="2258"/>
      <c r="R38" s="2260"/>
    </row>
    <row r="39" spans="2:18" s="2230" customFormat="1">
      <c r="B39" s="2258"/>
      <c r="C39" s="2258"/>
      <c r="D39" s="2258"/>
      <c r="E39" s="2258"/>
      <c r="F39" s="2258"/>
      <c r="G39" s="2259"/>
      <c r="H39" s="2258"/>
      <c r="I39" s="2259"/>
      <c r="J39" s="2258"/>
      <c r="K39" s="2258"/>
      <c r="L39" s="2259"/>
      <c r="M39" s="2258"/>
      <c r="N39" s="2258"/>
      <c r="O39" s="2259"/>
      <c r="P39" s="2258"/>
      <c r="Q39" s="2258"/>
      <c r="R39" s="2260"/>
    </row>
    <row r="40" spans="2:18" s="2230" customFormat="1">
      <c r="B40" s="2258"/>
      <c r="C40" s="2258"/>
      <c r="D40" s="2258"/>
      <c r="E40" s="2258"/>
      <c r="F40" s="2258"/>
      <c r="G40" s="2259"/>
      <c r="H40" s="2258"/>
      <c r="I40" s="2259"/>
      <c r="J40" s="2258"/>
      <c r="K40" s="2258"/>
      <c r="L40" s="2259"/>
      <c r="M40" s="2258"/>
      <c r="N40" s="2258"/>
      <c r="O40" s="2259"/>
      <c r="P40" s="2258"/>
      <c r="Q40" s="2258"/>
      <c r="R40" s="2260"/>
    </row>
    <row r="41" spans="2:18" s="2230" customFormat="1">
      <c r="B41" s="2258"/>
      <c r="C41" s="2258"/>
      <c r="D41" s="2258"/>
      <c r="E41" s="2258"/>
      <c r="F41" s="2258"/>
      <c r="G41" s="2259"/>
      <c r="H41" s="2258"/>
      <c r="I41" s="2259"/>
      <c r="J41" s="2258"/>
      <c r="K41" s="2258"/>
      <c r="L41" s="2259"/>
      <c r="M41" s="2258"/>
      <c r="N41" s="2258"/>
      <c r="O41" s="2259"/>
      <c r="P41" s="2258"/>
      <c r="Q41" s="2258"/>
      <c r="R41" s="2260"/>
    </row>
    <row r="42" spans="2:18" s="2230" customFormat="1">
      <c r="B42" s="2258"/>
      <c r="C42" s="2258"/>
      <c r="D42" s="2258"/>
      <c r="E42" s="2258"/>
      <c r="F42" s="2258"/>
      <c r="G42" s="2259"/>
      <c r="H42" s="2258"/>
      <c r="I42" s="2259"/>
      <c r="J42" s="2258"/>
      <c r="K42" s="2258"/>
      <c r="L42" s="2259"/>
      <c r="M42" s="2258"/>
      <c r="N42" s="2258"/>
      <c r="O42" s="2259"/>
      <c r="P42" s="2258"/>
      <c r="Q42" s="2258"/>
      <c r="R42" s="2260"/>
    </row>
    <row r="43" spans="2:18" s="2230" customFormat="1">
      <c r="B43" s="2258"/>
      <c r="C43" s="2258"/>
      <c r="D43" s="2258"/>
      <c r="E43" s="2258"/>
      <c r="F43" s="2258"/>
      <c r="G43" s="2259"/>
      <c r="H43" s="2258"/>
      <c r="I43" s="2259"/>
      <c r="J43" s="2258"/>
      <c r="K43" s="2258"/>
      <c r="L43" s="2259"/>
      <c r="M43" s="2258"/>
      <c r="N43" s="2258"/>
      <c r="O43" s="2259"/>
      <c r="P43" s="2258"/>
      <c r="Q43" s="2258"/>
      <c r="R43" s="2260"/>
    </row>
    <row r="44" spans="2:18" s="2230" customFormat="1">
      <c r="B44" s="2258"/>
      <c r="C44" s="2258"/>
      <c r="D44" s="2258"/>
      <c r="E44" s="2258"/>
      <c r="F44" s="2258"/>
      <c r="G44" s="2259"/>
      <c r="H44" s="2258"/>
      <c r="I44" s="2259"/>
      <c r="J44" s="2258"/>
      <c r="K44" s="2258"/>
      <c r="L44" s="2259"/>
      <c r="M44" s="2258"/>
      <c r="N44" s="2258"/>
      <c r="O44" s="2259"/>
      <c r="P44" s="2258"/>
      <c r="Q44" s="2258"/>
      <c r="R44" s="2260"/>
    </row>
    <row r="45" spans="2:18" s="2230" customFormat="1">
      <c r="B45" s="2258"/>
      <c r="C45" s="2258"/>
      <c r="D45" s="2258"/>
      <c r="E45" s="2258"/>
      <c r="F45" s="2258"/>
      <c r="G45" s="2259"/>
      <c r="H45" s="2258"/>
      <c r="I45" s="2259"/>
      <c r="J45" s="2258"/>
      <c r="K45" s="2258"/>
      <c r="L45" s="2259"/>
      <c r="M45" s="2258"/>
      <c r="N45" s="2258"/>
      <c r="O45" s="2259"/>
      <c r="P45" s="2258"/>
      <c r="Q45" s="2258"/>
      <c r="R45" s="2260"/>
    </row>
    <row r="46" spans="2:18" s="2230" customFormat="1">
      <c r="B46" s="2258"/>
      <c r="C46" s="2258"/>
      <c r="D46" s="2258"/>
      <c r="E46" s="2258"/>
      <c r="F46" s="2258"/>
      <c r="G46" s="2259"/>
      <c r="H46" s="2258"/>
      <c r="I46" s="2259"/>
      <c r="J46" s="2258"/>
      <c r="K46" s="2258"/>
      <c r="L46" s="2259"/>
      <c r="M46" s="2258"/>
      <c r="N46" s="2258"/>
      <c r="O46" s="2259"/>
      <c r="P46" s="2258"/>
      <c r="Q46" s="2258"/>
      <c r="R46" s="2260"/>
    </row>
    <row r="47" spans="2:18" s="2230" customFormat="1">
      <c r="B47" s="2258"/>
      <c r="C47" s="2258"/>
      <c r="D47" s="2258"/>
      <c r="E47" s="2258"/>
      <c r="F47" s="2258"/>
      <c r="G47" s="2259"/>
      <c r="H47" s="2258"/>
      <c r="I47" s="2259"/>
      <c r="J47" s="2258"/>
      <c r="K47" s="2258"/>
      <c r="L47" s="2259"/>
      <c r="M47" s="2258"/>
      <c r="N47" s="2258"/>
      <c r="O47" s="2259"/>
      <c r="P47" s="2258"/>
      <c r="Q47" s="2258"/>
      <c r="R47" s="2260"/>
    </row>
    <row r="48" spans="2:18" s="2230" customFormat="1">
      <c r="B48" s="2258"/>
      <c r="C48" s="2258"/>
      <c r="D48" s="2258"/>
      <c r="E48" s="2258"/>
      <c r="F48" s="2258"/>
      <c r="G48" s="2259"/>
      <c r="H48" s="2258"/>
      <c r="I48" s="2259"/>
      <c r="J48" s="2258"/>
      <c r="K48" s="2258"/>
      <c r="L48" s="2259"/>
      <c r="M48" s="2258"/>
      <c r="N48" s="2258"/>
      <c r="O48" s="2259"/>
      <c r="P48" s="2258"/>
      <c r="Q48" s="2258"/>
      <c r="R48" s="2260"/>
    </row>
    <row r="49" spans="2:18" s="2230" customFormat="1">
      <c r="B49" s="2258"/>
      <c r="C49" s="2258"/>
      <c r="D49" s="2258"/>
      <c r="E49" s="2258"/>
      <c r="F49" s="2258"/>
      <c r="G49" s="2259"/>
      <c r="H49" s="2258"/>
      <c r="I49" s="2259"/>
      <c r="J49" s="2258"/>
      <c r="K49" s="2258"/>
      <c r="L49" s="2259"/>
      <c r="M49" s="2258"/>
      <c r="N49" s="2258"/>
      <c r="O49" s="2259"/>
      <c r="P49" s="2258"/>
      <c r="Q49" s="2258"/>
      <c r="R49" s="2260"/>
    </row>
    <row r="50" spans="2:18" s="2230" customFormat="1">
      <c r="B50" s="2258"/>
      <c r="C50" s="2258"/>
      <c r="D50" s="2258"/>
      <c r="E50" s="2258"/>
      <c r="F50" s="2258"/>
      <c r="G50" s="2259"/>
      <c r="H50" s="2258"/>
      <c r="I50" s="2259"/>
      <c r="J50" s="2258"/>
      <c r="K50" s="2258"/>
      <c r="L50" s="2259"/>
      <c r="M50" s="2258"/>
      <c r="N50" s="2258"/>
      <c r="O50" s="2259"/>
      <c r="P50" s="2258"/>
      <c r="Q50" s="2258"/>
      <c r="R50" s="2260"/>
    </row>
    <row r="51" spans="2:18" s="2230" customFormat="1">
      <c r="B51" s="2258"/>
      <c r="C51" s="2258"/>
      <c r="D51" s="2258"/>
      <c r="E51" s="2258"/>
      <c r="F51" s="2258"/>
      <c r="G51" s="2259"/>
      <c r="H51" s="2258"/>
      <c r="I51" s="2259"/>
      <c r="J51" s="2258"/>
      <c r="K51" s="2258"/>
      <c r="L51" s="2259"/>
      <c r="M51" s="2258"/>
      <c r="N51" s="2258"/>
      <c r="O51" s="2259"/>
      <c r="P51" s="2258"/>
      <c r="Q51" s="2258"/>
      <c r="R51" s="2260"/>
    </row>
    <row r="52" spans="2:18" s="2230" customFormat="1">
      <c r="B52" s="2258"/>
      <c r="C52" s="2258"/>
      <c r="D52" s="2258"/>
      <c r="E52" s="2258"/>
      <c r="F52" s="2258"/>
      <c r="G52" s="2259"/>
      <c r="H52" s="2258"/>
      <c r="I52" s="2259"/>
      <c r="J52" s="2258"/>
      <c r="K52" s="2258"/>
      <c r="L52" s="2259"/>
      <c r="M52" s="2258"/>
      <c r="N52" s="2258"/>
      <c r="O52" s="2259"/>
      <c r="P52" s="2258"/>
      <c r="Q52" s="2258"/>
      <c r="R52" s="2260"/>
    </row>
    <row r="53" spans="2:18" s="2230" customFormat="1">
      <c r="B53" s="2258"/>
      <c r="C53" s="2258"/>
      <c r="D53" s="2258"/>
      <c r="E53" s="2258"/>
      <c r="F53" s="2258"/>
      <c r="G53" s="2259"/>
      <c r="H53" s="2258"/>
      <c r="I53" s="2259"/>
      <c r="J53" s="2258"/>
      <c r="K53" s="2258"/>
      <c r="L53" s="2259"/>
      <c r="M53" s="2258"/>
      <c r="N53" s="2258"/>
      <c r="O53" s="2259"/>
      <c r="P53" s="2258"/>
      <c r="Q53" s="2258"/>
      <c r="R53" s="2260"/>
    </row>
    <row r="54" spans="2:18" s="2230" customFormat="1">
      <c r="B54" s="2258"/>
      <c r="C54" s="2258"/>
      <c r="D54" s="2258"/>
      <c r="E54" s="2258"/>
      <c r="F54" s="2258"/>
      <c r="G54" s="2259"/>
      <c r="H54" s="2258"/>
      <c r="I54" s="2259"/>
      <c r="J54" s="2258"/>
      <c r="K54" s="2258"/>
      <c r="L54" s="2259"/>
      <c r="M54" s="2258"/>
      <c r="N54" s="2258"/>
      <c r="O54" s="2259"/>
      <c r="P54" s="2258"/>
      <c r="Q54" s="2258"/>
      <c r="R54" s="2260"/>
    </row>
    <row r="55" spans="2:18" s="2230" customFormat="1">
      <c r="B55" s="2258"/>
      <c r="C55" s="2258"/>
      <c r="D55" s="2258"/>
      <c r="E55" s="2258"/>
      <c r="F55" s="2258"/>
      <c r="G55" s="2259"/>
      <c r="H55" s="2258"/>
      <c r="I55" s="2259"/>
      <c r="J55" s="2258"/>
      <c r="K55" s="2258"/>
      <c r="L55" s="2259"/>
      <c r="M55" s="2258"/>
      <c r="N55" s="2258"/>
      <c r="O55" s="2259"/>
      <c r="P55" s="2258"/>
      <c r="Q55" s="2258"/>
      <c r="R55" s="2260"/>
    </row>
    <row r="56" spans="2:18" s="2230" customFormat="1">
      <c r="B56" s="2258"/>
      <c r="C56" s="2258"/>
      <c r="D56" s="2258"/>
      <c r="E56" s="2258"/>
      <c r="F56" s="2258"/>
      <c r="G56" s="2259"/>
      <c r="H56" s="2258"/>
      <c r="I56" s="2259"/>
      <c r="J56" s="2258"/>
      <c r="K56" s="2258"/>
      <c r="L56" s="2259"/>
      <c r="M56" s="2258"/>
      <c r="N56" s="2258"/>
      <c r="O56" s="2259"/>
      <c r="P56" s="2258"/>
      <c r="Q56" s="2258"/>
      <c r="R56" s="2260"/>
    </row>
    <row r="57" spans="2:18" s="2230" customFormat="1">
      <c r="B57" s="2258"/>
      <c r="C57" s="2258"/>
      <c r="D57" s="2258"/>
      <c r="E57" s="2258"/>
      <c r="F57" s="2258"/>
      <c r="G57" s="2259"/>
      <c r="H57" s="2258"/>
      <c r="I57" s="2259"/>
      <c r="J57" s="2258"/>
      <c r="K57" s="2258"/>
      <c r="L57" s="2259"/>
      <c r="M57" s="2258"/>
      <c r="N57" s="2258"/>
      <c r="O57" s="2259"/>
      <c r="P57" s="2258"/>
      <c r="Q57" s="2258"/>
      <c r="R57" s="2260"/>
    </row>
    <row r="58" spans="2:18" s="2230" customFormat="1">
      <c r="B58" s="2258"/>
      <c r="C58" s="2258"/>
      <c r="D58" s="2258"/>
      <c r="E58" s="2258"/>
      <c r="F58" s="2258"/>
      <c r="G58" s="2259"/>
      <c r="H58" s="2258"/>
      <c r="I58" s="2259"/>
      <c r="J58" s="2258"/>
      <c r="K58" s="2258"/>
      <c r="L58" s="2259"/>
      <c r="M58" s="2258"/>
      <c r="N58" s="2258"/>
      <c r="O58" s="2259"/>
      <c r="P58" s="2258"/>
      <c r="Q58" s="2258"/>
      <c r="R58" s="2260"/>
    </row>
    <row r="59" spans="2:18" s="2230" customFormat="1">
      <c r="B59" s="2258"/>
      <c r="C59" s="2258"/>
      <c r="D59" s="2258"/>
      <c r="E59" s="2258"/>
      <c r="F59" s="2258"/>
      <c r="G59" s="2259"/>
      <c r="H59" s="2258"/>
      <c r="I59" s="2259"/>
      <c r="J59" s="2258"/>
      <c r="K59" s="2258"/>
      <c r="L59" s="2259"/>
      <c r="M59" s="2258"/>
      <c r="N59" s="2258"/>
      <c r="O59" s="2259"/>
      <c r="P59" s="2258"/>
      <c r="Q59" s="2258"/>
      <c r="R59" s="2260"/>
    </row>
    <row r="60" spans="2:18" s="2230" customFormat="1">
      <c r="B60" s="2258"/>
      <c r="C60" s="2258"/>
      <c r="D60" s="2258"/>
      <c r="E60" s="2258"/>
      <c r="F60" s="2258"/>
      <c r="G60" s="2259"/>
      <c r="H60" s="2258"/>
      <c r="I60" s="2259"/>
      <c r="J60" s="2258"/>
      <c r="K60" s="2258"/>
      <c r="L60" s="2259"/>
      <c r="M60" s="2258"/>
      <c r="N60" s="2258"/>
      <c r="O60" s="2259"/>
      <c r="P60" s="2258"/>
      <c r="Q60" s="2258"/>
      <c r="R60" s="2260"/>
    </row>
    <row r="61" spans="2:18" s="2230" customFormat="1">
      <c r="B61" s="2258"/>
      <c r="C61" s="2258"/>
      <c r="D61" s="2258"/>
      <c r="E61" s="2258"/>
      <c r="F61" s="2258"/>
      <c r="G61" s="2259"/>
      <c r="H61" s="2258"/>
      <c r="I61" s="2259"/>
      <c r="J61" s="2258"/>
      <c r="K61" s="2258"/>
      <c r="L61" s="2259"/>
      <c r="M61" s="2258"/>
      <c r="N61" s="2258"/>
      <c r="O61" s="2259"/>
      <c r="P61" s="2258"/>
      <c r="Q61" s="2258"/>
      <c r="R61" s="2260"/>
    </row>
    <row r="62" spans="2:18" s="2230" customFormat="1">
      <c r="B62" s="2258"/>
      <c r="C62" s="2258"/>
      <c r="D62" s="2258"/>
      <c r="E62" s="2258"/>
      <c r="F62" s="2258"/>
      <c r="G62" s="2259"/>
      <c r="H62" s="2258"/>
      <c r="I62" s="2259"/>
      <c r="J62" s="2258"/>
      <c r="K62" s="2258"/>
      <c r="L62" s="2259"/>
      <c r="M62" s="2258"/>
      <c r="N62" s="2258"/>
      <c r="O62" s="2259"/>
      <c r="P62" s="2258"/>
      <c r="Q62" s="2258"/>
      <c r="R62" s="2260"/>
    </row>
    <row r="63" spans="2:18" s="2230" customFormat="1">
      <c r="B63" s="2258"/>
      <c r="C63" s="2258"/>
      <c r="D63" s="2258"/>
      <c r="E63" s="2258"/>
      <c r="F63" s="2258"/>
      <c r="G63" s="2259"/>
      <c r="H63" s="2258"/>
      <c r="I63" s="2259"/>
      <c r="J63" s="2258"/>
      <c r="K63" s="2258"/>
      <c r="L63" s="2259"/>
      <c r="M63" s="2258"/>
      <c r="N63" s="2258"/>
      <c r="O63" s="2259"/>
      <c r="P63" s="2258"/>
      <c r="Q63" s="2258"/>
      <c r="R63" s="2260"/>
    </row>
    <row r="64" spans="2:18" s="2230" customFormat="1">
      <c r="B64" s="2258"/>
      <c r="C64" s="2258"/>
      <c r="D64" s="2258"/>
      <c r="E64" s="2258"/>
      <c r="F64" s="2258"/>
      <c r="G64" s="2259"/>
      <c r="H64" s="2258"/>
      <c r="I64" s="2259"/>
      <c r="J64" s="2258"/>
      <c r="K64" s="2258"/>
      <c r="L64" s="2259"/>
      <c r="M64" s="2258"/>
      <c r="N64" s="2258"/>
      <c r="O64" s="2259"/>
      <c r="P64" s="2258"/>
      <c r="Q64" s="2258"/>
      <c r="R64" s="2260"/>
    </row>
    <row r="65" spans="2:18" s="2230" customFormat="1">
      <c r="B65" s="2258"/>
      <c r="C65" s="2258"/>
      <c r="D65" s="2258"/>
      <c r="E65" s="2258"/>
      <c r="F65" s="2258"/>
      <c r="G65" s="2259"/>
      <c r="H65" s="2258"/>
      <c r="I65" s="2259"/>
      <c r="J65" s="2258"/>
      <c r="K65" s="2258"/>
      <c r="L65" s="2259"/>
      <c r="M65" s="2258"/>
      <c r="N65" s="2258"/>
      <c r="O65" s="2259"/>
      <c r="P65" s="2258"/>
      <c r="Q65" s="2258"/>
      <c r="R65" s="2260"/>
    </row>
    <row r="66" spans="2:18" s="2230" customFormat="1">
      <c r="B66" s="2258"/>
      <c r="C66" s="2258"/>
      <c r="D66" s="2258"/>
      <c r="E66" s="2258"/>
      <c r="F66" s="2258"/>
      <c r="G66" s="2259"/>
      <c r="H66" s="2258"/>
      <c r="I66" s="2259"/>
      <c r="J66" s="2258"/>
      <c r="K66" s="2258"/>
      <c r="L66" s="2259"/>
      <c r="M66" s="2258"/>
      <c r="N66" s="2258"/>
      <c r="O66" s="2259"/>
      <c r="P66" s="2258"/>
      <c r="Q66" s="2258"/>
      <c r="R66" s="2260"/>
    </row>
    <row r="67" spans="2:18" s="2230" customFormat="1">
      <c r="B67" s="2258"/>
      <c r="C67" s="2258"/>
      <c r="D67" s="2258"/>
      <c r="E67" s="2258"/>
      <c r="F67" s="2258"/>
      <c r="G67" s="2259"/>
      <c r="H67" s="2258"/>
      <c r="I67" s="2259"/>
      <c r="J67" s="2258"/>
      <c r="K67" s="2258"/>
      <c r="L67" s="2259"/>
      <c r="M67" s="2258"/>
      <c r="N67" s="2258"/>
      <c r="O67" s="2259"/>
      <c r="P67" s="2258"/>
      <c r="Q67" s="2258"/>
      <c r="R67" s="2260"/>
    </row>
    <row r="68" spans="2:18" s="2230" customFormat="1">
      <c r="B68" s="2258"/>
      <c r="C68" s="2258"/>
      <c r="D68" s="2258"/>
      <c r="E68" s="2258"/>
      <c r="F68" s="2258"/>
      <c r="G68" s="2259"/>
      <c r="H68" s="2258"/>
      <c r="I68" s="2259"/>
      <c r="J68" s="2258"/>
      <c r="K68" s="2258"/>
      <c r="L68" s="2259"/>
      <c r="M68" s="2258"/>
      <c r="N68" s="2258"/>
      <c r="O68" s="2259"/>
      <c r="P68" s="2258"/>
      <c r="Q68" s="2258"/>
      <c r="R68" s="2260"/>
    </row>
    <row r="69" spans="2:18" s="2230" customFormat="1">
      <c r="B69" s="2258"/>
      <c r="C69" s="2258"/>
      <c r="D69" s="2258"/>
      <c r="E69" s="2258"/>
      <c r="F69" s="2258"/>
      <c r="G69" s="2259"/>
      <c r="H69" s="2258"/>
      <c r="I69" s="2259"/>
      <c r="J69" s="2258"/>
      <c r="K69" s="2258"/>
      <c r="L69" s="2259"/>
      <c r="M69" s="2258"/>
      <c r="N69" s="2258"/>
      <c r="O69" s="2259"/>
      <c r="P69" s="2258"/>
      <c r="Q69" s="2258"/>
      <c r="R69" s="2260"/>
    </row>
    <row r="70" spans="2:18" s="2230" customFormat="1">
      <c r="B70" s="2258"/>
      <c r="C70" s="2258"/>
      <c r="D70" s="2258"/>
      <c r="E70" s="2258"/>
      <c r="F70" s="2258"/>
      <c r="G70" s="2259"/>
      <c r="H70" s="2258"/>
      <c r="I70" s="2259"/>
      <c r="J70" s="2258"/>
      <c r="K70" s="2258"/>
      <c r="L70" s="2259"/>
      <c r="M70" s="2258"/>
      <c r="N70" s="2258"/>
      <c r="O70" s="2259"/>
      <c r="P70" s="2258"/>
      <c r="Q70" s="2258"/>
      <c r="R70" s="2260"/>
    </row>
    <row r="71" spans="2:18" s="2230" customFormat="1">
      <c r="B71" s="2258"/>
      <c r="C71" s="2258"/>
      <c r="D71" s="2258"/>
      <c r="E71" s="2258"/>
      <c r="F71" s="2258"/>
      <c r="G71" s="2259"/>
      <c r="H71" s="2258"/>
      <c r="I71" s="2259"/>
      <c r="J71" s="2258"/>
      <c r="K71" s="2258"/>
      <c r="L71" s="2259"/>
      <c r="M71" s="2258"/>
      <c r="N71" s="2258"/>
      <c r="O71" s="2259"/>
      <c r="P71" s="2258"/>
      <c r="Q71" s="2258"/>
      <c r="R71" s="2260"/>
    </row>
    <row r="72" spans="2:18" s="2230" customFormat="1">
      <c r="B72" s="2258"/>
      <c r="C72" s="2258"/>
      <c r="D72" s="2258"/>
      <c r="E72" s="2258"/>
      <c r="F72" s="2258"/>
      <c r="G72" s="2259"/>
      <c r="H72" s="2258"/>
      <c r="I72" s="2259"/>
      <c r="J72" s="2258"/>
      <c r="K72" s="2258"/>
      <c r="L72" s="2259"/>
      <c r="M72" s="2258"/>
      <c r="N72" s="2258"/>
      <c r="O72" s="2259"/>
      <c r="P72" s="2258"/>
      <c r="Q72" s="2258"/>
      <c r="R72" s="2260"/>
    </row>
    <row r="73" spans="2:18" s="2230" customFormat="1">
      <c r="B73" s="2258"/>
      <c r="C73" s="2258"/>
      <c r="D73" s="2258"/>
      <c r="E73" s="2258"/>
      <c r="F73" s="2258"/>
      <c r="G73" s="2259"/>
      <c r="H73" s="2258"/>
      <c r="I73" s="2259"/>
      <c r="J73" s="2258"/>
      <c r="K73" s="2258"/>
      <c r="L73" s="2259"/>
      <c r="M73" s="2258"/>
      <c r="N73" s="2258"/>
      <c r="O73" s="2259"/>
      <c r="P73" s="2258"/>
      <c r="Q73" s="2258"/>
      <c r="R73" s="2260"/>
    </row>
    <row r="74" spans="2:18" s="2230" customFormat="1">
      <c r="B74" s="2258"/>
      <c r="C74" s="2258"/>
      <c r="D74" s="2258"/>
      <c r="E74" s="2258"/>
      <c r="F74" s="2258"/>
      <c r="G74" s="2259"/>
      <c r="H74" s="2258"/>
      <c r="I74" s="2259"/>
      <c r="J74" s="2258"/>
      <c r="K74" s="2258"/>
      <c r="L74" s="2259"/>
      <c r="M74" s="2258"/>
      <c r="N74" s="2258"/>
      <c r="O74" s="2259"/>
      <c r="P74" s="2258"/>
      <c r="Q74" s="2258"/>
      <c r="R74" s="2260"/>
    </row>
    <row r="75" spans="2:18" s="2230" customFormat="1">
      <c r="B75" s="2258"/>
      <c r="C75" s="2258"/>
      <c r="D75" s="2258"/>
      <c r="E75" s="2258"/>
      <c r="F75" s="2258"/>
      <c r="G75" s="2259"/>
      <c r="H75" s="2258"/>
      <c r="I75" s="2259"/>
      <c r="J75" s="2258"/>
      <c r="K75" s="2258"/>
      <c r="L75" s="2259"/>
      <c r="M75" s="2258"/>
      <c r="N75" s="2258"/>
      <c r="O75" s="2259"/>
      <c r="P75" s="2258"/>
      <c r="Q75" s="2258"/>
      <c r="R75" s="2260"/>
    </row>
    <row r="76" spans="2:18" s="2230" customFormat="1">
      <c r="B76" s="2258"/>
      <c r="C76" s="2258"/>
      <c r="D76" s="2258"/>
      <c r="E76" s="2258"/>
      <c r="F76" s="2258"/>
      <c r="G76" s="2259"/>
      <c r="H76" s="2258"/>
      <c r="I76" s="2259"/>
      <c r="J76" s="2258"/>
      <c r="K76" s="2258"/>
      <c r="L76" s="2259"/>
      <c r="M76" s="2258"/>
      <c r="N76" s="2258"/>
      <c r="O76" s="2259"/>
      <c r="P76" s="2258"/>
      <c r="Q76" s="2258"/>
      <c r="R76" s="2260"/>
    </row>
    <row r="77" spans="2:18" s="2230" customFormat="1">
      <c r="B77" s="2258"/>
      <c r="C77" s="2258"/>
      <c r="D77" s="2258"/>
      <c r="E77" s="2258"/>
      <c r="F77" s="2258"/>
      <c r="G77" s="2259"/>
      <c r="H77" s="2258"/>
      <c r="I77" s="2259"/>
      <c r="J77" s="2258"/>
      <c r="K77" s="2258"/>
      <c r="L77" s="2259"/>
      <c r="M77" s="2258"/>
      <c r="N77" s="2258"/>
      <c r="O77" s="2259"/>
      <c r="P77" s="2258"/>
      <c r="Q77" s="2258"/>
      <c r="R77" s="2260"/>
    </row>
    <row r="78" spans="2:18" s="2230" customFormat="1">
      <c r="B78" s="2258"/>
      <c r="C78" s="2258"/>
      <c r="D78" s="2258"/>
      <c r="E78" s="2258"/>
      <c r="F78" s="2258"/>
      <c r="G78" s="2259"/>
      <c r="H78" s="2258"/>
      <c r="I78" s="2259"/>
      <c r="J78" s="2258"/>
      <c r="K78" s="2258"/>
      <c r="L78" s="2259"/>
      <c r="M78" s="2258"/>
      <c r="N78" s="2258"/>
      <c r="O78" s="2259"/>
      <c r="P78" s="2258"/>
      <c r="Q78" s="2258"/>
      <c r="R78" s="2260"/>
    </row>
    <row r="79" spans="2:18" s="2230" customFormat="1">
      <c r="B79" s="2258"/>
      <c r="C79" s="2258"/>
      <c r="D79" s="2258"/>
      <c r="E79" s="2258"/>
      <c r="F79" s="2258"/>
      <c r="G79" s="2259"/>
      <c r="H79" s="2258"/>
      <c r="I79" s="2259"/>
      <c r="J79" s="2258"/>
      <c r="K79" s="2258"/>
      <c r="L79" s="2259"/>
      <c r="M79" s="2258"/>
      <c r="N79" s="2258"/>
      <c r="O79" s="2259"/>
      <c r="P79" s="2258"/>
      <c r="Q79" s="2258"/>
      <c r="R79" s="2260"/>
    </row>
    <row r="80" spans="2:18" s="2230" customFormat="1">
      <c r="B80" s="2258"/>
      <c r="C80" s="2258"/>
      <c r="D80" s="2258"/>
      <c r="E80" s="2258"/>
      <c r="F80" s="2258"/>
      <c r="G80" s="2259"/>
      <c r="H80" s="2258"/>
      <c r="I80" s="2259"/>
      <c r="J80" s="2258"/>
      <c r="K80" s="2258"/>
      <c r="L80" s="2259"/>
      <c r="M80" s="2258"/>
      <c r="N80" s="2258"/>
      <c r="O80" s="2259"/>
      <c r="P80" s="2258"/>
      <c r="Q80" s="2258"/>
      <c r="R80" s="2260"/>
    </row>
    <row r="81" spans="2:18" s="2230" customFormat="1">
      <c r="B81" s="2258"/>
      <c r="C81" s="2258"/>
      <c r="D81" s="2258"/>
      <c r="E81" s="2258"/>
      <c r="F81" s="2258"/>
      <c r="G81" s="2259"/>
      <c r="H81" s="2258"/>
      <c r="I81" s="2259"/>
      <c r="J81" s="2258"/>
      <c r="K81" s="2258"/>
      <c r="L81" s="2259"/>
      <c r="M81" s="2258"/>
      <c r="N81" s="2258"/>
      <c r="O81" s="2259"/>
      <c r="P81" s="2258"/>
      <c r="Q81" s="2258"/>
      <c r="R81" s="2260"/>
    </row>
    <row r="82" spans="2:18" s="2230" customFormat="1">
      <c r="B82" s="2258"/>
      <c r="C82" s="2258"/>
      <c r="D82" s="2258"/>
      <c r="E82" s="2258"/>
      <c r="F82" s="2258"/>
      <c r="G82" s="2259"/>
      <c r="H82" s="2258"/>
      <c r="I82" s="2259"/>
      <c r="J82" s="2258"/>
      <c r="K82" s="2258"/>
      <c r="L82" s="2259"/>
      <c r="M82" s="2258"/>
      <c r="N82" s="2258"/>
      <c r="O82" s="2259"/>
      <c r="P82" s="2258"/>
      <c r="Q82" s="2258"/>
      <c r="R82" s="2260"/>
    </row>
    <row r="83" spans="2:18" s="2230" customFormat="1">
      <c r="B83" s="2258"/>
      <c r="C83" s="2258"/>
      <c r="D83" s="2258"/>
      <c r="E83" s="2258"/>
      <c r="F83" s="2258"/>
      <c r="G83" s="2259"/>
      <c r="H83" s="2258"/>
      <c r="I83" s="2259"/>
      <c r="J83" s="2258"/>
      <c r="K83" s="2258"/>
      <c r="L83" s="2259"/>
      <c r="M83" s="2258"/>
      <c r="N83" s="2258"/>
      <c r="O83" s="2259"/>
      <c r="P83" s="2258"/>
      <c r="Q83" s="2258"/>
      <c r="R83" s="2260"/>
    </row>
    <row r="84" spans="2:18" s="2230" customFormat="1">
      <c r="B84" s="2258"/>
      <c r="C84" s="2258"/>
      <c r="D84" s="2258"/>
      <c r="E84" s="2258"/>
      <c r="F84" s="2258"/>
      <c r="G84" s="2259"/>
      <c r="H84" s="2258"/>
      <c r="I84" s="2259"/>
      <c r="J84" s="2258"/>
      <c r="K84" s="2258"/>
      <c r="L84" s="2259"/>
      <c r="M84" s="2258"/>
      <c r="N84" s="2258"/>
      <c r="O84" s="2259"/>
      <c r="P84" s="2258"/>
      <c r="Q84" s="2258"/>
      <c r="R84" s="2260"/>
    </row>
    <row r="85" spans="2:18" s="2230" customFormat="1">
      <c r="B85" s="2258"/>
      <c r="C85" s="2258"/>
      <c r="D85" s="2258"/>
      <c r="E85" s="2258"/>
      <c r="F85" s="2258"/>
      <c r="G85" s="2259"/>
      <c r="H85" s="2258"/>
      <c r="I85" s="2259"/>
      <c r="J85" s="2258"/>
      <c r="K85" s="2258"/>
      <c r="L85" s="2259"/>
      <c r="M85" s="2258"/>
      <c r="N85" s="2258"/>
      <c r="O85" s="2259"/>
      <c r="P85" s="2258"/>
      <c r="Q85" s="2258"/>
      <c r="R85" s="2260"/>
    </row>
    <row r="86" spans="2:18" s="2230" customFormat="1">
      <c r="B86" s="2258"/>
      <c r="C86" s="2258"/>
      <c r="D86" s="2258"/>
      <c r="E86" s="2258"/>
      <c r="F86" s="2258"/>
      <c r="G86" s="2259"/>
      <c r="H86" s="2258"/>
      <c r="I86" s="2259"/>
      <c r="J86" s="2258"/>
      <c r="K86" s="2258"/>
      <c r="L86" s="2259"/>
      <c r="M86" s="2258"/>
      <c r="N86" s="2258"/>
      <c r="O86" s="2259"/>
      <c r="P86" s="2258"/>
      <c r="Q86" s="2258"/>
      <c r="R86" s="2260"/>
    </row>
    <row r="87" spans="2:18" s="2230" customFormat="1">
      <c r="B87" s="2258"/>
      <c r="C87" s="2258"/>
      <c r="D87" s="2258"/>
      <c r="E87" s="2258"/>
      <c r="F87" s="2258"/>
      <c r="G87" s="2259"/>
      <c r="H87" s="2258"/>
      <c r="I87" s="2259"/>
      <c r="J87" s="2258"/>
      <c r="K87" s="2258"/>
      <c r="L87" s="2259"/>
      <c r="M87" s="2258"/>
      <c r="N87" s="2258"/>
      <c r="O87" s="2259"/>
      <c r="P87" s="2258"/>
      <c r="Q87" s="2258"/>
      <c r="R87" s="2260"/>
    </row>
    <row r="88" spans="2:18" s="2230" customFormat="1">
      <c r="B88" s="2258"/>
      <c r="C88" s="2258"/>
      <c r="D88" s="2258"/>
      <c r="E88" s="2258"/>
      <c r="F88" s="2258"/>
      <c r="G88" s="2259"/>
      <c r="H88" s="2258"/>
      <c r="I88" s="2259"/>
      <c r="J88" s="2258"/>
      <c r="K88" s="2258"/>
      <c r="L88" s="2259"/>
      <c r="M88" s="2258"/>
      <c r="N88" s="2258"/>
      <c r="O88" s="2259"/>
      <c r="P88" s="2258"/>
      <c r="Q88" s="2258"/>
      <c r="R88" s="2260"/>
    </row>
    <row r="89" spans="2:18" s="2230" customFormat="1">
      <c r="B89" s="2258"/>
      <c r="C89" s="2258"/>
      <c r="D89" s="2258"/>
      <c r="E89" s="2258"/>
      <c r="F89" s="2258"/>
      <c r="G89" s="2259"/>
      <c r="H89" s="2258"/>
      <c r="I89" s="2259"/>
      <c r="J89" s="2258"/>
      <c r="K89" s="2258"/>
      <c r="L89" s="2259"/>
      <c r="M89" s="2258"/>
      <c r="N89" s="2258"/>
      <c r="O89" s="2259"/>
      <c r="P89" s="2258"/>
      <c r="Q89" s="2258"/>
      <c r="R89" s="2260"/>
    </row>
    <row r="90" spans="2:18" s="2230" customFormat="1">
      <c r="B90" s="2258"/>
      <c r="C90" s="2258"/>
      <c r="D90" s="2258"/>
      <c r="E90" s="2258"/>
      <c r="F90" s="2258"/>
      <c r="G90" s="2259"/>
      <c r="H90" s="2258"/>
      <c r="I90" s="2259"/>
      <c r="J90" s="2258"/>
      <c r="K90" s="2258"/>
      <c r="L90" s="2259"/>
      <c r="M90" s="2258"/>
      <c r="N90" s="2258"/>
      <c r="O90" s="2259"/>
      <c r="P90" s="2258"/>
      <c r="Q90" s="2258"/>
      <c r="R90" s="2260"/>
    </row>
    <row r="91" spans="2:18" s="2230" customFormat="1">
      <c r="B91" s="2258"/>
      <c r="C91" s="2258"/>
      <c r="D91" s="2258"/>
      <c r="E91" s="2258"/>
      <c r="F91" s="2258"/>
      <c r="G91" s="2259"/>
      <c r="H91" s="2258"/>
      <c r="I91" s="2259"/>
      <c r="J91" s="2258"/>
      <c r="K91" s="2258"/>
      <c r="L91" s="2259"/>
      <c r="M91" s="2258"/>
      <c r="N91" s="2258"/>
      <c r="O91" s="2259"/>
      <c r="P91" s="2258"/>
      <c r="Q91" s="2258"/>
      <c r="R91" s="2260"/>
    </row>
    <row r="92" spans="2:18" s="2230" customFormat="1">
      <c r="B92" s="2258"/>
      <c r="C92" s="2258"/>
      <c r="D92" s="2258"/>
      <c r="E92" s="2258"/>
      <c r="F92" s="2258"/>
      <c r="G92" s="2259"/>
      <c r="H92" s="2258"/>
      <c r="I92" s="2259"/>
      <c r="J92" s="2258"/>
      <c r="K92" s="2258"/>
      <c r="L92" s="2259"/>
      <c r="M92" s="2258"/>
      <c r="N92" s="2258"/>
      <c r="O92" s="2259"/>
      <c r="P92" s="2258"/>
      <c r="Q92" s="2258"/>
      <c r="R92" s="2260"/>
    </row>
    <row r="93" spans="2:18" s="2230" customFormat="1">
      <c r="B93" s="2258"/>
      <c r="C93" s="2258"/>
      <c r="D93" s="2258"/>
      <c r="E93" s="2258"/>
      <c r="F93" s="2258"/>
      <c r="G93" s="2259"/>
      <c r="H93" s="2258"/>
      <c r="I93" s="2259"/>
      <c r="J93" s="2258"/>
      <c r="K93" s="2258"/>
      <c r="L93" s="2259"/>
      <c r="M93" s="2258"/>
      <c r="N93" s="2258"/>
      <c r="O93" s="2259"/>
      <c r="P93" s="2258"/>
      <c r="Q93" s="2258"/>
      <c r="R93" s="2260"/>
    </row>
    <row r="94" spans="2:18" s="2230" customFormat="1">
      <c r="B94" s="2258"/>
      <c r="C94" s="2258"/>
      <c r="D94" s="2258"/>
      <c r="E94" s="2258"/>
      <c r="F94" s="2258"/>
      <c r="G94" s="2259"/>
      <c r="H94" s="2258"/>
      <c r="I94" s="2259"/>
      <c r="J94" s="2258"/>
      <c r="K94" s="2258"/>
      <c r="L94" s="2259"/>
      <c r="M94" s="2258"/>
      <c r="N94" s="2258"/>
      <c r="O94" s="2259"/>
      <c r="P94" s="2258"/>
      <c r="Q94" s="2258"/>
      <c r="R94" s="2260"/>
    </row>
    <row r="95" spans="2:18" s="2230" customFormat="1">
      <c r="B95" s="2258"/>
      <c r="C95" s="2258"/>
      <c r="D95" s="2258"/>
      <c r="E95" s="2258"/>
      <c r="F95" s="2258"/>
      <c r="G95" s="2259"/>
      <c r="H95" s="2258"/>
      <c r="I95" s="2259"/>
      <c r="J95" s="2258"/>
      <c r="K95" s="2258"/>
      <c r="L95" s="2259"/>
      <c r="M95" s="2258"/>
      <c r="N95" s="2258"/>
      <c r="O95" s="2259"/>
      <c r="P95" s="2258"/>
      <c r="Q95" s="2258"/>
      <c r="R95" s="2260"/>
    </row>
    <row r="96" spans="2:18" s="2230" customFormat="1">
      <c r="B96" s="2258"/>
      <c r="C96" s="2258"/>
      <c r="D96" s="2258"/>
      <c r="E96" s="2258"/>
      <c r="F96" s="2258"/>
      <c r="G96" s="2259"/>
      <c r="H96" s="2258"/>
      <c r="I96" s="2259"/>
      <c r="J96" s="2258"/>
      <c r="K96" s="2258"/>
      <c r="L96" s="2259"/>
      <c r="M96" s="2258"/>
      <c r="N96" s="2258"/>
      <c r="O96" s="2259"/>
      <c r="P96" s="2258"/>
      <c r="Q96" s="2258"/>
      <c r="R96" s="2260"/>
    </row>
    <row r="97" spans="2:18" s="2230" customFormat="1">
      <c r="B97" s="2258"/>
      <c r="C97" s="2258"/>
      <c r="D97" s="2258"/>
      <c r="E97" s="2258"/>
      <c r="F97" s="2258"/>
      <c r="G97" s="2259"/>
      <c r="H97" s="2258"/>
      <c r="I97" s="2259"/>
      <c r="J97" s="2258"/>
      <c r="K97" s="2258"/>
      <c r="L97" s="2259"/>
      <c r="M97" s="2258"/>
      <c r="N97" s="2258"/>
      <c r="O97" s="2259"/>
      <c r="P97" s="2258"/>
      <c r="Q97" s="2258"/>
      <c r="R97" s="2260"/>
    </row>
    <row r="98" spans="2:18" s="2230" customFormat="1">
      <c r="B98" s="2258"/>
      <c r="C98" s="2258"/>
      <c r="D98" s="2258"/>
      <c r="E98" s="2258"/>
      <c r="F98" s="2258"/>
      <c r="G98" s="2259"/>
      <c r="H98" s="2258"/>
      <c r="I98" s="2259"/>
      <c r="J98" s="2258"/>
      <c r="K98" s="2258"/>
      <c r="L98" s="2259"/>
      <c r="M98" s="2258"/>
      <c r="N98" s="2258"/>
      <c r="O98" s="2259"/>
      <c r="P98" s="2258"/>
      <c r="Q98" s="2258"/>
      <c r="R98" s="2260"/>
    </row>
    <row r="99" spans="2:18" s="2230" customFormat="1">
      <c r="B99" s="2258"/>
      <c r="C99" s="2258"/>
      <c r="D99" s="2258"/>
      <c r="E99" s="2258"/>
      <c r="F99" s="2258"/>
      <c r="G99" s="2259"/>
      <c r="H99" s="2258"/>
      <c r="I99" s="2259"/>
      <c r="J99" s="2258"/>
      <c r="K99" s="2258"/>
      <c r="L99" s="2259"/>
      <c r="M99" s="2258"/>
      <c r="N99" s="2258"/>
      <c r="O99" s="2259"/>
      <c r="P99" s="2258"/>
      <c r="Q99" s="2258"/>
      <c r="R99" s="2260"/>
    </row>
    <row r="100" spans="2:18" s="2230" customFormat="1">
      <c r="B100" s="2258"/>
      <c r="C100" s="2258"/>
      <c r="D100" s="2258"/>
      <c r="E100" s="2258"/>
      <c r="F100" s="2258"/>
      <c r="G100" s="2259"/>
      <c r="H100" s="2258"/>
      <c r="I100" s="2259"/>
      <c r="J100" s="2258"/>
      <c r="K100" s="2258"/>
      <c r="L100" s="2259"/>
      <c r="M100" s="2258"/>
      <c r="N100" s="2258"/>
      <c r="O100" s="2259"/>
      <c r="P100" s="2258"/>
      <c r="Q100" s="2258"/>
      <c r="R100" s="2260"/>
    </row>
    <row r="101" spans="2:18" s="2230" customFormat="1">
      <c r="B101" s="2258"/>
      <c r="C101" s="2258"/>
      <c r="D101" s="2258"/>
      <c r="E101" s="2258"/>
      <c r="F101" s="2258"/>
      <c r="G101" s="2259"/>
      <c r="H101" s="2258"/>
      <c r="I101" s="2259"/>
      <c r="J101" s="2258"/>
      <c r="K101" s="2258"/>
      <c r="L101" s="2259"/>
      <c r="M101" s="2258"/>
      <c r="N101" s="2258"/>
      <c r="O101" s="2259"/>
      <c r="P101" s="2258"/>
      <c r="Q101" s="2258"/>
      <c r="R101" s="2260"/>
    </row>
    <row r="102" spans="2:18" s="2230" customFormat="1">
      <c r="B102" s="2258"/>
      <c r="C102" s="2258"/>
      <c r="D102" s="2258"/>
      <c r="E102" s="2258"/>
      <c r="F102" s="2258"/>
      <c r="G102" s="2259"/>
      <c r="H102" s="2258"/>
      <c r="I102" s="2259"/>
      <c r="J102" s="2258"/>
      <c r="K102" s="2258"/>
      <c r="L102" s="2259"/>
      <c r="M102" s="2258"/>
      <c r="N102" s="2258"/>
      <c r="O102" s="2259"/>
      <c r="P102" s="2258"/>
      <c r="Q102" s="2258"/>
      <c r="R102" s="2260"/>
    </row>
    <row r="103" spans="2:18" s="2230" customFormat="1">
      <c r="B103" s="2258"/>
      <c r="C103" s="2258"/>
      <c r="D103" s="2258"/>
      <c r="E103" s="2258"/>
      <c r="F103" s="2258"/>
      <c r="G103" s="2259"/>
      <c r="H103" s="2258"/>
      <c r="I103" s="2259"/>
      <c r="J103" s="2258"/>
      <c r="K103" s="2258"/>
      <c r="L103" s="2259"/>
      <c r="M103" s="2258"/>
      <c r="N103" s="2258"/>
      <c r="O103" s="2259"/>
      <c r="P103" s="2258"/>
      <c r="Q103" s="2258"/>
      <c r="R103" s="2260"/>
    </row>
    <row r="104" spans="2:18" s="2230" customFormat="1">
      <c r="B104" s="2258"/>
      <c r="C104" s="2258"/>
      <c r="D104" s="2258"/>
      <c r="E104" s="2258"/>
      <c r="F104" s="2258"/>
      <c r="G104" s="2259"/>
      <c r="H104" s="2258"/>
      <c r="I104" s="2259"/>
      <c r="J104" s="2258"/>
      <c r="K104" s="2258"/>
      <c r="L104" s="2259"/>
      <c r="M104" s="2258"/>
      <c r="N104" s="2258"/>
      <c r="O104" s="2259"/>
      <c r="P104" s="2258"/>
      <c r="Q104" s="2258"/>
      <c r="R104" s="2260"/>
    </row>
    <row r="105" spans="2:18" s="2230" customFormat="1">
      <c r="B105" s="2258"/>
      <c r="C105" s="2258"/>
      <c r="D105" s="2258"/>
      <c r="E105" s="2258"/>
      <c r="F105" s="2258"/>
      <c r="G105" s="2259"/>
      <c r="H105" s="2258"/>
      <c r="I105" s="2259"/>
      <c r="J105" s="2258"/>
      <c r="K105" s="2258"/>
      <c r="L105" s="2259"/>
      <c r="M105" s="2258"/>
      <c r="N105" s="2258"/>
      <c r="O105" s="2259"/>
      <c r="P105" s="2258"/>
      <c r="Q105" s="2258"/>
      <c r="R105" s="2260"/>
    </row>
    <row r="106" spans="2:18" s="2230" customFormat="1">
      <c r="B106" s="2258"/>
      <c r="C106" s="2258"/>
      <c r="D106" s="2258"/>
      <c r="E106" s="2258"/>
      <c r="F106" s="2258"/>
      <c r="G106" s="2259"/>
      <c r="H106" s="2258"/>
      <c r="I106" s="2259"/>
      <c r="J106" s="2258"/>
      <c r="K106" s="2258"/>
      <c r="L106" s="2259"/>
      <c r="M106" s="2258"/>
      <c r="N106" s="2258"/>
      <c r="O106" s="2259"/>
      <c r="P106" s="2258"/>
      <c r="Q106" s="2258"/>
      <c r="R106" s="2260"/>
    </row>
    <row r="107" spans="2:18" s="2230" customFormat="1">
      <c r="B107" s="2258"/>
      <c r="C107" s="2258"/>
      <c r="D107" s="2258"/>
      <c r="E107" s="2258"/>
      <c r="F107" s="2258"/>
      <c r="G107" s="2259"/>
      <c r="H107" s="2258"/>
      <c r="I107" s="2259"/>
      <c r="J107" s="2258"/>
      <c r="K107" s="2258"/>
      <c r="L107" s="2259"/>
      <c r="M107" s="2258"/>
      <c r="N107" s="2258"/>
      <c r="O107" s="2259"/>
      <c r="P107" s="2258"/>
      <c r="Q107" s="2258"/>
      <c r="R107" s="2260"/>
    </row>
    <row r="108" spans="2:18" s="2230" customFormat="1">
      <c r="B108" s="2258"/>
      <c r="C108" s="2258"/>
      <c r="D108" s="2258"/>
      <c r="E108" s="2258"/>
      <c r="F108" s="2258"/>
      <c r="G108" s="2259"/>
      <c r="H108" s="2258"/>
      <c r="I108" s="2259"/>
      <c r="J108" s="2258"/>
      <c r="K108" s="2258"/>
      <c r="L108" s="2259"/>
      <c r="M108" s="2258"/>
      <c r="N108" s="2258"/>
      <c r="O108" s="2259"/>
      <c r="P108" s="2258"/>
      <c r="Q108" s="2258"/>
      <c r="R108" s="2260"/>
    </row>
    <row r="109" spans="2:18" s="2230" customFormat="1">
      <c r="B109" s="2258"/>
      <c r="C109" s="2258"/>
      <c r="D109" s="2258"/>
      <c r="E109" s="2258"/>
      <c r="F109" s="2258"/>
      <c r="G109" s="2259"/>
      <c r="H109" s="2258"/>
      <c r="I109" s="2259"/>
      <c r="J109" s="2258"/>
      <c r="K109" s="2258"/>
      <c r="L109" s="2259"/>
      <c r="M109" s="2258"/>
      <c r="N109" s="2258"/>
      <c r="O109" s="2259"/>
      <c r="P109" s="2258"/>
      <c r="Q109" s="2258"/>
      <c r="R109" s="2260"/>
    </row>
    <row r="110" spans="2:18" s="2230" customFormat="1">
      <c r="B110" s="2258"/>
      <c r="C110" s="2258"/>
      <c r="D110" s="2258"/>
      <c r="E110" s="2258"/>
      <c r="F110" s="2258"/>
      <c r="G110" s="2259"/>
      <c r="H110" s="2258"/>
      <c r="I110" s="2259"/>
      <c r="J110" s="2258"/>
      <c r="K110" s="2258"/>
      <c r="L110" s="2259"/>
      <c r="M110" s="2258"/>
      <c r="N110" s="2258"/>
      <c r="O110" s="2259"/>
      <c r="P110" s="2258"/>
      <c r="Q110" s="2258"/>
      <c r="R110" s="2260"/>
    </row>
    <row r="111" spans="2:18" s="2230" customFormat="1">
      <c r="B111" s="2258"/>
      <c r="C111" s="2258"/>
      <c r="D111" s="2258"/>
      <c r="E111" s="2258"/>
      <c r="F111" s="2258"/>
      <c r="G111" s="2259"/>
      <c r="H111" s="2258"/>
      <c r="I111" s="2259"/>
      <c r="J111" s="2258"/>
      <c r="K111" s="2258"/>
      <c r="L111" s="2259"/>
      <c r="M111" s="2258"/>
      <c r="N111" s="2258"/>
      <c r="O111" s="2259"/>
      <c r="P111" s="2258"/>
      <c r="Q111" s="2258"/>
      <c r="R111" s="2260"/>
    </row>
    <row r="112" spans="2:18" s="2230" customFormat="1">
      <c r="B112" s="2258"/>
      <c r="C112" s="2258"/>
      <c r="D112" s="2258"/>
      <c r="E112" s="2258"/>
      <c r="F112" s="2258"/>
      <c r="G112" s="2259"/>
      <c r="H112" s="2258"/>
      <c r="I112" s="2259"/>
      <c r="J112" s="2258"/>
      <c r="K112" s="2258"/>
      <c r="L112" s="2259"/>
      <c r="M112" s="2258"/>
      <c r="N112" s="2258"/>
      <c r="O112" s="2259"/>
      <c r="P112" s="2258"/>
      <c r="Q112" s="2258"/>
      <c r="R112" s="2260"/>
    </row>
    <row r="113" spans="2:18" s="2230" customFormat="1">
      <c r="B113" s="2258"/>
      <c r="C113" s="2258"/>
      <c r="D113" s="2258"/>
      <c r="E113" s="2258"/>
      <c r="F113" s="2258"/>
      <c r="G113" s="2259"/>
      <c r="H113" s="2258"/>
      <c r="I113" s="2259"/>
      <c r="J113" s="2258"/>
      <c r="K113" s="2258"/>
      <c r="L113" s="2259"/>
      <c r="M113" s="2258"/>
      <c r="N113" s="2258"/>
      <c r="O113" s="2259"/>
      <c r="P113" s="2258"/>
      <c r="Q113" s="2258"/>
      <c r="R113" s="2260"/>
    </row>
    <row r="114" spans="2:18" s="2230" customFormat="1">
      <c r="B114" s="2258"/>
      <c r="C114" s="2258"/>
      <c r="D114" s="2258"/>
      <c r="E114" s="2258"/>
      <c r="F114" s="2258"/>
      <c r="G114" s="2259"/>
      <c r="H114" s="2258"/>
      <c r="I114" s="2259"/>
      <c r="J114" s="2258"/>
      <c r="K114" s="2258"/>
      <c r="L114" s="2259"/>
      <c r="M114" s="2258"/>
      <c r="N114" s="2258"/>
      <c r="O114" s="2259"/>
      <c r="P114" s="2258"/>
      <c r="Q114" s="2258"/>
      <c r="R114" s="2260"/>
    </row>
    <row r="115" spans="2:18" s="2230" customFormat="1">
      <c r="B115" s="2258"/>
      <c r="C115" s="2258"/>
      <c r="D115" s="2258"/>
      <c r="E115" s="2258"/>
      <c r="F115" s="2258"/>
      <c r="G115" s="2259"/>
      <c r="H115" s="2258"/>
      <c r="I115" s="2259"/>
      <c r="J115" s="2258"/>
      <c r="K115" s="2258"/>
      <c r="L115" s="2259"/>
      <c r="M115" s="2258"/>
      <c r="N115" s="2258"/>
      <c r="O115" s="2259"/>
      <c r="P115" s="2258"/>
      <c r="Q115" s="2258"/>
      <c r="R115" s="2260"/>
    </row>
    <row r="116" spans="2:18" s="2230" customFormat="1">
      <c r="B116" s="2258"/>
      <c r="C116" s="2258"/>
      <c r="D116" s="2258"/>
      <c r="E116" s="2258"/>
      <c r="F116" s="2258"/>
      <c r="G116" s="2259"/>
      <c r="H116" s="2258"/>
      <c r="I116" s="2259"/>
      <c r="J116" s="2258"/>
      <c r="K116" s="2258"/>
      <c r="L116" s="2259"/>
      <c r="M116" s="2258"/>
      <c r="N116" s="2258"/>
      <c r="O116" s="2259"/>
      <c r="P116" s="2258"/>
      <c r="Q116" s="2258"/>
      <c r="R116" s="2260"/>
    </row>
    <row r="117" spans="2:18" s="2230" customFormat="1">
      <c r="B117" s="2258"/>
      <c r="C117" s="2258"/>
      <c r="D117" s="2258"/>
      <c r="E117" s="2258"/>
      <c r="F117" s="2258"/>
      <c r="G117" s="2259"/>
      <c r="H117" s="2258"/>
      <c r="I117" s="2259"/>
      <c r="J117" s="2258"/>
      <c r="K117" s="2258"/>
      <c r="L117" s="2259"/>
      <c r="M117" s="2258"/>
      <c r="N117" s="2258"/>
      <c r="O117" s="2259"/>
      <c r="P117" s="2258"/>
      <c r="Q117" s="2258"/>
      <c r="R117" s="2260"/>
    </row>
    <row r="118" spans="2:18" s="2230" customFormat="1">
      <c r="B118" s="2258"/>
      <c r="C118" s="2258"/>
      <c r="D118" s="2258"/>
      <c r="E118" s="2258"/>
      <c r="F118" s="2258"/>
      <c r="G118" s="2259"/>
      <c r="H118" s="2258"/>
      <c r="I118" s="2259"/>
      <c r="J118" s="2258"/>
      <c r="K118" s="2258"/>
      <c r="L118" s="2259"/>
      <c r="M118" s="2258"/>
      <c r="N118" s="2258"/>
      <c r="O118" s="2259"/>
      <c r="P118" s="2258"/>
      <c r="Q118" s="2258"/>
      <c r="R118" s="2260"/>
    </row>
    <row r="119" spans="2:18" s="2230" customFormat="1">
      <c r="B119" s="2258"/>
      <c r="C119" s="2258"/>
      <c r="D119" s="2258"/>
      <c r="E119" s="2258"/>
      <c r="F119" s="2258"/>
      <c r="G119" s="2259"/>
      <c r="H119" s="2258"/>
      <c r="I119" s="2259"/>
      <c r="J119" s="2258"/>
      <c r="K119" s="2258"/>
      <c r="L119" s="2259"/>
      <c r="M119" s="2258"/>
      <c r="N119" s="2258"/>
      <c r="O119" s="2259"/>
      <c r="P119" s="2258"/>
      <c r="Q119" s="2258"/>
      <c r="R119" s="2260"/>
    </row>
    <row r="120" spans="2:18" s="2230" customFormat="1">
      <c r="B120" s="2258"/>
      <c r="C120" s="2258"/>
      <c r="D120" s="2258"/>
      <c r="E120" s="2258"/>
      <c r="F120" s="2258"/>
      <c r="G120" s="2259"/>
      <c r="H120" s="2258"/>
      <c r="I120" s="2259"/>
      <c r="J120" s="2258"/>
      <c r="K120" s="2258"/>
      <c r="L120" s="2259"/>
      <c r="M120" s="2258"/>
      <c r="N120" s="2258"/>
      <c r="O120" s="2259"/>
      <c r="P120" s="2258"/>
      <c r="Q120" s="2258"/>
      <c r="R120" s="2260"/>
    </row>
    <row r="121" spans="2:18" s="2230" customFormat="1">
      <c r="B121" s="2258"/>
      <c r="C121" s="2258"/>
      <c r="D121" s="2258"/>
      <c r="E121" s="2258"/>
      <c r="F121" s="2258"/>
      <c r="G121" s="2259"/>
      <c r="H121" s="2258"/>
      <c r="I121" s="2259"/>
      <c r="J121" s="2258"/>
      <c r="K121" s="2258"/>
      <c r="L121" s="2259"/>
      <c r="M121" s="2258"/>
      <c r="N121" s="2258"/>
      <c r="O121" s="2259"/>
      <c r="P121" s="2258"/>
      <c r="Q121" s="2258"/>
      <c r="R121" s="2260"/>
    </row>
    <row r="122" spans="2:18" s="2230" customFormat="1">
      <c r="B122" s="2258"/>
      <c r="C122" s="2258"/>
      <c r="D122" s="2258"/>
      <c r="E122" s="2258"/>
      <c r="F122" s="2258"/>
      <c r="G122" s="2259"/>
      <c r="H122" s="2258"/>
      <c r="I122" s="2259"/>
      <c r="J122" s="2258"/>
      <c r="K122" s="2258"/>
      <c r="L122" s="2259"/>
      <c r="M122" s="2258"/>
      <c r="N122" s="2258"/>
      <c r="O122" s="2259"/>
      <c r="P122" s="2258"/>
      <c r="Q122" s="2258"/>
      <c r="R122" s="2260"/>
    </row>
    <row r="123" spans="2:18" s="2230" customFormat="1">
      <c r="B123" s="2258"/>
      <c r="C123" s="2258"/>
      <c r="D123" s="2258"/>
      <c r="E123" s="2258"/>
      <c r="F123" s="2258"/>
      <c r="G123" s="2259"/>
      <c r="H123" s="2258"/>
      <c r="I123" s="2259"/>
      <c r="J123" s="2258"/>
      <c r="K123" s="2258"/>
      <c r="L123" s="2259"/>
      <c r="M123" s="2258"/>
      <c r="N123" s="2258"/>
      <c r="O123" s="2259"/>
      <c r="P123" s="2258"/>
      <c r="Q123" s="2258"/>
      <c r="R123" s="2260"/>
    </row>
    <row r="124" spans="2:18" s="2230" customFormat="1">
      <c r="B124" s="2258"/>
      <c r="C124" s="2258"/>
      <c r="D124" s="2258"/>
      <c r="E124" s="2258"/>
      <c r="F124" s="2258"/>
      <c r="G124" s="2259"/>
      <c r="H124" s="2258"/>
      <c r="I124" s="2259"/>
      <c r="J124" s="2258"/>
      <c r="K124" s="2258"/>
      <c r="L124" s="2259"/>
      <c r="M124" s="2258"/>
      <c r="N124" s="2258"/>
      <c r="O124" s="2259"/>
      <c r="P124" s="2258"/>
      <c r="Q124" s="2258"/>
      <c r="R124" s="2260"/>
    </row>
    <row r="125" spans="2:18" s="2230" customFormat="1">
      <c r="B125" s="2258"/>
      <c r="C125" s="2258"/>
      <c r="D125" s="2258"/>
      <c r="E125" s="2258"/>
      <c r="F125" s="2258"/>
      <c r="G125" s="2259"/>
      <c r="H125" s="2258"/>
      <c r="I125" s="2259"/>
      <c r="J125" s="2258"/>
      <c r="K125" s="2258"/>
      <c r="L125" s="2259"/>
      <c r="M125" s="2258"/>
      <c r="N125" s="2258"/>
      <c r="O125" s="2259"/>
      <c r="P125" s="2258"/>
      <c r="Q125" s="2258"/>
      <c r="R125" s="2260"/>
    </row>
    <row r="126" spans="2:18" s="2230" customFormat="1">
      <c r="B126" s="2258"/>
      <c r="C126" s="2258"/>
      <c r="D126" s="2258"/>
      <c r="E126" s="2258"/>
      <c r="F126" s="2258"/>
      <c r="G126" s="2259"/>
      <c r="H126" s="2258"/>
      <c r="I126" s="2259"/>
      <c r="J126" s="2258"/>
      <c r="K126" s="2258"/>
      <c r="L126" s="2259"/>
      <c r="M126" s="2258"/>
      <c r="N126" s="2258"/>
      <c r="O126" s="2259"/>
      <c r="P126" s="2258"/>
      <c r="Q126" s="2258"/>
      <c r="R126" s="2260"/>
    </row>
    <row r="127" spans="2:18" s="2230" customFormat="1">
      <c r="B127" s="2258"/>
      <c r="C127" s="2258"/>
      <c r="D127" s="2258"/>
      <c r="E127" s="2258"/>
      <c r="F127" s="2258"/>
      <c r="G127" s="2259"/>
      <c r="H127" s="2258"/>
      <c r="I127" s="2259"/>
      <c r="J127" s="2258"/>
      <c r="K127" s="2258"/>
      <c r="L127" s="2259"/>
      <c r="M127" s="2258"/>
      <c r="N127" s="2258"/>
      <c r="O127" s="2259"/>
      <c r="P127" s="2258"/>
      <c r="Q127" s="2258"/>
      <c r="R127" s="2260"/>
    </row>
    <row r="128" spans="2:18" s="2230" customFormat="1">
      <c r="B128" s="2258"/>
      <c r="C128" s="2258"/>
      <c r="D128" s="2258"/>
      <c r="E128" s="2258"/>
      <c r="F128" s="2258"/>
      <c r="G128" s="2259"/>
      <c r="H128" s="2258"/>
      <c r="I128" s="2259"/>
      <c r="J128" s="2258"/>
      <c r="K128" s="2258"/>
      <c r="L128" s="2259"/>
      <c r="M128" s="2258"/>
      <c r="N128" s="2258"/>
      <c r="O128" s="2259"/>
      <c r="P128" s="2258"/>
      <c r="Q128" s="2258"/>
      <c r="R128" s="2260"/>
    </row>
    <row r="129" spans="2:18" s="2230" customFormat="1">
      <c r="B129" s="2258"/>
      <c r="C129" s="2258"/>
      <c r="D129" s="2258"/>
      <c r="E129" s="2258"/>
      <c r="F129" s="2258"/>
      <c r="G129" s="2259"/>
      <c r="H129" s="2258"/>
      <c r="I129" s="2259"/>
      <c r="J129" s="2258"/>
      <c r="K129" s="2258"/>
      <c r="L129" s="2259"/>
      <c r="M129" s="2258"/>
      <c r="N129" s="2258"/>
      <c r="O129" s="2259"/>
      <c r="P129" s="2258"/>
      <c r="Q129" s="2258"/>
      <c r="R129" s="2260"/>
    </row>
    <row r="130" spans="2:18" s="2230" customFormat="1">
      <c r="B130" s="2258"/>
      <c r="C130" s="2258"/>
      <c r="D130" s="2258"/>
      <c r="E130" s="2258"/>
      <c r="F130" s="2258"/>
      <c r="G130" s="2259"/>
      <c r="H130" s="2258"/>
      <c r="I130" s="2259"/>
      <c r="J130" s="2258"/>
      <c r="K130" s="2258"/>
      <c r="L130" s="2259"/>
      <c r="M130" s="2258"/>
      <c r="N130" s="2258"/>
      <c r="O130" s="2259"/>
      <c r="P130" s="2258"/>
      <c r="Q130" s="2258"/>
      <c r="R130" s="2260"/>
    </row>
    <row r="131" spans="2:18" s="2230" customFormat="1">
      <c r="B131" s="2258"/>
      <c r="C131" s="2258"/>
      <c r="D131" s="2258"/>
      <c r="E131" s="2258"/>
      <c r="F131" s="2258"/>
      <c r="G131" s="2259"/>
      <c r="H131" s="2258"/>
      <c r="I131" s="2259"/>
      <c r="J131" s="2258"/>
      <c r="K131" s="2258"/>
      <c r="L131" s="2259"/>
      <c r="M131" s="2258"/>
      <c r="N131" s="2258"/>
      <c r="O131" s="2259"/>
      <c r="P131" s="2258"/>
      <c r="Q131" s="2258"/>
      <c r="R131" s="2260"/>
    </row>
    <row r="132" spans="2:18" s="2230" customFormat="1">
      <c r="B132" s="2258"/>
      <c r="C132" s="2258"/>
      <c r="D132" s="2258"/>
      <c r="E132" s="2258"/>
      <c r="F132" s="2258"/>
      <c r="G132" s="2259"/>
      <c r="H132" s="2258"/>
      <c r="I132" s="2259"/>
      <c r="J132" s="2258"/>
      <c r="K132" s="2258"/>
      <c r="L132" s="2259"/>
      <c r="M132" s="2258"/>
      <c r="N132" s="2258"/>
      <c r="O132" s="2259"/>
      <c r="P132" s="2258"/>
      <c r="Q132" s="2258"/>
      <c r="R132" s="2260"/>
    </row>
    <row r="133" spans="2:18" s="2230" customFormat="1">
      <c r="B133" s="2258"/>
      <c r="C133" s="2258"/>
      <c r="D133" s="2258"/>
      <c r="E133" s="2258"/>
      <c r="F133" s="2258"/>
      <c r="G133" s="2259"/>
      <c r="H133" s="2258"/>
      <c r="I133" s="2259"/>
      <c r="J133" s="2258"/>
      <c r="K133" s="2258"/>
      <c r="L133" s="2259"/>
      <c r="M133" s="2258"/>
      <c r="N133" s="2258"/>
      <c r="O133" s="2259"/>
      <c r="P133" s="2258"/>
      <c r="Q133" s="2258"/>
      <c r="R133" s="2260"/>
    </row>
    <row r="134" spans="2:18" s="2230" customFormat="1">
      <c r="B134" s="2258"/>
      <c r="C134" s="2258"/>
      <c r="D134" s="2258"/>
      <c r="E134" s="2258"/>
      <c r="F134" s="2258"/>
      <c r="G134" s="2259"/>
      <c r="H134" s="2258"/>
      <c r="I134" s="2259"/>
      <c r="J134" s="2258"/>
      <c r="K134" s="2258"/>
      <c r="L134" s="2259"/>
      <c r="M134" s="2258"/>
      <c r="N134" s="2258"/>
      <c r="O134" s="2259"/>
      <c r="P134" s="2258"/>
      <c r="Q134" s="2258"/>
      <c r="R134" s="2260"/>
    </row>
    <row r="135" spans="2:18" s="2230" customFormat="1">
      <c r="B135" s="2258"/>
      <c r="C135" s="2258"/>
      <c r="D135" s="2258"/>
      <c r="E135" s="2258"/>
      <c r="F135" s="2258"/>
      <c r="G135" s="2259"/>
      <c r="H135" s="2258"/>
      <c r="I135" s="2259"/>
      <c r="J135" s="2258"/>
      <c r="K135" s="2258"/>
      <c r="L135" s="2259"/>
      <c r="M135" s="2258"/>
      <c r="N135" s="2258"/>
      <c r="O135" s="2259"/>
      <c r="P135" s="2258"/>
      <c r="Q135" s="2258"/>
      <c r="R135" s="2260"/>
    </row>
    <row r="136" spans="2:18" s="2230" customFormat="1">
      <c r="B136" s="2258"/>
      <c r="C136" s="2258"/>
      <c r="D136" s="2258"/>
      <c r="E136" s="2258"/>
      <c r="F136" s="2258"/>
      <c r="G136" s="2259"/>
      <c r="H136" s="2258"/>
      <c r="I136" s="2259"/>
      <c r="J136" s="2258"/>
      <c r="K136" s="2258"/>
      <c r="L136" s="2259"/>
      <c r="M136" s="2258"/>
      <c r="N136" s="2258"/>
      <c r="O136" s="2259"/>
      <c r="P136" s="2258"/>
      <c r="Q136" s="2258"/>
      <c r="R136" s="2260"/>
    </row>
    <row r="137" spans="2:18" s="2230" customFormat="1">
      <c r="B137" s="2258"/>
      <c r="C137" s="2258"/>
      <c r="D137" s="2258"/>
      <c r="E137" s="2258"/>
      <c r="F137" s="2258"/>
      <c r="G137" s="2259"/>
      <c r="H137" s="2258"/>
      <c r="I137" s="2259"/>
      <c r="J137" s="2258"/>
      <c r="K137" s="2258"/>
      <c r="L137" s="2259"/>
      <c r="M137" s="2258"/>
      <c r="N137" s="2258"/>
      <c r="O137" s="2259"/>
      <c r="P137" s="2258"/>
      <c r="Q137" s="2258"/>
      <c r="R137" s="2260"/>
    </row>
    <row r="138" spans="2:18" s="2230" customFormat="1">
      <c r="B138" s="2258"/>
      <c r="C138" s="2258"/>
      <c r="D138" s="2258"/>
      <c r="E138" s="2258"/>
      <c r="F138" s="2258"/>
      <c r="G138" s="2259"/>
      <c r="H138" s="2258"/>
      <c r="I138" s="2259"/>
      <c r="J138" s="2258"/>
      <c r="K138" s="2258"/>
      <c r="L138" s="2259"/>
      <c r="M138" s="2258"/>
      <c r="N138" s="2258"/>
      <c r="O138" s="2259"/>
      <c r="P138" s="2258"/>
      <c r="Q138" s="2258"/>
      <c r="R138" s="2260"/>
    </row>
    <row r="139" spans="2:18" s="2230" customFormat="1">
      <c r="B139" s="2258"/>
      <c r="C139" s="2258"/>
      <c r="D139" s="2258"/>
      <c r="E139" s="2258"/>
      <c r="F139" s="2258"/>
      <c r="G139" s="2259"/>
      <c r="H139" s="2258"/>
      <c r="I139" s="2259"/>
      <c r="J139" s="2258"/>
      <c r="K139" s="2258"/>
      <c r="L139" s="2259"/>
      <c r="M139" s="2258"/>
      <c r="N139" s="2258"/>
      <c r="O139" s="2259"/>
      <c r="P139" s="2258"/>
      <c r="Q139" s="2258"/>
      <c r="R139" s="2260"/>
    </row>
    <row r="140" spans="2:18" s="2230" customFormat="1">
      <c r="B140" s="2258"/>
      <c r="C140" s="2258"/>
      <c r="D140" s="2258"/>
      <c r="E140" s="2258"/>
      <c r="F140" s="2258"/>
      <c r="G140" s="2259"/>
      <c r="H140" s="2258"/>
      <c r="I140" s="2259"/>
      <c r="J140" s="2258"/>
      <c r="K140" s="2258"/>
      <c r="L140" s="2259"/>
      <c r="M140" s="2258"/>
      <c r="N140" s="2258"/>
      <c r="O140" s="2259"/>
      <c r="P140" s="2258"/>
      <c r="Q140" s="2258"/>
      <c r="R140" s="2260"/>
    </row>
    <row r="141" spans="2:18" s="2230" customFormat="1">
      <c r="B141" s="2258"/>
      <c r="C141" s="2258"/>
      <c r="D141" s="2258"/>
      <c r="E141" s="2258"/>
      <c r="F141" s="2258"/>
      <c r="G141" s="2259"/>
      <c r="H141" s="2258"/>
      <c r="I141" s="2259"/>
      <c r="J141" s="2258"/>
      <c r="K141" s="2258"/>
      <c r="L141" s="2259"/>
      <c r="M141" s="2258"/>
      <c r="N141" s="2258"/>
      <c r="O141" s="2259"/>
      <c r="P141" s="2258"/>
      <c r="Q141" s="2258"/>
      <c r="R141" s="2260"/>
    </row>
    <row r="142" spans="2:18" s="2230" customFormat="1">
      <c r="B142" s="2258"/>
      <c r="C142" s="2258"/>
      <c r="D142" s="2258"/>
      <c r="E142" s="2258"/>
      <c r="F142" s="2258"/>
      <c r="G142" s="2259"/>
      <c r="H142" s="2258"/>
      <c r="I142" s="2259"/>
      <c r="J142" s="2258"/>
      <c r="K142" s="2258"/>
      <c r="L142" s="2259"/>
      <c r="M142" s="2258"/>
      <c r="N142" s="2258"/>
      <c r="O142" s="2259"/>
      <c r="P142" s="2258"/>
      <c r="Q142" s="2258"/>
      <c r="R142" s="2260"/>
    </row>
    <row r="143" spans="2:18" s="2230" customFormat="1">
      <c r="B143" s="2258"/>
      <c r="C143" s="2258"/>
      <c r="D143" s="2258"/>
      <c r="E143" s="2258"/>
      <c r="F143" s="2258"/>
      <c r="G143" s="2259"/>
      <c r="H143" s="2258"/>
      <c r="I143" s="2259"/>
      <c r="J143" s="2258"/>
      <c r="K143" s="2258"/>
      <c r="L143" s="2259"/>
      <c r="M143" s="2258"/>
      <c r="N143" s="2258"/>
      <c r="O143" s="2259"/>
      <c r="P143" s="2258"/>
      <c r="Q143" s="2258"/>
      <c r="R143" s="2260"/>
    </row>
    <row r="144" spans="2:18" s="2230" customFormat="1">
      <c r="B144" s="2258"/>
      <c r="C144" s="2258"/>
      <c r="D144" s="2258"/>
      <c r="E144" s="2258"/>
      <c r="F144" s="2258"/>
      <c r="G144" s="2259"/>
      <c r="H144" s="2258"/>
      <c r="I144" s="2259"/>
      <c r="J144" s="2258"/>
      <c r="K144" s="2258"/>
      <c r="L144" s="2259"/>
      <c r="M144" s="2258"/>
      <c r="N144" s="2258"/>
      <c r="O144" s="2259"/>
      <c r="P144" s="2258"/>
      <c r="Q144" s="2258"/>
      <c r="R144" s="2260"/>
    </row>
    <row r="145" spans="2:18" s="2230" customFormat="1">
      <c r="B145" s="2258"/>
      <c r="C145" s="2258"/>
      <c r="D145" s="2258"/>
      <c r="E145" s="2258"/>
      <c r="F145" s="2258"/>
      <c r="G145" s="2259"/>
      <c r="H145" s="2258"/>
      <c r="I145" s="2259"/>
      <c r="J145" s="2258"/>
      <c r="K145" s="2258"/>
      <c r="L145" s="2259"/>
      <c r="M145" s="2258"/>
      <c r="N145" s="2258"/>
      <c r="O145" s="2259"/>
      <c r="P145" s="2258"/>
      <c r="Q145" s="2258"/>
      <c r="R145" s="2260"/>
    </row>
    <row r="146" spans="2:18" s="2230" customFormat="1">
      <c r="B146" s="2258"/>
      <c r="C146" s="2258"/>
      <c r="D146" s="2258"/>
      <c r="E146" s="2258"/>
      <c r="F146" s="2258"/>
      <c r="G146" s="2259"/>
      <c r="H146" s="2258"/>
      <c r="I146" s="2259"/>
      <c r="J146" s="2258"/>
      <c r="K146" s="2258"/>
      <c r="L146" s="2259"/>
      <c r="M146" s="2258"/>
      <c r="N146" s="2258"/>
      <c r="O146" s="2259"/>
      <c r="P146" s="2258"/>
      <c r="Q146" s="2258"/>
      <c r="R146" s="2260"/>
    </row>
    <row r="147" spans="2:18" s="2230" customFormat="1">
      <c r="B147" s="2258"/>
      <c r="C147" s="2258"/>
      <c r="D147" s="2258"/>
      <c r="E147" s="2258"/>
      <c r="F147" s="2258"/>
      <c r="G147" s="2259"/>
      <c r="H147" s="2258"/>
      <c r="I147" s="2259"/>
      <c r="J147" s="2258"/>
      <c r="K147" s="2258"/>
      <c r="L147" s="2259"/>
      <c r="M147" s="2258"/>
      <c r="N147" s="2258"/>
      <c r="O147" s="2259"/>
      <c r="P147" s="2258"/>
      <c r="Q147" s="2258"/>
      <c r="R147" s="2260"/>
    </row>
    <row r="148" spans="2:18" s="2230" customFormat="1">
      <c r="B148" s="2258"/>
      <c r="C148" s="2258"/>
      <c r="D148" s="2258"/>
      <c r="E148" s="2258"/>
      <c r="F148" s="2258"/>
      <c r="G148" s="2259"/>
      <c r="H148" s="2258"/>
      <c r="I148" s="2259"/>
      <c r="J148" s="2258"/>
      <c r="K148" s="2258"/>
      <c r="L148" s="2259"/>
      <c r="M148" s="2258"/>
      <c r="N148" s="2258"/>
      <c r="O148" s="2259"/>
      <c r="P148" s="2258"/>
      <c r="Q148" s="2258"/>
      <c r="R148" s="2260"/>
    </row>
    <row r="149" spans="2:18" s="2230" customFormat="1">
      <c r="B149" s="2258"/>
      <c r="C149" s="2258"/>
      <c r="D149" s="2258"/>
      <c r="E149" s="2258"/>
      <c r="F149" s="2258"/>
      <c r="G149" s="2259"/>
      <c r="H149" s="2258"/>
      <c r="I149" s="2259"/>
      <c r="J149" s="2258"/>
      <c r="K149" s="2258"/>
      <c r="L149" s="2259"/>
      <c r="M149" s="2258"/>
      <c r="N149" s="2258"/>
      <c r="O149" s="2259"/>
      <c r="P149" s="2258"/>
      <c r="Q149" s="2258"/>
      <c r="R149" s="2260"/>
    </row>
    <row r="150" spans="2:18" s="2230" customFormat="1">
      <c r="B150" s="2258"/>
      <c r="C150" s="2258"/>
      <c r="D150" s="2258"/>
      <c r="E150" s="2258"/>
      <c r="F150" s="2258"/>
      <c r="G150" s="2259"/>
      <c r="H150" s="2258"/>
      <c r="I150" s="2259"/>
      <c r="J150" s="2258"/>
      <c r="K150" s="2258"/>
      <c r="L150" s="2259"/>
      <c r="M150" s="2258"/>
      <c r="N150" s="2258"/>
      <c r="O150" s="2259"/>
      <c r="P150" s="2258"/>
      <c r="Q150" s="2258"/>
      <c r="R150" s="2260"/>
    </row>
    <row r="151" spans="2:18" s="2230" customFormat="1">
      <c r="B151" s="2258"/>
      <c r="C151" s="2258"/>
      <c r="D151" s="2258"/>
      <c r="E151" s="2258"/>
      <c r="F151" s="2258"/>
      <c r="G151" s="2259"/>
      <c r="H151" s="2258"/>
      <c r="I151" s="2259"/>
      <c r="J151" s="2258"/>
      <c r="K151" s="2258"/>
      <c r="L151" s="2259"/>
      <c r="M151" s="2258"/>
      <c r="N151" s="2258"/>
      <c r="O151" s="2259"/>
      <c r="P151" s="2258"/>
      <c r="Q151" s="2258"/>
      <c r="R151" s="2260"/>
    </row>
    <row r="152" spans="2:18" s="2230" customFormat="1">
      <c r="B152" s="2258"/>
      <c r="C152" s="2258"/>
      <c r="D152" s="2258"/>
      <c r="E152" s="2258"/>
      <c r="F152" s="2258"/>
      <c r="G152" s="2259"/>
      <c r="H152" s="2258"/>
      <c r="I152" s="2259"/>
      <c r="J152" s="2258"/>
      <c r="K152" s="2258"/>
      <c r="L152" s="2259"/>
      <c r="M152" s="2258"/>
      <c r="N152" s="2258"/>
      <c r="O152" s="2259"/>
      <c r="P152" s="2258"/>
      <c r="Q152" s="2258"/>
      <c r="R152" s="2260"/>
    </row>
    <row r="153" spans="2:18" s="2230" customFormat="1">
      <c r="B153" s="2258"/>
      <c r="C153" s="2258"/>
      <c r="D153" s="2258"/>
      <c r="E153" s="2258"/>
      <c r="F153" s="2258"/>
      <c r="G153" s="2259"/>
      <c r="H153" s="2258"/>
      <c r="I153" s="2259"/>
      <c r="J153" s="2258"/>
      <c r="K153" s="2258"/>
      <c r="L153" s="2259"/>
      <c r="M153" s="2258"/>
      <c r="N153" s="2258"/>
      <c r="O153" s="2259"/>
      <c r="P153" s="2258"/>
      <c r="Q153" s="2258"/>
      <c r="R153" s="2260"/>
    </row>
    <row r="154" spans="2:18" s="2230" customFormat="1">
      <c r="B154" s="2258"/>
      <c r="C154" s="2258"/>
      <c r="D154" s="2258"/>
      <c r="E154" s="2258"/>
      <c r="F154" s="2258"/>
      <c r="G154" s="2259"/>
      <c r="H154" s="2258"/>
      <c r="I154" s="2259"/>
      <c r="J154" s="2258"/>
      <c r="K154" s="2258"/>
      <c r="L154" s="2259"/>
      <c r="M154" s="2258"/>
      <c r="N154" s="2258"/>
      <c r="O154" s="2259"/>
      <c r="P154" s="2258"/>
      <c r="Q154" s="2258"/>
      <c r="R154" s="2260"/>
    </row>
    <row r="155" spans="2:18" s="2230" customFormat="1">
      <c r="B155" s="2258"/>
      <c r="C155" s="2258"/>
      <c r="D155" s="2258"/>
      <c r="E155" s="2258"/>
      <c r="F155" s="2258"/>
      <c r="G155" s="2259"/>
      <c r="H155" s="2258"/>
      <c r="I155" s="2259"/>
      <c r="J155" s="2258"/>
      <c r="K155" s="2258"/>
      <c r="L155" s="2259"/>
      <c r="M155" s="2258"/>
      <c r="N155" s="2258"/>
      <c r="O155" s="2259"/>
      <c r="P155" s="2258"/>
      <c r="Q155" s="2258"/>
      <c r="R155" s="2260"/>
    </row>
    <row r="156" spans="2:18" s="2230" customFormat="1">
      <c r="B156" s="2258"/>
      <c r="C156" s="2258"/>
      <c r="D156" s="2258"/>
      <c r="E156" s="2258"/>
      <c r="F156" s="2258"/>
      <c r="G156" s="2259"/>
      <c r="H156" s="2258"/>
      <c r="I156" s="2259"/>
      <c r="J156" s="2258"/>
      <c r="K156" s="2258"/>
      <c r="L156" s="2259"/>
      <c r="M156" s="2258"/>
      <c r="N156" s="2258"/>
      <c r="O156" s="2259"/>
      <c r="P156" s="2258"/>
      <c r="Q156" s="2258"/>
      <c r="R156" s="2260"/>
    </row>
    <row r="157" spans="2:18" s="2230" customFormat="1">
      <c r="B157" s="2258"/>
      <c r="C157" s="2258"/>
      <c r="D157" s="2258"/>
      <c r="E157" s="2258"/>
      <c r="F157" s="2258"/>
      <c r="G157" s="2259"/>
      <c r="H157" s="2258"/>
      <c r="I157" s="2259"/>
      <c r="J157" s="2258"/>
      <c r="K157" s="2258"/>
      <c r="L157" s="2259"/>
      <c r="M157" s="2258"/>
      <c r="N157" s="2258"/>
      <c r="O157" s="2259"/>
      <c r="P157" s="2258"/>
      <c r="Q157" s="2258"/>
      <c r="R157" s="2260"/>
    </row>
    <row r="158" spans="2:18" s="2230" customFormat="1">
      <c r="B158" s="2258"/>
      <c r="C158" s="2258"/>
      <c r="D158" s="2258"/>
      <c r="E158" s="2258"/>
      <c r="F158" s="2258"/>
      <c r="G158" s="2259"/>
      <c r="H158" s="2258"/>
      <c r="I158" s="2259"/>
      <c r="J158" s="2258"/>
      <c r="K158" s="2258"/>
      <c r="L158" s="2259"/>
      <c r="M158" s="2258"/>
      <c r="N158" s="2258"/>
      <c r="O158" s="2259"/>
      <c r="P158" s="2258"/>
      <c r="Q158" s="2258"/>
      <c r="R158" s="2260"/>
    </row>
    <row r="159" spans="2:18" s="2230" customFormat="1">
      <c r="B159" s="2258"/>
      <c r="C159" s="2258"/>
      <c r="D159" s="2258"/>
      <c r="E159" s="2258"/>
      <c r="F159" s="2258"/>
      <c r="G159" s="2259"/>
      <c r="H159" s="2258"/>
      <c r="I159" s="2259"/>
      <c r="J159" s="2258"/>
      <c r="K159" s="2258"/>
      <c r="L159" s="2259"/>
      <c r="M159" s="2258"/>
      <c r="N159" s="2258"/>
      <c r="O159" s="2259"/>
      <c r="P159" s="2258"/>
      <c r="Q159" s="2258"/>
      <c r="R159" s="2260"/>
    </row>
    <row r="160" spans="2:18" s="2230" customFormat="1">
      <c r="B160" s="2258"/>
      <c r="C160" s="2258"/>
      <c r="D160" s="2258"/>
      <c r="E160" s="2258"/>
      <c r="F160" s="2258"/>
      <c r="G160" s="2259"/>
      <c r="H160" s="2258"/>
      <c r="I160" s="2259"/>
      <c r="J160" s="2258"/>
      <c r="K160" s="2258"/>
      <c r="L160" s="2259"/>
      <c r="M160" s="2258"/>
      <c r="N160" s="2258"/>
      <c r="O160" s="2259"/>
      <c r="P160" s="2258"/>
      <c r="Q160" s="2258"/>
      <c r="R160" s="2260"/>
    </row>
    <row r="161" spans="2:18" s="2230" customFormat="1">
      <c r="B161" s="2258"/>
      <c r="C161" s="2258"/>
      <c r="D161" s="2258"/>
      <c r="E161" s="2258"/>
      <c r="F161" s="2258"/>
      <c r="G161" s="2259"/>
      <c r="H161" s="2258"/>
      <c r="I161" s="2259"/>
      <c r="J161" s="2258"/>
      <c r="K161" s="2258"/>
      <c r="L161" s="2259"/>
      <c r="M161" s="2258"/>
      <c r="N161" s="2258"/>
      <c r="O161" s="2259"/>
      <c r="P161" s="2258"/>
      <c r="Q161" s="2258"/>
      <c r="R161" s="2260"/>
    </row>
    <row r="162" spans="2:18" s="2230" customFormat="1">
      <c r="B162" s="2258"/>
      <c r="C162" s="2258"/>
      <c r="D162" s="2258"/>
      <c r="E162" s="2258"/>
      <c r="F162" s="2258"/>
      <c r="G162" s="2259"/>
      <c r="H162" s="2258"/>
      <c r="I162" s="2259"/>
      <c r="J162" s="2258"/>
      <c r="K162" s="2258"/>
      <c r="L162" s="2259"/>
      <c r="M162" s="2258"/>
      <c r="N162" s="2258"/>
      <c r="O162" s="2259"/>
      <c r="P162" s="2258"/>
      <c r="Q162" s="2258"/>
      <c r="R162" s="2260"/>
    </row>
    <row r="163" spans="2:18" s="2230" customFormat="1">
      <c r="B163" s="2258"/>
      <c r="C163" s="2258"/>
      <c r="D163" s="2258"/>
      <c r="E163" s="2258"/>
      <c r="F163" s="2258"/>
      <c r="G163" s="2259"/>
      <c r="H163" s="2258"/>
      <c r="I163" s="2259"/>
      <c r="J163" s="2258"/>
      <c r="K163" s="2258"/>
      <c r="L163" s="2259"/>
      <c r="M163" s="2258"/>
      <c r="N163" s="2258"/>
      <c r="O163" s="2259"/>
      <c r="P163" s="2258"/>
      <c r="Q163" s="2258"/>
      <c r="R163" s="2260"/>
    </row>
    <row r="164" spans="2:18" s="2230" customFormat="1">
      <c r="B164" s="2258"/>
      <c r="C164" s="2258"/>
      <c r="D164" s="2258"/>
      <c r="E164" s="2258"/>
      <c r="F164" s="2258"/>
      <c r="G164" s="2259"/>
      <c r="H164" s="2258"/>
      <c r="I164" s="2259"/>
      <c r="J164" s="2258"/>
      <c r="K164" s="2258"/>
      <c r="L164" s="2259"/>
      <c r="M164" s="2258"/>
      <c r="N164" s="2258"/>
      <c r="O164" s="2259"/>
      <c r="P164" s="2258"/>
      <c r="Q164" s="2258"/>
      <c r="R164" s="2260"/>
    </row>
    <row r="165" spans="2:18" s="2230" customFormat="1">
      <c r="B165" s="2258"/>
      <c r="C165" s="2258"/>
      <c r="D165" s="2258"/>
      <c r="E165" s="2258"/>
      <c r="F165" s="2258"/>
      <c r="G165" s="2259"/>
      <c r="H165" s="2258"/>
      <c r="I165" s="2259"/>
      <c r="J165" s="2258"/>
      <c r="K165" s="2258"/>
      <c r="L165" s="2259"/>
      <c r="M165" s="2258"/>
      <c r="N165" s="2258"/>
      <c r="O165" s="2259"/>
      <c r="P165" s="2258"/>
      <c r="Q165" s="2258"/>
      <c r="R165" s="2260"/>
    </row>
    <row r="166" spans="2:18" s="2230" customFormat="1">
      <c r="B166" s="2258"/>
      <c r="C166" s="2258"/>
      <c r="D166" s="2258"/>
      <c r="E166" s="2258"/>
      <c r="F166" s="2258"/>
      <c r="G166" s="2259"/>
      <c r="H166" s="2258"/>
      <c r="I166" s="2259"/>
      <c r="J166" s="2258"/>
      <c r="K166" s="2258"/>
      <c r="L166" s="2259"/>
      <c r="M166" s="2258"/>
      <c r="N166" s="2258"/>
      <c r="O166" s="2259"/>
      <c r="P166" s="2258"/>
      <c r="Q166" s="2258"/>
      <c r="R166" s="2260"/>
    </row>
    <row r="167" spans="2:18" s="2230" customFormat="1">
      <c r="B167" s="2258"/>
      <c r="C167" s="2258"/>
      <c r="D167" s="2258"/>
      <c r="E167" s="2258"/>
      <c r="F167" s="2258"/>
      <c r="G167" s="2259"/>
      <c r="H167" s="2258"/>
      <c r="I167" s="2259"/>
      <c r="J167" s="2258"/>
      <c r="K167" s="2258"/>
      <c r="L167" s="2259"/>
      <c r="M167" s="2258"/>
      <c r="N167" s="2258"/>
      <c r="O167" s="2259"/>
      <c r="P167" s="2258"/>
      <c r="Q167" s="2258"/>
      <c r="R167" s="2260"/>
    </row>
    <row r="168" spans="2:18" s="2230" customFormat="1">
      <c r="B168" s="2258"/>
      <c r="C168" s="2258"/>
      <c r="D168" s="2258"/>
      <c r="E168" s="2258"/>
      <c r="F168" s="2258"/>
      <c r="G168" s="2259"/>
      <c r="H168" s="2258"/>
      <c r="I168" s="2259"/>
      <c r="J168" s="2258"/>
      <c r="K168" s="2258"/>
      <c r="L168" s="2259"/>
      <c r="M168" s="2258"/>
      <c r="N168" s="2258"/>
      <c r="O168" s="2259"/>
      <c r="P168" s="2258"/>
      <c r="Q168" s="2258"/>
      <c r="R168" s="2260"/>
    </row>
    <row r="169" spans="2:18" s="2230" customFormat="1">
      <c r="B169" s="2258"/>
      <c r="C169" s="2258"/>
      <c r="D169" s="2258"/>
      <c r="E169" s="2258"/>
      <c r="F169" s="2258"/>
      <c r="G169" s="2259"/>
      <c r="H169" s="2258"/>
      <c r="I169" s="2259"/>
      <c r="J169" s="2258"/>
      <c r="K169" s="2258"/>
      <c r="L169" s="2259"/>
      <c r="M169" s="2258"/>
      <c r="N169" s="2258"/>
      <c r="O169" s="2259"/>
      <c r="P169" s="2258"/>
      <c r="Q169" s="2258"/>
      <c r="R169" s="2260"/>
    </row>
    <row r="170" spans="2:18" s="2230" customFormat="1">
      <c r="B170" s="2258"/>
      <c r="C170" s="2258"/>
      <c r="D170" s="2258"/>
      <c r="E170" s="2258"/>
      <c r="F170" s="2258"/>
      <c r="G170" s="2259"/>
      <c r="H170" s="2258"/>
      <c r="I170" s="2259"/>
      <c r="J170" s="2258"/>
      <c r="K170" s="2258"/>
      <c r="L170" s="2259"/>
      <c r="M170" s="2258"/>
      <c r="N170" s="2258"/>
      <c r="O170" s="2259"/>
      <c r="P170" s="2258"/>
      <c r="Q170" s="2258"/>
      <c r="R170" s="2260"/>
    </row>
    <row r="171" spans="2:18" s="2230" customFormat="1">
      <c r="B171" s="2258"/>
      <c r="C171" s="2258"/>
      <c r="D171" s="2258"/>
      <c r="E171" s="2258"/>
      <c r="F171" s="2258"/>
      <c r="G171" s="2259"/>
      <c r="H171" s="2258"/>
      <c r="I171" s="2259"/>
      <c r="J171" s="2258"/>
      <c r="K171" s="2258"/>
      <c r="L171" s="2259"/>
      <c r="M171" s="2258"/>
      <c r="N171" s="2258"/>
      <c r="O171" s="2259"/>
      <c r="P171" s="2258"/>
      <c r="Q171" s="2258"/>
      <c r="R171" s="2260"/>
    </row>
    <row r="172" spans="2:18" s="2230" customFormat="1">
      <c r="B172" s="2258"/>
      <c r="C172" s="2258"/>
      <c r="D172" s="2258"/>
      <c r="E172" s="2258"/>
      <c r="F172" s="2258"/>
      <c r="G172" s="2259"/>
      <c r="H172" s="2258"/>
      <c r="I172" s="2259"/>
      <c r="J172" s="2258"/>
      <c r="K172" s="2258"/>
      <c r="L172" s="2259"/>
      <c r="M172" s="2258"/>
      <c r="N172" s="2258"/>
      <c r="O172" s="2259"/>
      <c r="P172" s="2258"/>
      <c r="Q172" s="2258"/>
      <c r="R172" s="2260"/>
    </row>
    <row r="173" spans="2:18" s="2230" customFormat="1">
      <c r="B173" s="2258"/>
      <c r="C173" s="2258"/>
      <c r="D173" s="2258"/>
      <c r="E173" s="2258"/>
      <c r="F173" s="2258"/>
      <c r="G173" s="2259"/>
      <c r="H173" s="2258"/>
      <c r="I173" s="2259"/>
      <c r="J173" s="2258"/>
      <c r="K173" s="2258"/>
      <c r="L173" s="2259"/>
      <c r="M173" s="2258"/>
      <c r="N173" s="2258"/>
      <c r="O173" s="2259"/>
      <c r="P173" s="2258"/>
      <c r="Q173" s="2258"/>
      <c r="R173" s="2260"/>
    </row>
    <row r="174" spans="2:18" s="2230" customFormat="1">
      <c r="B174" s="2258"/>
      <c r="C174" s="2258"/>
      <c r="D174" s="2258"/>
      <c r="E174" s="2258"/>
      <c r="F174" s="2258"/>
      <c r="G174" s="2259"/>
      <c r="H174" s="2258"/>
      <c r="I174" s="2259"/>
      <c r="J174" s="2258"/>
      <c r="K174" s="2258"/>
      <c r="L174" s="2259"/>
      <c r="M174" s="2258"/>
      <c r="N174" s="2258"/>
      <c r="O174" s="2259"/>
      <c r="P174" s="2258"/>
      <c r="Q174" s="2258"/>
      <c r="R174" s="2260"/>
    </row>
    <row r="175" spans="2:18" s="2230" customFormat="1">
      <c r="B175" s="2258"/>
      <c r="C175" s="2258"/>
      <c r="D175" s="2258"/>
      <c r="E175" s="2258"/>
      <c r="F175" s="2258"/>
      <c r="G175" s="2259"/>
      <c r="H175" s="2258"/>
      <c r="I175" s="2259"/>
      <c r="J175" s="2258"/>
      <c r="K175" s="2258"/>
      <c r="L175" s="2259"/>
      <c r="M175" s="2258"/>
      <c r="N175" s="2258"/>
      <c r="O175" s="2259"/>
      <c r="P175" s="2258"/>
      <c r="Q175" s="2258"/>
      <c r="R175" s="2260"/>
    </row>
    <row r="176" spans="2:18" s="2230" customFormat="1">
      <c r="B176" s="2258"/>
      <c r="C176" s="2258"/>
      <c r="D176" s="2258"/>
      <c r="E176" s="2258"/>
      <c r="F176" s="2258"/>
      <c r="G176" s="2259"/>
      <c r="H176" s="2258"/>
      <c r="I176" s="2259"/>
      <c r="J176" s="2258"/>
      <c r="K176" s="2258"/>
      <c r="L176" s="2259"/>
      <c r="M176" s="2258"/>
      <c r="N176" s="2258"/>
      <c r="O176" s="2259"/>
      <c r="P176" s="2258"/>
      <c r="Q176" s="2258"/>
      <c r="R176" s="2260"/>
    </row>
    <row r="177" spans="1:18" s="2230" customFormat="1">
      <c r="B177" s="2258"/>
      <c r="C177" s="2258"/>
      <c r="D177" s="2258"/>
      <c r="E177" s="2258"/>
      <c r="F177" s="2258"/>
      <c r="G177" s="2259"/>
      <c r="H177" s="2258"/>
      <c r="I177" s="2259"/>
      <c r="J177" s="2258"/>
      <c r="K177" s="2258"/>
      <c r="L177" s="2259"/>
      <c r="M177" s="2258"/>
      <c r="N177" s="2258"/>
      <c r="O177" s="2259"/>
      <c r="P177" s="2258"/>
      <c r="Q177" s="2258"/>
      <c r="R177" s="2260"/>
    </row>
    <row r="178" spans="1:18" s="2230" customFormat="1">
      <c r="B178" s="2258"/>
      <c r="C178" s="2258"/>
      <c r="D178" s="2258"/>
      <c r="E178" s="2258"/>
      <c r="F178" s="2258"/>
      <c r="G178" s="2259"/>
      <c r="H178" s="2258"/>
      <c r="I178" s="2259"/>
      <c r="J178" s="2258"/>
      <c r="K178" s="2258"/>
      <c r="L178" s="2259"/>
      <c r="M178" s="2258"/>
      <c r="N178" s="2258"/>
      <c r="O178" s="2259"/>
      <c r="P178" s="2258"/>
      <c r="Q178" s="2258"/>
      <c r="R178" s="2260"/>
    </row>
    <row r="179" spans="1:18" s="2230" customFormat="1">
      <c r="B179" s="2258"/>
      <c r="C179" s="2258"/>
      <c r="D179" s="2258"/>
      <c r="E179" s="2258"/>
      <c r="F179" s="2258"/>
      <c r="G179" s="2259"/>
      <c r="H179" s="2258"/>
      <c r="I179" s="2259"/>
      <c r="J179" s="2258"/>
      <c r="K179" s="2258"/>
      <c r="L179" s="2259"/>
      <c r="M179" s="2258"/>
      <c r="N179" s="2258"/>
      <c r="O179" s="2259"/>
      <c r="P179" s="2258"/>
      <c r="Q179" s="2258"/>
      <c r="R179" s="2260"/>
    </row>
    <row r="180" spans="1:18" s="2230" customFormat="1">
      <c r="B180" s="2258"/>
      <c r="C180" s="2258"/>
      <c r="D180" s="2258"/>
      <c r="E180" s="2258"/>
      <c r="F180" s="2258"/>
      <c r="G180" s="2259"/>
      <c r="H180" s="2258"/>
      <c r="I180" s="2259"/>
      <c r="J180" s="2258"/>
      <c r="K180" s="2258"/>
      <c r="L180" s="2259"/>
      <c r="M180" s="2258"/>
      <c r="N180" s="2258"/>
      <c r="O180" s="2259"/>
      <c r="P180" s="2258"/>
      <c r="Q180" s="2258"/>
      <c r="R180" s="2260"/>
    </row>
    <row r="181" spans="1:18" s="2230" customFormat="1">
      <c r="B181" s="2258"/>
      <c r="C181" s="2258"/>
      <c r="D181" s="2258"/>
      <c r="E181" s="2258"/>
      <c r="F181" s="2258"/>
      <c r="G181" s="2259"/>
      <c r="H181" s="2258"/>
      <c r="I181" s="2259"/>
      <c r="J181" s="2258"/>
      <c r="K181" s="2258"/>
      <c r="L181" s="2259"/>
      <c r="M181" s="2258"/>
      <c r="N181" s="2258"/>
      <c r="O181" s="2259"/>
      <c r="P181" s="2258"/>
      <c r="Q181" s="2258"/>
      <c r="R181" s="2260"/>
    </row>
    <row r="182" spans="1:18" s="2230" customFormat="1">
      <c r="B182" s="2258"/>
      <c r="C182" s="2258"/>
      <c r="D182" s="2258"/>
      <c r="E182" s="2258"/>
      <c r="F182" s="2258"/>
      <c r="G182" s="2259"/>
      <c r="H182" s="2258"/>
      <c r="I182" s="2259"/>
      <c r="J182" s="2258"/>
      <c r="K182" s="2258"/>
      <c r="L182" s="2259"/>
      <c r="M182" s="2258"/>
      <c r="N182" s="2258"/>
      <c r="O182" s="2259"/>
      <c r="P182" s="2258"/>
      <c r="Q182" s="2258"/>
      <c r="R182" s="2260"/>
    </row>
    <row r="183" spans="1:18" s="2230" customFormat="1">
      <c r="B183" s="2258"/>
      <c r="C183" s="2258"/>
      <c r="D183" s="2258"/>
      <c r="E183" s="2258"/>
      <c r="F183" s="2258"/>
      <c r="G183" s="2259"/>
      <c r="H183" s="2258"/>
      <c r="I183" s="2259"/>
      <c r="J183" s="2258"/>
      <c r="K183" s="2258"/>
      <c r="L183" s="2259"/>
      <c r="M183" s="2258"/>
      <c r="N183" s="2258"/>
      <c r="O183" s="2259"/>
      <c r="P183" s="2258"/>
      <c r="Q183" s="2258"/>
      <c r="R183" s="2260"/>
    </row>
    <row r="184" spans="1:18" s="2230" customFormat="1">
      <c r="B184" s="2258"/>
      <c r="C184" s="2258"/>
      <c r="D184" s="2258"/>
      <c r="E184" s="2258"/>
      <c r="F184" s="2258"/>
      <c r="G184" s="2259"/>
      <c r="H184" s="2258"/>
      <c r="I184" s="2259"/>
      <c r="J184" s="2258"/>
      <c r="K184" s="2258"/>
      <c r="L184" s="2259"/>
      <c r="M184" s="2258"/>
      <c r="N184" s="2258"/>
      <c r="O184" s="2259"/>
      <c r="P184" s="2258"/>
      <c r="Q184" s="2258"/>
      <c r="R184" s="2260"/>
    </row>
    <row r="185" spans="1:18" s="2230" customFormat="1">
      <c r="B185" s="2258"/>
      <c r="C185" s="2258"/>
      <c r="D185" s="2258"/>
      <c r="E185" s="2258"/>
      <c r="F185" s="2258"/>
      <c r="G185" s="2259"/>
      <c r="H185" s="2258"/>
      <c r="I185" s="2259"/>
      <c r="J185" s="2258"/>
      <c r="K185" s="2258"/>
      <c r="L185" s="2259"/>
      <c r="M185" s="2258"/>
      <c r="N185" s="2258"/>
      <c r="O185" s="2259"/>
      <c r="P185" s="2258"/>
      <c r="Q185" s="2258"/>
      <c r="R185" s="2260"/>
    </row>
    <row r="186" spans="1:18">
      <c r="A186" s="2230"/>
      <c r="B186" s="2258"/>
      <c r="C186" s="2258"/>
      <c r="E186" s="2258"/>
      <c r="F186" s="2258"/>
      <c r="G186" s="2259"/>
    </row>
    <row r="187" spans="1:18">
      <c r="A187" s="2230"/>
      <c r="B187" s="2258"/>
      <c r="C187" s="2258"/>
      <c r="E187" s="2258"/>
      <c r="F187" s="2258"/>
      <c r="G187" s="225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61" customWidth="1"/>
    <col min="2" max="9" width="10" style="961" customWidth="1"/>
    <col min="10" max="16384" width="9" style="961"/>
  </cols>
  <sheetData>
    <row r="36" spans="1:9">
      <c r="A36" s="960" t="s">
        <v>818</v>
      </c>
      <c r="B36" s="960" t="s">
        <v>819</v>
      </c>
    </row>
    <row r="37" spans="1:9" ht="27.75" customHeight="1">
      <c r="A37" s="960"/>
      <c r="B37" s="3047" t="str">
        <f>项目基本情况!B1</f>
        <v>上海市松江区泗泾镇7街坊4/20丘“融创壹号府”居住项目出让国有建设用地使用权及在建建筑物房地产抵押价值预评估</v>
      </c>
      <c r="C37" s="3047"/>
      <c r="D37" s="3047"/>
      <c r="E37" s="3047"/>
      <c r="F37" s="3047"/>
      <c r="G37" s="3047"/>
      <c r="H37" s="3047"/>
      <c r="I37" s="3047"/>
    </row>
    <row r="38" spans="1:9">
      <c r="A38" s="962"/>
      <c r="B38" s="962"/>
    </row>
    <row r="39" spans="1:9">
      <c r="A39" s="960" t="s">
        <v>818</v>
      </c>
      <c r="B39" s="960" t="s">
        <v>820</v>
      </c>
    </row>
    <row r="40" spans="1:9">
      <c r="A40" s="960"/>
      <c r="B40" s="1868" t="str">
        <f>项目基本情况!B5</f>
        <v>中诚信托有限责任公司</v>
      </c>
    </row>
    <row r="41" spans="1:9">
      <c r="A41" s="960"/>
      <c r="B41" s="960"/>
    </row>
    <row r="42" spans="1:9">
      <c r="A42" s="960" t="s">
        <v>818</v>
      </c>
      <c r="B42" s="960" t="s">
        <v>821</v>
      </c>
    </row>
    <row r="43" spans="1:9">
      <c r="A43" s="960"/>
      <c r="B43" s="1868" t="s">
        <v>822</v>
      </c>
    </row>
    <row r="44" spans="1:9">
      <c r="A44" s="960"/>
      <c r="B44" s="960"/>
    </row>
    <row r="45" spans="1:9">
      <c r="A45" s="960" t="s">
        <v>818</v>
      </c>
      <c r="B45" s="960" t="s">
        <v>823</v>
      </c>
    </row>
    <row r="46" spans="1:9" s="960" customFormat="1" ht="12.75">
      <c r="B46" s="1868" t="str">
        <f ca="1">项目基本情况!K4</f>
        <v>郑燚（注册号：1120070131)、王鹏（注册号：1120050019)</v>
      </c>
    </row>
    <row r="47" spans="1:9">
      <c r="A47" s="960"/>
      <c r="B47" s="960" t="str">
        <f>项目基本情况!K5</f>
        <v/>
      </c>
    </row>
    <row r="48" spans="1:9">
      <c r="A48" s="960" t="s">
        <v>818</v>
      </c>
      <c r="B48" s="960" t="s">
        <v>824</v>
      </c>
    </row>
    <row r="49" spans="2:2">
      <c r="B49" s="1868" t="str">
        <f>"康正预评字"&amp;项目基本情况!B2&amp;"号"</f>
        <v>康正预评字2018-1-0489-P01DYGJ3号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668" customWidth="1"/>
    <col min="2" max="9" width="15.75" style="1668" customWidth="1"/>
    <col min="10" max="16384" width="9" style="1668"/>
  </cols>
  <sheetData>
    <row r="1" spans="1:10" ht="16.5">
      <c r="A1" s="1673" t="s">
        <v>1365</v>
      </c>
      <c r="B1" s="1673">
        <f>SUM(B14:B23)</f>
        <v>119454.59</v>
      </c>
      <c r="C1" s="1672"/>
      <c r="D1" s="1672"/>
      <c r="E1" s="1672"/>
      <c r="F1" s="1672"/>
      <c r="G1" s="1670"/>
    </row>
    <row r="2" spans="1:10" ht="16.5">
      <c r="A2" s="1673" t="s">
        <v>1353</v>
      </c>
      <c r="B2" s="1673">
        <f>SUM(C14:C23)</f>
        <v>43598.5</v>
      </c>
      <c r="C2" s="1672"/>
      <c r="D2" s="1672"/>
      <c r="E2" s="1672"/>
      <c r="F2" s="1672"/>
      <c r="G2" s="1670"/>
    </row>
    <row r="3" spans="1:10" ht="16.5">
      <c r="A3" s="1673" t="s">
        <v>1362</v>
      </c>
      <c r="B3" s="1674">
        <f>项目基本情况!D3</f>
        <v>43284</v>
      </c>
      <c r="C3" s="1672"/>
      <c r="D3" s="1672"/>
      <c r="E3" s="1672"/>
      <c r="F3" s="1672"/>
      <c r="G3" s="1670"/>
    </row>
    <row r="4" spans="1:10" ht="33">
      <c r="A4" s="1673" t="s">
        <v>1361</v>
      </c>
      <c r="B4" s="1673" t="s">
        <v>1360</v>
      </c>
      <c r="C4" s="1673" t="s">
        <v>1359</v>
      </c>
      <c r="D4" s="1673" t="s">
        <v>1358</v>
      </c>
      <c r="E4" s="1672"/>
      <c r="F4" s="1670"/>
      <c r="G4" s="1670"/>
    </row>
    <row r="5" spans="1:10" ht="16.5">
      <c r="A5" s="1673" t="s">
        <v>1357</v>
      </c>
      <c r="B5" s="1673">
        <f ca="1">SUM(D14:D23)</f>
        <v>337651</v>
      </c>
      <c r="C5" s="1673">
        <f ca="1">ROUND(B5*10000/$B$1,0)</f>
        <v>28266</v>
      </c>
      <c r="D5" s="1673">
        <f ca="1">ROUND(B5*10000/$B$2,0)</f>
        <v>77446</v>
      </c>
      <c r="E5" s="1672"/>
      <c r="F5" s="1670"/>
      <c r="G5" s="1670"/>
    </row>
    <row r="6" spans="1:10" ht="16.5">
      <c r="A6" s="1673" t="s">
        <v>1356</v>
      </c>
      <c r="B6" s="1673">
        <f>SUM(G14:G23)</f>
        <v>0</v>
      </c>
      <c r="C6" s="1673">
        <f>ROUND(B6*10000/$B$1,0)</f>
        <v>0</v>
      </c>
      <c r="D6" s="1673">
        <f>ROUND(B6*10000/$B$2,0)</f>
        <v>0</v>
      </c>
      <c r="E6" s="1672"/>
      <c r="F6" s="1670"/>
      <c r="G6" s="1670"/>
    </row>
    <row r="7" spans="1:10" ht="16.5">
      <c r="A7" s="1673" t="s">
        <v>1364</v>
      </c>
      <c r="B7" s="1673">
        <f ca="1">SUM(H14:H23)</f>
        <v>321247</v>
      </c>
      <c r="C7" s="1673">
        <f ca="1">ROUND(B7*10000/$B$1,0)</f>
        <v>26893</v>
      </c>
      <c r="D7" s="1673">
        <f ca="1">ROUND(B7*10000/$B$2,0)</f>
        <v>73683</v>
      </c>
      <c r="E7" s="1672"/>
      <c r="F7" s="1670"/>
      <c r="G7" s="1670"/>
    </row>
    <row r="8" spans="1:10" ht="16.5">
      <c r="A8" s="1673" t="s">
        <v>1285</v>
      </c>
      <c r="B8" s="1673">
        <f>SUM(I14:I23)</f>
        <v>0</v>
      </c>
      <c r="C8" s="1673">
        <f>ROUND(B8*10000/$B$1,0)</f>
        <v>0</v>
      </c>
      <c r="D8" s="1673">
        <f>ROUND(B8*10000/$B$2,0)</f>
        <v>0</v>
      </c>
      <c r="E8" s="1672"/>
      <c r="F8" s="1670"/>
      <c r="G8" s="1670"/>
    </row>
    <row r="9" spans="1:10" ht="16.5">
      <c r="A9" s="1673" t="s">
        <v>1355</v>
      </c>
      <c r="B9" s="1675"/>
      <c r="C9" s="1672"/>
      <c r="D9" s="1672"/>
      <c r="E9" s="1672"/>
      <c r="F9" s="1670"/>
      <c r="G9" s="1670"/>
    </row>
    <row r="10" spans="1:10" ht="16.5">
      <c r="A10" s="1673" t="s">
        <v>1354</v>
      </c>
      <c r="B10" s="1675"/>
      <c r="C10" s="1672"/>
      <c r="D10" s="1672"/>
      <c r="E10" s="1672"/>
      <c r="F10" s="1670"/>
      <c r="G10" s="1670"/>
    </row>
    <row r="11" spans="1:10" ht="16.5">
      <c r="A11" s="1673" t="s">
        <v>1370</v>
      </c>
      <c r="B11" s="1675"/>
      <c r="C11" s="1672"/>
      <c r="D11" s="1672"/>
      <c r="E11" s="1672"/>
      <c r="F11" s="1670"/>
      <c r="G11" s="1670"/>
    </row>
    <row r="12" spans="1:10" ht="16.5">
      <c r="A12" s="1672"/>
      <c r="B12" s="1672"/>
      <c r="C12" s="1672"/>
      <c r="D12" s="1672"/>
      <c r="E12" s="1672"/>
      <c r="F12" s="1670"/>
      <c r="G12" s="1670"/>
    </row>
    <row r="13" spans="1:10" ht="33">
      <c r="A13" s="1678" t="s">
        <v>1369</v>
      </c>
      <c r="B13" s="1671" t="s">
        <v>1366</v>
      </c>
      <c r="C13" s="1671" t="s">
        <v>1368</v>
      </c>
      <c r="D13" s="1671" t="s">
        <v>1367</v>
      </c>
      <c r="E13" s="1673" t="s">
        <v>1359</v>
      </c>
      <c r="F13" s="1673" t="s">
        <v>1358</v>
      </c>
      <c r="G13" s="1671" t="s">
        <v>1352</v>
      </c>
      <c r="H13" s="1671" t="s">
        <v>1363</v>
      </c>
      <c r="I13" s="1671" t="s">
        <v>1351</v>
      </c>
      <c r="J13" s="1670"/>
    </row>
    <row r="14" spans="1:10" ht="16.5">
      <c r="A14" s="1669" t="s">
        <v>1350</v>
      </c>
      <c r="B14" s="1671">
        <f>结果表!B118</f>
        <v>119454.59</v>
      </c>
      <c r="C14" s="1671">
        <f>结果表!C118</f>
        <v>43598.5</v>
      </c>
      <c r="D14" s="1671">
        <f ca="1">结果表!H118</f>
        <v>337651</v>
      </c>
      <c r="E14" s="1671">
        <f ca="1">ROUND(D14*10000/B14,0)</f>
        <v>28266</v>
      </c>
      <c r="F14" s="1671">
        <f ca="1">ROUND(D14*10000/C14,0)</f>
        <v>77446</v>
      </c>
      <c r="G14" s="1671" t="str">
        <f>结果表!D122</f>
        <v>——</v>
      </c>
      <c r="H14" s="1671">
        <f ca="1">结果表!D124</f>
        <v>321247</v>
      </c>
      <c r="I14" s="1671" t="str">
        <f>结果表!D126</f>
        <v>——</v>
      </c>
      <c r="J14" s="1670"/>
    </row>
    <row r="15" spans="1:10" ht="16.5">
      <c r="A15" s="1669" t="s">
        <v>1349</v>
      </c>
      <c r="B15" s="1676"/>
      <c r="C15" s="1676"/>
      <c r="D15" s="1676"/>
      <c r="E15" s="1671" t="e">
        <f t="shared" ref="E15:E23" si="0">ROUND(D15*10000/B15,0)</f>
        <v>#DIV/0!</v>
      </c>
      <c r="F15" s="1671" t="e">
        <f t="shared" ref="F15:F23" si="1">ROUND(D15*10000/C15,0)</f>
        <v>#DIV/0!</v>
      </c>
      <c r="G15" s="1677"/>
      <c r="H15" s="1677"/>
      <c r="I15" s="1676"/>
      <c r="J15" s="1670"/>
    </row>
    <row r="16" spans="1:10" ht="16.5">
      <c r="A16" s="1669" t="s">
        <v>1348</v>
      </c>
      <c r="B16" s="1676"/>
      <c r="C16" s="1676"/>
      <c r="D16" s="1676"/>
      <c r="E16" s="1671" t="e">
        <f t="shared" si="0"/>
        <v>#DIV/0!</v>
      </c>
      <c r="F16" s="1671" t="e">
        <f t="shared" si="1"/>
        <v>#DIV/0!</v>
      </c>
      <c r="G16" s="1677"/>
      <c r="H16" s="1677"/>
      <c r="I16" s="1676"/>
    </row>
    <row r="17" spans="1:9" ht="16.5">
      <c r="A17" s="1669" t="s">
        <v>1347</v>
      </c>
      <c r="B17" s="1676"/>
      <c r="C17" s="1676"/>
      <c r="D17" s="1676"/>
      <c r="E17" s="1671" t="e">
        <f t="shared" si="0"/>
        <v>#DIV/0!</v>
      </c>
      <c r="F17" s="1671" t="e">
        <f t="shared" si="1"/>
        <v>#DIV/0!</v>
      </c>
      <c r="G17" s="1677"/>
      <c r="H17" s="1677"/>
      <c r="I17" s="1676"/>
    </row>
    <row r="18" spans="1:9" ht="16.5">
      <c r="A18" s="1669" t="s">
        <v>1346</v>
      </c>
      <c r="B18" s="1676"/>
      <c r="C18" s="1676"/>
      <c r="D18" s="1676"/>
      <c r="E18" s="1671" t="e">
        <f t="shared" si="0"/>
        <v>#DIV/0!</v>
      </c>
      <c r="F18" s="1671" t="e">
        <f t="shared" si="1"/>
        <v>#DIV/0!</v>
      </c>
      <c r="G18" s="1676"/>
      <c r="H18" s="1676"/>
      <c r="I18" s="1676"/>
    </row>
    <row r="19" spans="1:9" ht="16.5">
      <c r="A19" s="1669" t="s">
        <v>1345</v>
      </c>
      <c r="B19" s="1676"/>
      <c r="C19" s="1676"/>
      <c r="D19" s="1676"/>
      <c r="E19" s="1671" t="e">
        <f t="shared" si="0"/>
        <v>#DIV/0!</v>
      </c>
      <c r="F19" s="1671" t="e">
        <f t="shared" si="1"/>
        <v>#DIV/0!</v>
      </c>
      <c r="G19" s="1676"/>
      <c r="H19" s="1676"/>
      <c r="I19" s="1676"/>
    </row>
    <row r="20" spans="1:9" ht="16.5">
      <c r="A20" s="1669" t="s">
        <v>1344</v>
      </c>
      <c r="B20" s="1676"/>
      <c r="C20" s="1676"/>
      <c r="D20" s="1676"/>
      <c r="E20" s="1671" t="e">
        <f t="shared" si="0"/>
        <v>#DIV/0!</v>
      </c>
      <c r="F20" s="1671" t="e">
        <f t="shared" si="1"/>
        <v>#DIV/0!</v>
      </c>
      <c r="G20" s="1676"/>
      <c r="H20" s="1676"/>
      <c r="I20" s="1676"/>
    </row>
    <row r="21" spans="1:9" ht="16.5">
      <c r="A21" s="1669" t="s">
        <v>1343</v>
      </c>
      <c r="B21" s="1676"/>
      <c r="C21" s="1676"/>
      <c r="D21" s="1676"/>
      <c r="E21" s="1671" t="e">
        <f t="shared" si="0"/>
        <v>#DIV/0!</v>
      </c>
      <c r="F21" s="1671" t="e">
        <f t="shared" si="1"/>
        <v>#DIV/0!</v>
      </c>
      <c r="G21" s="1676"/>
      <c r="H21" s="1676"/>
      <c r="I21" s="1676"/>
    </row>
    <row r="22" spans="1:9" ht="16.5">
      <c r="A22" s="1669" t="s">
        <v>1342</v>
      </c>
      <c r="B22" s="1676"/>
      <c r="C22" s="1676"/>
      <c r="D22" s="1676"/>
      <c r="E22" s="1671" t="e">
        <f t="shared" si="0"/>
        <v>#DIV/0!</v>
      </c>
      <c r="F22" s="1671" t="e">
        <f t="shared" si="1"/>
        <v>#DIV/0!</v>
      </c>
      <c r="G22" s="1676"/>
      <c r="H22" s="1676"/>
      <c r="I22" s="1676"/>
    </row>
    <row r="23" spans="1:9" ht="16.5">
      <c r="A23" s="1669" t="s">
        <v>1341</v>
      </c>
      <c r="B23" s="1676"/>
      <c r="C23" s="1676"/>
      <c r="D23" s="1676"/>
      <c r="E23" s="1673" t="e">
        <f t="shared" si="0"/>
        <v>#DIV/0!</v>
      </c>
      <c r="F23" s="1673" t="e">
        <f t="shared" si="1"/>
        <v>#DIV/0!</v>
      </c>
      <c r="G23" s="1676"/>
      <c r="H23" s="1676"/>
      <c r="I23" s="1676"/>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2" zoomScaleNormal="100" zoomScaleSheetLayoutView="100" zoomScalePageLayoutView="80" workbookViewId="0">
      <selection activeCell="H33" sqref="H33"/>
    </sheetView>
  </sheetViews>
  <sheetFormatPr defaultColWidth="12.625" defaultRowHeight="21.75" customHeight="1"/>
  <cols>
    <col min="1" max="2" width="12.625" style="2287"/>
    <col min="3" max="4" width="12.625" style="2287" customWidth="1"/>
    <col min="5" max="9" width="12.625" style="2287"/>
    <col min="10" max="11" width="12.625" style="738" customWidth="1"/>
    <col min="12" max="12" width="12.625" style="738"/>
    <col min="13" max="13" width="14.125" style="738" bestFit="1" customWidth="1"/>
    <col min="14" max="26" width="12.625" style="738"/>
    <col min="27" max="35" width="12.625" style="2286"/>
    <col min="36" max="16384" width="12.625" style="2287"/>
  </cols>
  <sheetData>
    <row r="1" spans="1:12" ht="21.75" customHeight="1" thickBot="1">
      <c r="A1" s="2149" t="s">
        <v>1995</v>
      </c>
      <c r="B1" s="2281"/>
      <c r="C1" s="2282"/>
      <c r="D1" s="2281"/>
      <c r="E1" s="2281"/>
      <c r="F1" s="2283" t="s">
        <v>1996</v>
      </c>
      <c r="G1" s="1995" t="s">
        <v>1997</v>
      </c>
      <c r="H1" s="2284" t="str">
        <f>IF(G1="现房","——","估价对象范围")</f>
        <v>估价对象范围</v>
      </c>
      <c r="I1" s="2285" t="s">
        <v>3252</v>
      </c>
    </row>
    <row r="2" spans="1:12" ht="21.75" customHeight="1" thickBot="1">
      <c r="A2" s="3250" t="str">
        <f>项目基本情况!S2</f>
        <v>上海市松江区泗泾镇7街坊4/20丘“融创壹号府”居住项目出让国有建设用地使用权及在建建筑物房地产</v>
      </c>
      <c r="B2" s="3251"/>
      <c r="C2" s="3251"/>
      <c r="D2" s="3251"/>
      <c r="E2" s="3251"/>
      <c r="F2" s="3251"/>
      <c r="G2" s="3251"/>
      <c r="H2" s="3251"/>
      <c r="I2" s="3252"/>
    </row>
    <row r="3" spans="1:12" ht="12.75">
      <c r="A3" s="3253" t="s">
        <v>1998</v>
      </c>
      <c r="B3" s="3254"/>
      <c r="C3" s="3254"/>
      <c r="D3" s="3254"/>
      <c r="E3" s="3254"/>
      <c r="F3" s="3254"/>
      <c r="G3" s="3254"/>
      <c r="H3" s="3254"/>
      <c r="I3" s="3254"/>
    </row>
    <row r="4" spans="1:12" ht="14.25">
      <c r="A4" s="2288" t="s">
        <v>1999</v>
      </c>
      <c r="B4" s="2289" t="s">
        <v>2000</v>
      </c>
      <c r="C4" s="2290" t="s">
        <v>3248</v>
      </c>
      <c r="D4" s="2290" t="s">
        <v>3251</v>
      </c>
      <c r="E4" s="3234" t="s">
        <v>2001</v>
      </c>
      <c r="F4" s="3247"/>
      <c r="G4" s="3247"/>
      <c r="H4" s="3247"/>
      <c r="I4" s="3235"/>
      <c r="K4" s="2291" t="str">
        <f>IF(ISNUMBER(FIND("比较法",结果表!C4)),"比较法",IF(ISNUMBER(FIND("成本法",结果表!C4)),"成本法",IF(ISNUMBER(FIND("假设开发法",结果表!C4)),"假设开发法",IF(ISNUMBER(FIND("收益法",结果表!C4)),"收益法","基准地价系数修正法"))))</f>
        <v>成本法</v>
      </c>
      <c r="L4" s="2291" t="str">
        <f>IF(ISNUMBER(FIND("比较法",结果表!D4)),"比较法",IF(ISNUMBER(FIND("成本法",结果表!D4)),"成本法",IF(ISNUMBER(FIND("假设开发法",结果表!D4)),"假设开发法",IF(ISNUMBER(FIND("收益法",结果表!D4)),"收益法","基准地价系数修正法"))))</f>
        <v>假设开发法</v>
      </c>
    </row>
    <row r="5" spans="1:12" ht="12.75">
      <c r="A5" s="3225" t="s">
        <v>2002</v>
      </c>
      <c r="B5" s="3113">
        <v>25</v>
      </c>
      <c r="C5" s="3255"/>
      <c r="D5" s="3243"/>
      <c r="E5" s="83" t="s">
        <v>2003</v>
      </c>
      <c r="F5" s="2292"/>
      <c r="G5" s="2292"/>
      <c r="H5" s="2292"/>
      <c r="I5" s="1757"/>
    </row>
    <row r="6" spans="1:12" ht="12.75">
      <c r="A6" s="3225"/>
      <c r="B6" s="3113"/>
      <c r="C6" s="3257"/>
      <c r="D6" s="3243"/>
      <c r="E6" s="83" t="s">
        <v>2004</v>
      </c>
      <c r="F6" s="2292"/>
      <c r="G6" s="2292"/>
      <c r="H6" s="2292"/>
      <c r="I6" s="1757"/>
    </row>
    <row r="7" spans="1:12" ht="12.75">
      <c r="A7" s="3225"/>
      <c r="B7" s="3113"/>
      <c r="C7" s="3256"/>
      <c r="D7" s="3243"/>
      <c r="E7" s="83" t="s">
        <v>2005</v>
      </c>
      <c r="F7" s="2292"/>
      <c r="G7" s="2292"/>
      <c r="H7" s="2292"/>
      <c r="I7" s="1757"/>
    </row>
    <row r="8" spans="1:12" ht="12.75">
      <c r="A8" s="3225" t="s">
        <v>2006</v>
      </c>
      <c r="B8" s="3113">
        <v>15</v>
      </c>
      <c r="C8" s="3255"/>
      <c r="D8" s="3243"/>
      <c r="E8" s="83" t="s">
        <v>2007</v>
      </c>
      <c r="F8" s="2292"/>
      <c r="G8" s="2292"/>
      <c r="H8" s="2292"/>
      <c r="I8" s="1757"/>
    </row>
    <row r="9" spans="1:12" ht="12.75">
      <c r="A9" s="3225"/>
      <c r="B9" s="3113"/>
      <c r="C9" s="3256"/>
      <c r="D9" s="3243"/>
      <c r="E9" s="83" t="s">
        <v>2008</v>
      </c>
      <c r="F9" s="2292"/>
      <c r="G9" s="2292"/>
      <c r="H9" s="2292"/>
      <c r="I9" s="1757"/>
    </row>
    <row r="10" spans="1:12" ht="12.75">
      <c r="A10" s="3225" t="s">
        <v>2009</v>
      </c>
      <c r="B10" s="3113">
        <v>15</v>
      </c>
      <c r="C10" s="3255"/>
      <c r="D10" s="3243"/>
      <c r="E10" s="83" t="s">
        <v>2010</v>
      </c>
      <c r="F10" s="2292"/>
      <c r="G10" s="2292"/>
      <c r="H10" s="2292"/>
      <c r="I10" s="1757"/>
    </row>
    <row r="11" spans="1:12" ht="12.75">
      <c r="A11" s="3225"/>
      <c r="B11" s="3113"/>
      <c r="C11" s="3256"/>
      <c r="D11" s="3243"/>
      <c r="E11" s="83" t="s">
        <v>2011</v>
      </c>
      <c r="F11" s="2292"/>
      <c r="G11" s="2292"/>
      <c r="H11" s="2292"/>
      <c r="I11" s="1757"/>
    </row>
    <row r="12" spans="1:12" ht="12.75">
      <c r="A12" s="3225" t="s">
        <v>2012</v>
      </c>
      <c r="B12" s="3113">
        <v>15</v>
      </c>
      <c r="C12" s="3255"/>
      <c r="D12" s="3243"/>
      <c r="E12" s="83" t="s">
        <v>2013</v>
      </c>
      <c r="F12" s="2292"/>
      <c r="G12" s="2292"/>
      <c r="H12" s="2292"/>
      <c r="I12" s="1757"/>
    </row>
    <row r="13" spans="1:12" ht="12.75">
      <c r="A13" s="3225"/>
      <c r="B13" s="3113"/>
      <c r="C13" s="3256"/>
      <c r="D13" s="3243"/>
      <c r="E13" s="83" t="s">
        <v>2014</v>
      </c>
      <c r="F13" s="2292"/>
      <c r="G13" s="2292"/>
      <c r="H13" s="2292"/>
      <c r="I13" s="1757"/>
    </row>
    <row r="14" spans="1:12" ht="12.75">
      <c r="A14" s="3225" t="s">
        <v>2015</v>
      </c>
      <c r="B14" s="3113">
        <v>30</v>
      </c>
      <c r="C14" s="3255">
        <v>4</v>
      </c>
      <c r="D14" s="3243">
        <v>6</v>
      </c>
      <c r="E14" s="83" t="s">
        <v>2016</v>
      </c>
      <c r="F14" s="2292"/>
      <c r="G14" s="2292"/>
      <c r="H14" s="2292"/>
      <c r="I14" s="1757"/>
    </row>
    <row r="15" spans="1:12" ht="12.75">
      <c r="A15" s="3225"/>
      <c r="B15" s="3113"/>
      <c r="C15" s="3257"/>
      <c r="D15" s="3243"/>
      <c r="E15" s="83" t="s">
        <v>2017</v>
      </c>
      <c r="F15" s="2292"/>
      <c r="G15" s="2292"/>
      <c r="H15" s="2292"/>
      <c r="I15" s="1757"/>
    </row>
    <row r="16" spans="1:12" ht="12.75">
      <c r="A16" s="3225"/>
      <c r="B16" s="3113"/>
      <c r="C16" s="3256"/>
      <c r="D16" s="3243"/>
      <c r="E16" s="83" t="s">
        <v>2018</v>
      </c>
      <c r="F16" s="2292"/>
      <c r="G16" s="2292"/>
      <c r="H16" s="2292"/>
      <c r="I16" s="1757"/>
    </row>
    <row r="17" spans="1:35" ht="15">
      <c r="A17" s="2293" t="s">
        <v>2019</v>
      </c>
      <c r="B17" s="63"/>
      <c r="C17" s="84">
        <f>SUM(C5:C16)</f>
        <v>4</v>
      </c>
      <c r="D17" s="84">
        <f>SUM(D5:D16)</f>
        <v>6</v>
      </c>
      <c r="E17" s="81"/>
      <c r="F17" s="81"/>
      <c r="G17" s="81"/>
      <c r="H17" s="81"/>
      <c r="I17" s="81"/>
      <c r="K17" s="2291"/>
      <c r="L17" s="2294" t="s">
        <v>2020</v>
      </c>
      <c r="M17" s="2294" t="s">
        <v>2021</v>
      </c>
    </row>
    <row r="18" spans="1:35" ht="15.75" thickBot="1">
      <c r="A18" s="2295" t="s">
        <v>2022</v>
      </c>
      <c r="B18" s="2296"/>
      <c r="C18" s="85">
        <f>ROUND(C17/SUM(C17:D17),2)</f>
        <v>0.4</v>
      </c>
      <c r="D18" s="85">
        <f>1-C18</f>
        <v>0.6</v>
      </c>
      <c r="E18" s="81"/>
      <c r="F18" s="81"/>
      <c r="G18" s="81"/>
      <c r="H18" s="81"/>
      <c r="I18" s="81"/>
      <c r="K18" s="2291" t="s">
        <v>2023</v>
      </c>
      <c r="L18" s="2291">
        <f>IF(C1="",'数据-汇总表'!E3,SUMIF(项目类型,C1,'数据-汇总表'!E17:E26)+SUMIF(项目类型,C1,'数据-汇总表'!I17:I26))</f>
        <v>119454.59</v>
      </c>
      <c r="M18" s="2291">
        <f>IF(C1="",'数据-汇总表'!E3,SUMIF(项目类型,C1,'数据-汇总表'!E17:E26))</f>
        <v>119454.59</v>
      </c>
    </row>
    <row r="19" spans="1:35" ht="15">
      <c r="A19" s="2297" t="s">
        <v>2024</v>
      </c>
      <c r="B19" s="2298" t="s">
        <v>2025</v>
      </c>
      <c r="C19" s="86">
        <f ca="1">SUMIF(INDIRECT("'"&amp;C4&amp;"'"&amp;"!A:A"),结果表!B19,INDIRECT("'"&amp;C4&amp;"'"&amp;"!B:B"))</f>
        <v>399907</v>
      </c>
      <c r="D19" s="87">
        <f ca="1">SUMIF(INDIRECT("'"&amp;D4&amp;"'"&amp;"!A:A"),结果表!B19,INDIRECT("'"&amp;D4&amp;"'"&amp;"!B:B"))</f>
        <v>296147</v>
      </c>
      <c r="E19" s="2297" t="s">
        <v>2026</v>
      </c>
      <c r="F19" s="2298" t="s">
        <v>2025</v>
      </c>
      <c r="G19" s="88">
        <f ca="1">ROUND(C19*$C$18+D19*$D$18,0)</f>
        <v>337651</v>
      </c>
      <c r="H19" s="2299" t="s">
        <v>2027</v>
      </c>
      <c r="I19" s="81"/>
      <c r="J19" s="738">
        <f ca="1">(G19-E40)*0.8</f>
        <v>256997.6</v>
      </c>
      <c r="K19" s="2291" t="s">
        <v>2028</v>
      </c>
      <c r="L19" s="2291">
        <f>IF(C1="",'数据-汇总表'!D3,SUMIF(项目类型,C1,'数据-汇总表'!D17:D26)+SUMIF(项目类型,C1,'数据-汇总表'!H17:H27))</f>
        <v>43598.5</v>
      </c>
      <c r="M19" s="2291">
        <f>IF(C1="",'数据-汇总表'!D3,SUMIF(项目类型,C1,'数据-汇总表'!D17:D26))</f>
        <v>43598.5</v>
      </c>
    </row>
    <row r="20" spans="1:35" ht="15">
      <c r="A20" s="2300"/>
      <c r="B20" s="1193" t="s">
        <v>2029</v>
      </c>
      <c r="C20" s="89">
        <f ca="1">SUMIF(INDIRECT("'"&amp;C4&amp;"'"&amp;"!A:A"),结果表!B20,INDIRECT("'"&amp;C4&amp;"'"&amp;"!B:B"))</f>
        <v>33478</v>
      </c>
      <c r="D20" s="90">
        <f ca="1">SUMIF(INDIRECT("'"&amp;D4&amp;"'"&amp;"!A:A"),结果表!B20,INDIRECT("'"&amp;D4&amp;"'"&amp;"!B:B"))</f>
        <v>24792</v>
      </c>
      <c r="E20" s="2300"/>
      <c r="F20" s="1193" t="s">
        <v>2029</v>
      </c>
      <c r="G20" s="91">
        <f ca="1">ROUND(C20*$C$18+D20*$D$18,0)</f>
        <v>28266</v>
      </c>
      <c r="H20" s="926" t="s">
        <v>2030</v>
      </c>
      <c r="I20" s="81"/>
    </row>
    <row r="21" spans="1:35" ht="15" customHeight="1" thickBot="1">
      <c r="A21" s="946"/>
      <c r="B21" s="2301" t="s">
        <v>2031</v>
      </c>
      <c r="C21" s="732">
        <f ca="1">ROUND(C19*10000/L19,0)</f>
        <v>91725</v>
      </c>
      <c r="D21" s="733">
        <f ca="1">ROUND(D19*10000/L19,0)</f>
        <v>67926</v>
      </c>
      <c r="E21" s="946"/>
      <c r="F21" s="2301" t="s">
        <v>2031</v>
      </c>
      <c r="G21" s="92">
        <f ca="1">ROUND(G19*10000/L19,0)</f>
        <v>77446</v>
      </c>
      <c r="H21" s="2302" t="s">
        <v>2030</v>
      </c>
      <c r="I21" s="81"/>
    </row>
    <row r="22" spans="1:35" ht="15" thickBot="1">
      <c r="A22" s="2198" t="s">
        <v>2032</v>
      </c>
      <c r="B22" s="2303"/>
      <c r="C22" s="2304"/>
      <c r="D22" s="734">
        <f ca="1">IF(C19&lt;D19,D19/C19-1,C19/D19-1)</f>
        <v>0.35036654094081654</v>
      </c>
      <c r="E22" s="81"/>
      <c r="F22" s="81"/>
      <c r="G22" s="81"/>
      <c r="H22" s="81"/>
      <c r="I22" s="81"/>
    </row>
    <row r="23" spans="1:35" ht="13.5" thickBot="1">
      <c r="A23" s="2281"/>
      <c r="B23" s="2281"/>
      <c r="C23" s="2281"/>
      <c r="D23" s="2281"/>
      <c r="E23" s="81"/>
      <c r="F23" s="81"/>
      <c r="G23" s="81"/>
      <c r="H23" s="81"/>
      <c r="I23" s="81"/>
    </row>
    <row r="24" spans="1:35" ht="14.25">
      <c r="A24" s="3264" t="s">
        <v>2033</v>
      </c>
      <c r="B24" s="2298" t="s">
        <v>2025</v>
      </c>
      <c r="C24" s="88">
        <f>IF(B30=0,0,D30)</f>
        <v>0</v>
      </c>
      <c r="D24" s="2305"/>
      <c r="E24" s="81"/>
      <c r="F24" s="81"/>
      <c r="G24" s="81"/>
      <c r="H24" s="81"/>
      <c r="I24" s="81"/>
    </row>
    <row r="25" spans="1:35" ht="14.25">
      <c r="A25" s="3265"/>
      <c r="B25" s="1193" t="s">
        <v>2029</v>
      </c>
      <c r="C25" s="93">
        <f>IF(B30=0,0,C30)</f>
        <v>0</v>
      </c>
      <c r="D25" s="2306"/>
      <c r="E25" s="81"/>
      <c r="F25" s="81"/>
      <c r="G25" s="81"/>
      <c r="H25" s="81"/>
      <c r="I25" s="81"/>
    </row>
    <row r="26" spans="1:35" ht="13.5" customHeight="1">
      <c r="A26" s="2307" t="s">
        <v>2034</v>
      </c>
      <c r="B26" s="94" t="s">
        <v>2035</v>
      </c>
      <c r="C26" s="94" t="s">
        <v>2036</v>
      </c>
      <c r="D26" s="95" t="s">
        <v>2037</v>
      </c>
      <c r="E26" s="81"/>
      <c r="F26" s="81"/>
      <c r="G26" s="81"/>
      <c r="H26" s="81"/>
      <c r="I26" s="81"/>
    </row>
    <row r="27" spans="1:35" ht="14.25">
      <c r="A27" s="2307"/>
      <c r="B27" s="94">
        <v>0</v>
      </c>
      <c r="C27" s="94">
        <v>0</v>
      </c>
      <c r="D27" s="95">
        <f>ROUND(C27*B27/10000,0)</f>
        <v>0</v>
      </c>
      <c r="E27" s="81"/>
      <c r="F27" s="81"/>
      <c r="G27" s="81"/>
      <c r="H27" s="81"/>
      <c r="I27" s="81"/>
    </row>
    <row r="28" spans="1:35" ht="14.25">
      <c r="A28" s="2307"/>
      <c r="B28" s="94"/>
      <c r="C28" s="94"/>
      <c r="D28" s="95"/>
      <c r="E28" s="81"/>
      <c r="F28" s="81"/>
      <c r="G28" s="81"/>
      <c r="H28" s="81"/>
      <c r="I28" s="81"/>
    </row>
    <row r="29" spans="1:35" ht="14.25">
      <c r="A29" s="2307"/>
      <c r="B29" s="94"/>
      <c r="C29" s="94"/>
      <c r="D29" s="95"/>
      <c r="E29" s="81"/>
      <c r="F29" s="81"/>
      <c r="G29" s="81"/>
      <c r="H29" s="81"/>
      <c r="I29" s="81"/>
    </row>
    <row r="30" spans="1:35" ht="14.25">
      <c r="A30" s="94" t="s">
        <v>2038</v>
      </c>
      <c r="B30" s="94"/>
      <c r="C30" s="94"/>
      <c r="D30" s="94"/>
      <c r="E30" s="2788" t="s">
        <v>2908</v>
      </c>
      <c r="F30" s="81"/>
      <c r="G30" s="81"/>
      <c r="H30" s="81"/>
      <c r="I30" s="81"/>
    </row>
    <row r="31" spans="1:35" s="2309" customFormat="1" ht="15" thickBot="1">
      <c r="A31" s="2308"/>
      <c r="B31" s="2308"/>
      <c r="C31" s="2308"/>
      <c r="D31" s="2308"/>
      <c r="E31" s="81"/>
      <c r="F31" s="81"/>
      <c r="G31" s="81"/>
      <c r="H31" s="81"/>
      <c r="I31" s="81"/>
      <c r="J31" s="738"/>
      <c r="K31" s="738"/>
      <c r="L31" s="738"/>
      <c r="M31" s="738"/>
      <c r="N31" s="738"/>
      <c r="O31" s="738"/>
      <c r="P31" s="738"/>
      <c r="Q31" s="738"/>
      <c r="R31" s="738"/>
      <c r="S31" s="738"/>
      <c r="T31" s="738"/>
      <c r="U31" s="738"/>
      <c r="V31" s="738"/>
      <c r="W31" s="738"/>
      <c r="X31" s="738"/>
      <c r="Y31" s="738"/>
      <c r="Z31" s="738"/>
      <c r="AA31" s="2286"/>
      <c r="AB31" s="2286"/>
      <c r="AC31" s="2286"/>
      <c r="AD31" s="2286"/>
      <c r="AE31" s="2286"/>
      <c r="AF31" s="2286"/>
      <c r="AG31" s="2286"/>
      <c r="AH31" s="2286"/>
      <c r="AI31" s="2286"/>
    </row>
    <row r="32" spans="1:35" ht="15.75" thickBot="1">
      <c r="A32" s="2310" t="s">
        <v>2039</v>
      </c>
      <c r="B32" s="2311"/>
      <c r="C32" s="96">
        <f ca="1">IF(D32="总价",G19-C24,G20-C25)</f>
        <v>337651</v>
      </c>
      <c r="D32" s="2312" t="s">
        <v>2040</v>
      </c>
      <c r="E32" s="81"/>
      <c r="F32" s="81"/>
      <c r="G32" s="81"/>
      <c r="H32" s="81"/>
      <c r="I32" s="81"/>
    </row>
    <row r="33" spans="1:15" ht="15">
      <c r="A33" s="903" t="s">
        <v>2041</v>
      </c>
      <c r="B33" s="2313"/>
      <c r="C33" s="2314" t="s">
        <v>3247</v>
      </c>
      <c r="D33" s="2315" t="s">
        <v>3248</v>
      </c>
      <c r="E33" s="2316" t="s">
        <v>2042</v>
      </c>
      <c r="F33" s="2317" t="str">
        <f>IF(D32="楼面单价","取值（单价）","取值（总价）")</f>
        <v>取值（总价）</v>
      </c>
      <c r="G33" s="81"/>
      <c r="H33" s="81"/>
      <c r="I33" s="81"/>
    </row>
    <row r="34" spans="1:15" ht="15">
      <c r="A34" s="2318"/>
      <c r="B34" s="2319" t="s">
        <v>2043</v>
      </c>
      <c r="C34" s="100">
        <f ca="1">IF(C33="自定义",F34,C32-C35)</f>
        <v>305237</v>
      </c>
      <c r="D34" s="1001">
        <f ca="1">IF(C33="自定义",ROUND(C34/C32,3),IF(C33="收益比率",SUMIF(INDIRECT("'"&amp;D33&amp;"'"&amp;"!b:b"),"土地收益比率",INDIRECT("'"&amp;D33&amp;"'"&amp;"!c:c")),SUMIF(INDIRECT("'"&amp;D33&amp;"'"&amp;"!b:b"),"土地成本比率",INDIRECT("'"&amp;D33&amp;"'"&amp;"!c:c"))))</f>
        <v>0.90400000000000003</v>
      </c>
      <c r="E34" s="2320" t="s">
        <v>2044</v>
      </c>
      <c r="F34" s="1666"/>
      <c r="G34" s="81"/>
      <c r="H34" s="81"/>
      <c r="I34" s="81"/>
    </row>
    <row r="35" spans="1:15" ht="15.75" thickBot="1">
      <c r="A35" s="2321"/>
      <c r="B35" s="2322" t="s">
        <v>2045</v>
      </c>
      <c r="C35" s="1373">
        <f ca="1">IF(C33="自定义",F35,ROUND(C32*D35,0))</f>
        <v>32414</v>
      </c>
      <c r="D35" s="1374">
        <f ca="1">IF(C33="自定义",ROUND(C35/C32,3),IF(C33="收益比率",SUMIF(INDIRECT("'"&amp;D33&amp;"'"&amp;"!b:b"),"建筑物收益比率",INDIRECT("'"&amp;D33&amp;"'"&amp;"!c:c")),SUMIF(INDIRECT("'"&amp;D33&amp;"'"&amp;"!b:b"),"建筑物成本比率",INDIRECT("'"&amp;D33&amp;"'"&amp;"!c:c"))))</f>
        <v>9.6000000000000002E-2</v>
      </c>
      <c r="E35" s="2323" t="s">
        <v>2046</v>
      </c>
      <c r="F35" s="106"/>
      <c r="G35" s="81"/>
      <c r="H35" s="81"/>
      <c r="I35" s="81"/>
    </row>
    <row r="36" spans="1:15" ht="15.75" thickBot="1">
      <c r="A36" s="3244" t="s">
        <v>2047</v>
      </c>
      <c r="B36" s="2324" t="s">
        <v>2048</v>
      </c>
      <c r="C36" s="97"/>
      <c r="D36" s="2325"/>
      <c r="E36" s="2326"/>
      <c r="F36" s="2327"/>
      <c r="G36" s="81"/>
      <c r="H36" s="81"/>
      <c r="I36" s="81"/>
    </row>
    <row r="37" spans="1:15" ht="15.75" thickBot="1">
      <c r="A37" s="3245"/>
      <c r="B37" s="2190" t="s">
        <v>2049</v>
      </c>
      <c r="C37" s="99"/>
      <c r="D37" s="1324"/>
      <c r="E37" s="1324"/>
      <c r="F37" s="2327"/>
      <c r="G37" s="81"/>
      <c r="H37" s="81"/>
      <c r="I37" s="81"/>
    </row>
    <row r="38" spans="1:15" ht="15.75" thickBot="1">
      <c r="A38" s="3246"/>
      <c r="B38" s="2328" t="s">
        <v>2050</v>
      </c>
      <c r="C38" s="670">
        <f>E40</f>
        <v>16404</v>
      </c>
      <c r="D38" s="2329" t="s">
        <v>2051</v>
      </c>
      <c r="E38" s="1324"/>
      <c r="F38" s="2327"/>
      <c r="G38" s="81"/>
      <c r="H38" s="81"/>
      <c r="I38" s="81"/>
    </row>
    <row r="39" spans="1:15" ht="15">
      <c r="A39" s="2300" t="s">
        <v>2052</v>
      </c>
      <c r="B39" s="2330" t="s">
        <v>2053</v>
      </c>
      <c r="C39" s="2331" t="s">
        <v>2054</v>
      </c>
      <c r="D39" s="2331" t="s">
        <v>2055</v>
      </c>
      <c r="E39" s="2332" t="s">
        <v>2056</v>
      </c>
      <c r="F39" s="2327"/>
      <c r="G39" s="81"/>
      <c r="H39" s="81"/>
      <c r="I39" s="81"/>
    </row>
    <row r="40" spans="1:15" ht="14.25">
      <c r="A40" s="2333" t="s">
        <v>2057</v>
      </c>
      <c r="B40" s="3045">
        <f>'数据-汇总表'!F31-78477.3</f>
        <v>4497.6049999999814</v>
      </c>
      <c r="C40" s="102">
        <f>'土地比较法-住宅、综合'!C48</f>
        <v>35394</v>
      </c>
      <c r="D40" s="2902">
        <f>'数据-取费表'!B48+'数据-取费表'!B49</f>
        <v>3.0499999999999999E-2</v>
      </c>
      <c r="E40" s="103">
        <f>ROUND(C40*B40*(1+D40)/10000,0)</f>
        <v>16404</v>
      </c>
      <c r="F40" s="2327"/>
      <c r="G40" s="81"/>
      <c r="H40" s="81"/>
      <c r="I40" s="81"/>
    </row>
    <row r="41" spans="1:15" ht="14.25">
      <c r="A41" s="2333" t="s">
        <v>2058</v>
      </c>
      <c r="B41" s="101"/>
      <c r="C41" s="102"/>
      <c r="D41" s="102"/>
      <c r="E41" s="103"/>
      <c r="F41" s="2327"/>
      <c r="G41" s="81"/>
      <c r="H41" s="81"/>
      <c r="I41" s="81"/>
    </row>
    <row r="42" spans="1:15" ht="15" thickBot="1">
      <c r="A42" s="2334"/>
      <c r="B42" s="104"/>
      <c r="C42" s="105"/>
      <c r="D42" s="105"/>
      <c r="E42" s="106"/>
      <c r="F42" s="2327"/>
      <c r="G42" s="81"/>
      <c r="H42" s="81"/>
      <c r="I42" s="81"/>
    </row>
    <row r="43" spans="1:15" ht="12.75">
      <c r="A43" s="2089"/>
      <c r="B43" s="2089"/>
      <c r="C43" s="2089"/>
      <c r="D43" s="2089"/>
      <c r="E43" s="2089"/>
      <c r="F43" s="2335"/>
      <c r="G43" s="2335"/>
      <c r="H43" s="2335"/>
      <c r="I43" s="2336"/>
    </row>
    <row r="44" spans="1:15" ht="18.75">
      <c r="A44" s="2337" t="s">
        <v>2059</v>
      </c>
      <c r="B44" s="2338"/>
      <c r="C44" s="2338"/>
      <c r="D44" s="2339"/>
      <c r="E44" s="2339"/>
      <c r="F44" s="2340"/>
      <c r="G44" s="2340"/>
      <c r="H44" s="2340"/>
      <c r="I44" s="2340"/>
      <c r="J44" s="2341" t="s">
        <v>2060</v>
      </c>
      <c r="K44" s="2342"/>
      <c r="L44" s="2342"/>
      <c r="M44" s="2342"/>
      <c r="N44" s="2342"/>
      <c r="O44" s="2342"/>
    </row>
    <row r="45" spans="1:15" ht="14.25" customHeight="1" thickBot="1">
      <c r="A45" s="3261" t="s">
        <v>2061</v>
      </c>
      <c r="B45" s="3262"/>
      <c r="C45" s="3263"/>
      <c r="D45" s="107">
        <f ca="1">ROUND(H101*F45,0)</f>
        <v>337651</v>
      </c>
      <c r="E45" s="108" t="s">
        <v>2062</v>
      </c>
      <c r="F45" s="109">
        <v>1</v>
      </c>
      <c r="G45" s="110" t="s">
        <v>2063</v>
      </c>
      <c r="H45" s="81"/>
      <c r="I45" s="81"/>
      <c r="J45" s="3180" t="s">
        <v>2064</v>
      </c>
      <c r="K45" s="3180"/>
      <c r="L45" s="3180"/>
      <c r="M45" s="3180"/>
      <c r="N45" s="3180"/>
      <c r="O45" s="3180"/>
    </row>
    <row r="46" spans="1:15" ht="14.25" customHeight="1">
      <c r="A46" s="3258" t="s">
        <v>2065</v>
      </c>
      <c r="B46" s="3259"/>
      <c r="C46" s="3259"/>
      <c r="D46" s="3259"/>
      <c r="E46" s="3259"/>
      <c r="F46" s="3259"/>
      <c r="G46" s="3260"/>
      <c r="H46" s="2343"/>
      <c r="I46" s="111"/>
      <c r="J46" s="1736">
        <v>1</v>
      </c>
      <c r="K46" s="3180" t="s">
        <v>2066</v>
      </c>
      <c r="L46" s="3180"/>
      <c r="M46" s="3181"/>
      <c r="N46" s="3181"/>
      <c r="O46" s="3181"/>
    </row>
    <row r="47" spans="1:15" ht="12" customHeight="1">
      <c r="A47" s="112" t="s">
        <v>2067</v>
      </c>
      <c r="B47" s="113"/>
      <c r="C47" s="114"/>
      <c r="D47" s="115" t="s">
        <v>2068</v>
      </c>
      <c r="E47" s="24" t="s">
        <v>2069</v>
      </c>
      <c r="F47" s="116" t="s">
        <v>2070</v>
      </c>
      <c r="G47" s="117" t="s">
        <v>2071</v>
      </c>
      <c r="H47" s="2343"/>
      <c r="I47" s="111"/>
      <c r="J47" s="1736">
        <v>2</v>
      </c>
      <c r="K47" s="3180" t="s">
        <v>2072</v>
      </c>
      <c r="L47" s="3180"/>
      <c r="M47" s="3182">
        <f>'数据-取费表'!B2</f>
        <v>43284</v>
      </c>
      <c r="N47" s="3182"/>
      <c r="O47" s="3182"/>
    </row>
    <row r="48" spans="1:15" ht="25.5">
      <c r="A48" s="3248" t="s">
        <v>2073</v>
      </c>
      <c r="B48" s="3249"/>
      <c r="C48" s="3249"/>
      <c r="D48" s="83">
        <f ca="1">IF(H48="情况1",0,IF(H48="情况2",D52,IF(H48="情况3",D53,IF(H48="情况4",D54))))</f>
        <v>18008</v>
      </c>
      <c r="E48" s="1726" t="str">
        <f>IF(H48="情况4","(销售额-原购置价)×税（费）率","销售额×税（费）率")</f>
        <v>销售额×税（费）率</v>
      </c>
      <c r="F48" s="118">
        <f>IF(H48="情况1","免征",'数据-取费表'!B41)</f>
        <v>5.6000000000000001E-2</v>
      </c>
      <c r="G48" s="2344" t="s">
        <v>2074</v>
      </c>
      <c r="H48" s="2345" t="s">
        <v>3250</v>
      </c>
      <c r="I48" s="2343"/>
      <c r="J48" s="1736">
        <v>3</v>
      </c>
      <c r="K48" s="3180" t="s">
        <v>2075</v>
      </c>
      <c r="L48" s="3180"/>
      <c r="M48" s="3183">
        <f ca="1">H101</f>
        <v>337651</v>
      </c>
      <c r="N48" s="3183"/>
      <c r="O48" s="3183"/>
    </row>
    <row r="49" spans="1:35" ht="25.5" customHeight="1">
      <c r="A49" s="119" t="s">
        <v>2076</v>
      </c>
      <c r="B49" s="3228" t="s">
        <v>2077</v>
      </c>
      <c r="C49" s="3228"/>
      <c r="D49" s="120">
        <v>0</v>
      </c>
      <c r="E49" s="23" t="s">
        <v>2078</v>
      </c>
      <c r="F49" s="28" t="s">
        <v>34</v>
      </c>
      <c r="G49" s="3209"/>
      <c r="H49" s="81"/>
      <c r="I49" s="2346"/>
      <c r="J49" s="1736">
        <v>4</v>
      </c>
      <c r="K49" s="3180" t="str">
        <f>IF(项目基本情况!E8="房地产抵押价值","房地产抵押价值","抵押担保权已注销时的房地产抵押价值")</f>
        <v>抵押担保权已注销时的房地产抵押价值</v>
      </c>
      <c r="L49" s="3180"/>
      <c r="M49" s="3183">
        <f ca="1">IF(项目基本情况!E8="房地产抵押价值",H107,H109)</f>
        <v>321247</v>
      </c>
      <c r="N49" s="3183"/>
      <c r="O49" s="3183"/>
    </row>
    <row r="50" spans="1:35" ht="25.5" customHeight="1">
      <c r="A50" s="121"/>
      <c r="B50" s="3228" t="s">
        <v>2079</v>
      </c>
      <c r="C50" s="3228"/>
      <c r="D50" s="122"/>
      <c r="E50" s="31"/>
      <c r="F50" s="123"/>
      <c r="G50" s="3210"/>
      <c r="H50" s="81"/>
      <c r="I50" s="2346"/>
      <c r="J50" s="3180" t="s">
        <v>2080</v>
      </c>
      <c r="K50" s="3180"/>
      <c r="L50" s="3180"/>
      <c r="M50" s="3180"/>
      <c r="N50" s="3180"/>
      <c r="O50" s="3180"/>
    </row>
    <row r="51" spans="1:35" ht="12" customHeight="1">
      <c r="A51" s="124"/>
      <c r="B51" s="3228" t="s">
        <v>2081</v>
      </c>
      <c r="C51" s="3228"/>
      <c r="D51" s="125"/>
      <c r="E51" s="30"/>
      <c r="F51" s="123"/>
      <c r="G51" s="3211"/>
      <c r="H51" s="81"/>
      <c r="I51" s="2346"/>
      <c r="J51" s="2347" t="s">
        <v>2082</v>
      </c>
      <c r="K51" s="3180" t="s">
        <v>2083</v>
      </c>
      <c r="L51" s="3180"/>
      <c r="M51" s="2347" t="s">
        <v>2084</v>
      </c>
      <c r="N51" s="2347" t="s">
        <v>2085</v>
      </c>
      <c r="O51" s="2347" t="s">
        <v>2086</v>
      </c>
    </row>
    <row r="52" spans="1:35" ht="24" customHeight="1">
      <c r="A52" s="126" t="s">
        <v>2087</v>
      </c>
      <c r="B52" s="3228" t="s">
        <v>2088</v>
      </c>
      <c r="C52" s="3228"/>
      <c r="D52" s="125">
        <f ca="1">ROUND(D45*'数据-取费表'!B41/(1+'数据-取费表'!C42),0)</f>
        <v>18008</v>
      </c>
      <c r="E52" s="11" t="s">
        <v>2089</v>
      </c>
      <c r="F52" s="127">
        <f>'数据-取费表'!B41</f>
        <v>5.6000000000000001E-2</v>
      </c>
      <c r="G52" s="2348"/>
      <c r="H52" s="81"/>
      <c r="I52" s="2346"/>
      <c r="J52" s="1736">
        <v>1</v>
      </c>
      <c r="K52" s="3203" t="s">
        <v>2090</v>
      </c>
      <c r="L52" s="3203"/>
      <c r="M52" s="1681">
        <f ca="1">D48</f>
        <v>18008</v>
      </c>
      <c r="N52" s="1736" t="str">
        <f>E48</f>
        <v>销售额×税（费）率</v>
      </c>
      <c r="O52" s="1682">
        <f>F48</f>
        <v>5.6000000000000001E-2</v>
      </c>
    </row>
    <row r="53" spans="1:35" ht="12" customHeight="1">
      <c r="A53" s="126" t="s">
        <v>2091</v>
      </c>
      <c r="B53" s="3229" t="s">
        <v>2092</v>
      </c>
      <c r="C53" s="3230"/>
      <c r="D53" s="125">
        <f ca="1">ROUND(D45*'数据-取费表'!B41/(1+'数据-取费表'!C42),0)</f>
        <v>18008</v>
      </c>
      <c r="E53" s="11" t="s">
        <v>2089</v>
      </c>
      <c r="F53" s="127">
        <f>'数据-取费表'!B41</f>
        <v>5.6000000000000001E-2</v>
      </c>
      <c r="G53" s="2348"/>
      <c r="H53" s="81"/>
      <c r="I53" s="2346"/>
      <c r="J53" s="1736">
        <v>2</v>
      </c>
      <c r="K53" s="3203" t="s">
        <v>2093</v>
      </c>
      <c r="L53" s="3203"/>
      <c r="M53" s="1681">
        <f t="shared" ref="M53:O54" ca="1" si="0">D55</f>
        <v>169</v>
      </c>
      <c r="N53" s="1736" t="str">
        <f t="shared" si="0"/>
        <v>销售额×税（费）率</v>
      </c>
      <c r="O53" s="1682">
        <f t="shared" si="0"/>
        <v>5.0000000000000001E-4</v>
      </c>
    </row>
    <row r="54" spans="1:35" ht="12" customHeight="1">
      <c r="A54" s="126" t="s">
        <v>2094</v>
      </c>
      <c r="B54" s="3229" t="s">
        <v>2095</v>
      </c>
      <c r="C54" s="3230"/>
      <c r="D54" s="125">
        <f ca="1">C68</f>
        <v>18008</v>
      </c>
      <c r="E54" s="30" t="s">
        <v>2096</v>
      </c>
      <c r="F54" s="127">
        <f>'数据-取费表'!B41</f>
        <v>5.6000000000000001E-2</v>
      </c>
      <c r="G54" s="2348"/>
      <c r="H54" s="2349"/>
      <c r="I54" s="2346"/>
      <c r="J54" s="1736">
        <v>3</v>
      </c>
      <c r="K54" s="3203" t="s">
        <v>2097</v>
      </c>
      <c r="L54" s="3203"/>
      <c r="M54" s="1681">
        <f t="shared" ca="1" si="0"/>
        <v>0</v>
      </c>
      <c r="N54" s="1736" t="str">
        <f t="shared" si="0"/>
        <v>增值额×税（费）率</v>
      </c>
      <c r="O54" s="1683" t="str">
        <f t="shared" si="0"/>
        <v>——</v>
      </c>
    </row>
    <row r="55" spans="1:35" ht="24" customHeight="1">
      <c r="A55" s="3267" t="s">
        <v>2098</v>
      </c>
      <c r="B55" s="3249"/>
      <c r="C55" s="3249"/>
      <c r="D55" s="128">
        <f ca="1">IF(H55="个人住宅",0,ROUND(D45*I55,0))</f>
        <v>169</v>
      </c>
      <c r="E55" s="11" t="s">
        <v>2099</v>
      </c>
      <c r="F55" s="127">
        <f>IF(H55="正常",I55,"免征")</f>
        <v>5.0000000000000001E-4</v>
      </c>
      <c r="G55" s="2348"/>
      <c r="H55" s="2345" t="s">
        <v>2100</v>
      </c>
      <c r="I55" s="129">
        <f>'数据-取费表'!B49</f>
        <v>5.0000000000000001E-4</v>
      </c>
      <c r="J55" s="1736" t="str">
        <f>IF(H59="非个人房产","",4)</f>
        <v/>
      </c>
      <c r="K55" s="3203" t="str">
        <f>IF(H59="非个人房产","——","个人所得税")</f>
        <v>——</v>
      </c>
      <c r="L55" s="3203"/>
      <c r="M55" s="1684" t="str">
        <f>D59</f>
        <v>——</v>
      </c>
      <c r="N55" s="1734" t="str">
        <f>E59</f>
        <v>——</v>
      </c>
      <c r="O55" s="1685" t="str">
        <f>F59</f>
        <v>——</v>
      </c>
    </row>
    <row r="56" spans="1:35" ht="24.75">
      <c r="A56" s="3267" t="s">
        <v>2101</v>
      </c>
      <c r="B56" s="3249"/>
      <c r="C56" s="3249"/>
      <c r="D56" s="128">
        <f ca="1">IF(H56="个人住宅",D57,D58)</f>
        <v>0</v>
      </c>
      <c r="E56" s="11" t="s">
        <v>2102</v>
      </c>
      <c r="F56" s="127" t="str">
        <f>IF(H56="正常",F58,"免征")</f>
        <v>——</v>
      </c>
      <c r="G56" s="2350" t="s">
        <v>2103</v>
      </c>
      <c r="H56" s="2351" t="s">
        <v>2100</v>
      </c>
      <c r="I56" s="2352"/>
      <c r="J56" s="1736" t="str">
        <f>IF(项目基本情况!K6="上海银行",IF(J55="",4,J55+1),"")</f>
        <v/>
      </c>
      <c r="K56" s="3186" t="str">
        <f>IF(项目基本情况!K6="上海银行","其他处置费用","")</f>
        <v/>
      </c>
      <c r="L56" s="3187"/>
      <c r="M56" s="1681" t="str">
        <f>IF(项目基本情况!K6="上海银行",M69,"")</f>
        <v/>
      </c>
      <c r="N56" s="3189" t="str">
        <f>IF(项目基本情况!K6="上海银行","包含处置中涉及的律师、诉讼、拍卖、评估等费用","")</f>
        <v/>
      </c>
      <c r="O56" s="3190"/>
    </row>
    <row r="57" spans="1:35" ht="12.75">
      <c r="A57" s="126" t="s">
        <v>2076</v>
      </c>
      <c r="B57" s="3234" t="s">
        <v>2104</v>
      </c>
      <c r="C57" s="3235"/>
      <c r="D57" s="130">
        <v>0</v>
      </c>
      <c r="E57" s="23" t="s">
        <v>2078</v>
      </c>
      <c r="F57" s="98"/>
      <c r="G57" s="2348"/>
      <c r="H57" s="2352"/>
      <c r="I57" s="2352"/>
      <c r="J57" s="3203">
        <f>IF(AND(J55="",J56=""),4,IF(项目基本情况!K6="上海银行",结果表!J56+1,结果表!J55+1))</f>
        <v>4</v>
      </c>
      <c r="K57" s="3203" t="s">
        <v>2105</v>
      </c>
      <c r="L57" s="2353" t="s">
        <v>2106</v>
      </c>
      <c r="M57" s="1686"/>
      <c r="N57" s="1687">
        <f ca="1">SUMIF(M52:M56,"&lt;9e307")</f>
        <v>18177</v>
      </c>
      <c r="O57" s="2354"/>
      <c r="P57" s="1680">
        <f ca="1">N57/M49</f>
        <v>5.6582629565412282E-2</v>
      </c>
    </row>
    <row r="58" spans="1:35" ht="24.75">
      <c r="A58" s="126" t="s">
        <v>2087</v>
      </c>
      <c r="B58" s="3234" t="s">
        <v>2107</v>
      </c>
      <c r="C58" s="3247"/>
      <c r="D58" s="128">
        <f ca="1">IF(H58="转让取得",C81,C97)</f>
        <v>0</v>
      </c>
      <c r="E58" s="11" t="s">
        <v>2102</v>
      </c>
      <c r="F58" s="24" t="s">
        <v>34</v>
      </c>
      <c r="G58" s="2348"/>
      <c r="H58" s="2351" t="s">
        <v>2108</v>
      </c>
      <c r="I58" s="2352"/>
      <c r="J58" s="3203"/>
      <c r="K58" s="3203"/>
      <c r="L58" s="2353" t="s">
        <v>2109</v>
      </c>
      <c r="M58" s="1688"/>
      <c r="N58" s="2355" t="str">
        <f ca="1">NUMBERSTRING(INT(N57*10000),2)&amp;"元整"</f>
        <v>壹亿捌仟壹佰柒拾柒万元整</v>
      </c>
      <c r="O58" s="2356"/>
    </row>
    <row r="59" spans="1:35" ht="24.75" thickBot="1">
      <c r="A59" s="3207" t="s">
        <v>2110</v>
      </c>
      <c r="B59" s="3208"/>
      <c r="C59" s="3208"/>
      <c r="D59" s="131" t="str">
        <f>IF(H59="非个人房产","——",IF(H59="个人住宅",0,ROUND(D45*I59,0)))</f>
        <v>——</v>
      </c>
      <c r="E59" s="132" t="str">
        <f>IF(H59="非个人房产","——","销售额×税（费）率")</f>
        <v>——</v>
      </c>
      <c r="F59" s="133" t="str">
        <f>IF(H59="非个人房产","——",IF(H59="个人住宅","免征",I59))</f>
        <v>——</v>
      </c>
      <c r="G59" s="2357" t="s">
        <v>2103</v>
      </c>
      <c r="H59" s="2351" t="s">
        <v>3249</v>
      </c>
      <c r="I59" s="134">
        <v>0.01</v>
      </c>
      <c r="J59" s="3205">
        <f>J57+1</f>
        <v>5</v>
      </c>
      <c r="K59" s="3203" t="s">
        <v>2111</v>
      </c>
      <c r="L59" s="1736" t="s">
        <v>2106</v>
      </c>
      <c r="M59" s="1689"/>
      <c r="N59" s="1690">
        <f ca="1">M49-N57</f>
        <v>303070</v>
      </c>
      <c r="O59" s="2358"/>
    </row>
    <row r="60" spans="1:35" ht="12" customHeight="1">
      <c r="A60" s="2359"/>
      <c r="B60" s="2281"/>
      <c r="C60" s="2281"/>
      <c r="D60" s="2281"/>
      <c r="E60" s="2090"/>
      <c r="F60" s="2352"/>
      <c r="G60" s="2352"/>
      <c r="H60" s="2360"/>
      <c r="I60" s="81"/>
      <c r="J60" s="3206"/>
      <c r="K60" s="3203"/>
      <c r="L60" s="2353" t="s">
        <v>2109</v>
      </c>
      <c r="M60" s="1688"/>
      <c r="N60" s="2355" t="str">
        <f ca="1">NUMBERSTRING(INT(N59*10000),2)&amp;"元整"</f>
        <v>叁拾亿叁仟零柒拾万元整</v>
      </c>
      <c r="O60" s="2356"/>
    </row>
    <row r="61" spans="1:35" ht="13.5" thickBot="1">
      <c r="A61" s="3266" t="s">
        <v>2112</v>
      </c>
      <c r="B61" s="3266"/>
      <c r="C61" s="3266"/>
      <c r="D61" s="3266"/>
      <c r="E61" s="3266"/>
      <c r="F61" s="2352"/>
      <c r="G61" s="2352"/>
      <c r="H61" s="2360"/>
      <c r="I61" s="81"/>
      <c r="J61" s="1736">
        <f>J59+1</f>
        <v>6</v>
      </c>
      <c r="K61" s="3203" t="s">
        <v>2113</v>
      </c>
      <c r="L61" s="3203"/>
      <c r="M61" s="1691"/>
      <c r="N61" s="1692">
        <f ca="1">ROUND(N59*10000/'数据-汇总表'!E3,0)</f>
        <v>25371</v>
      </c>
      <c r="O61" s="2361"/>
    </row>
    <row r="62" spans="1:35" ht="12.75">
      <c r="A62" s="3223" t="s">
        <v>2114</v>
      </c>
      <c r="B62" s="3224"/>
      <c r="C62" s="1729"/>
      <c r="D62" s="1729" t="s">
        <v>2115</v>
      </c>
      <c r="E62" s="135" t="s">
        <v>2116</v>
      </c>
      <c r="F62" s="2352"/>
      <c r="G62" s="2352"/>
      <c r="H62" s="2360"/>
      <c r="I62" s="81"/>
    </row>
    <row r="63" spans="1:35" ht="12.75">
      <c r="A63" s="146" t="s">
        <v>775</v>
      </c>
      <c r="B63" s="136" t="s">
        <v>2117</v>
      </c>
      <c r="C63" s="137">
        <f ca="1">ROUND((C64+C65)/(1+'数据-取费表'!C42),0)</f>
        <v>321572</v>
      </c>
      <c r="D63" s="138"/>
      <c r="E63" s="139"/>
      <c r="F63" s="2352"/>
      <c r="G63" s="2352"/>
      <c r="H63" s="2360"/>
      <c r="I63" s="81"/>
      <c r="J63" s="3188" t="s">
        <v>2118</v>
      </c>
      <c r="K63" s="2362" t="s">
        <v>2119</v>
      </c>
      <c r="L63" s="1679">
        <f ca="1">IF(M49&gt;10000,M49*0.5%,IF(AND(M49&gt;1000,M49&lt;=10000),M49*1%,IF(AND(M49&gt;100,M49&lt;=1000),M49*3%,IF(AND(M49&gt;10,M49&lt;=100),M49*5%,M49*8%))))</f>
        <v>1606.2350000000001</v>
      </c>
      <c r="M63" s="24">
        <f ca="1">ROUND(L63,1)</f>
        <v>1606.2</v>
      </c>
      <c r="Z63" s="2286"/>
      <c r="AI63" s="2287"/>
    </row>
    <row r="64" spans="1:35" ht="14.25" customHeight="1">
      <c r="A64" s="140" t="s">
        <v>770</v>
      </c>
      <c r="B64" s="141" t="s">
        <v>2120</v>
      </c>
      <c r="C64" s="142">
        <f ca="1">D45</f>
        <v>337651</v>
      </c>
      <c r="D64" s="143" t="s">
        <v>32</v>
      </c>
      <c r="E64" s="144"/>
      <c r="F64" s="2352"/>
      <c r="G64" s="2352"/>
      <c r="H64" s="2360"/>
      <c r="I64" s="81"/>
      <c r="J64" s="3188"/>
      <c r="K64" s="2362" t="s">
        <v>2121</v>
      </c>
      <c r="L64" s="1679">
        <f ca="1">IF(M49&gt;2000,M49*0.5%,IF(AND(M49&gt;1000,M49&lt;=2000),M49*0.6%,IF(AND(M49&gt;500,M49&lt;=1000),M49*0.7%,IF(AND(M49&gt;200,M49&lt;=500),M49*0.8%,IF(AND(M49&gt;100,M49&lt;=200),M49*0.9%,IF(AND(M49&gt;50,M49&lt;=100),M49*1%,IF(AND(M49&gt;20,M49&lt;=50),M49*1.5%,IF(AND(M49&gt;10,M49&lt;=20),M49*2%,IF(AND(M49&gt;1,M49&lt;=10),M49*2.5%)))))))))</f>
        <v>1606.2350000000001</v>
      </c>
      <c r="M64" s="24">
        <f t="shared" ref="M64:M65" ca="1" si="1">ROUND(L64,1)</f>
        <v>1606.2</v>
      </c>
      <c r="N64" s="81" t="s">
        <v>2122</v>
      </c>
      <c r="Z64" s="2286"/>
      <c r="AI64" s="2287"/>
    </row>
    <row r="65" spans="1:35" ht="14.25" customHeight="1">
      <c r="A65" s="140" t="s">
        <v>771</v>
      </c>
      <c r="B65" s="141" t="s">
        <v>2123</v>
      </c>
      <c r="C65" s="145"/>
      <c r="D65" s="143"/>
      <c r="E65" s="144"/>
      <c r="F65" s="2352"/>
      <c r="G65" s="2352"/>
      <c r="H65" s="2360"/>
      <c r="I65" s="81"/>
      <c r="J65" s="3188"/>
      <c r="K65" s="2362" t="s">
        <v>2124</v>
      </c>
      <c r="L65" s="1679">
        <f ca="1">IF(M49&gt;1000,M49*0.1%,IF(AND(M49&gt;500,M49&lt;=1000),M49*0.5%,IF(AND(M49&gt;50,M49&lt;=500),M49*1%,IF(AND(M49&gt;1,M49&lt;=50),M49*1.5%))))</f>
        <v>321.24700000000001</v>
      </c>
      <c r="M65" s="24">
        <f t="shared" ca="1" si="1"/>
        <v>321.2</v>
      </c>
      <c r="N65" s="81" t="s">
        <v>2122</v>
      </c>
      <c r="Z65" s="2286"/>
      <c r="AI65" s="2287"/>
    </row>
    <row r="66" spans="1:35" ht="14.25" customHeight="1">
      <c r="A66" s="146" t="s">
        <v>772</v>
      </c>
      <c r="B66" s="147" t="s">
        <v>2125</v>
      </c>
      <c r="C66" s="148"/>
      <c r="D66" s="149" t="s">
        <v>32</v>
      </c>
      <c r="E66" s="1701" t="s">
        <v>1371</v>
      </c>
      <c r="F66" s="2352"/>
      <c r="G66" s="2352"/>
      <c r="H66" s="2360"/>
      <c r="I66" s="81"/>
      <c r="J66" s="3188"/>
      <c r="K66" s="2362" t="s">
        <v>2126</v>
      </c>
      <c r="L66" s="1679">
        <f ca="1">M49*0.5%</f>
        <v>1606.2350000000001</v>
      </c>
      <c r="M66" s="24">
        <f ca="1">IF(L66&gt;0.5,0.5,ROUND(L66,0))</f>
        <v>0.5</v>
      </c>
      <c r="N66" s="81" t="s">
        <v>2127</v>
      </c>
      <c r="Z66" s="2286"/>
      <c r="AI66" s="2287"/>
    </row>
    <row r="67" spans="1:35" ht="14.25" customHeight="1">
      <c r="A67" s="146" t="s">
        <v>773</v>
      </c>
      <c r="B67" s="147" t="s">
        <v>2128</v>
      </c>
      <c r="C67" s="150">
        <f ca="1">C63-C66</f>
        <v>321572</v>
      </c>
      <c r="D67" s="143" t="s">
        <v>32</v>
      </c>
      <c r="E67" s="144"/>
      <c r="F67" s="2352"/>
      <c r="G67" s="2352"/>
      <c r="H67" s="2360"/>
      <c r="I67" s="81"/>
      <c r="J67" s="3188"/>
      <c r="K67" s="2362" t="s">
        <v>2129</v>
      </c>
      <c r="L67" s="1679">
        <f ca="1">IF(M49&gt;=10000,(8.25+(M49-10000)*0.01%),IF(AND(M49&gt;=8000,M49&lt;10000),(7.85+(M49-8000)*0.02%),IF(AND(M49&gt;=5000,M49&lt;8000),(6.65+(M49-5000)*0.04%),IF(AND(M49&gt;=2000,M49&lt;5000),(4.25+(PM49-2000)*0.08%),IF(AND(M49&gt;=1000,M49&lt;2000),(2.75+(M49-1000)*0.15%),IF(AND(M49&gt;=100,M49&lt;1000),(0.5+(M49-100)*0.25%),IF(AND(M49&gt;0,M49&lt;100),M49*0.5%)))))))</f>
        <v>39.374700000000004</v>
      </c>
      <c r="M67" s="24">
        <f ca="1">ROUND(L67*0.9,1)</f>
        <v>35.4</v>
      </c>
      <c r="Z67" s="2286"/>
      <c r="AI67" s="2287"/>
    </row>
    <row r="68" spans="1:35" ht="14.25" customHeight="1" thickBot="1">
      <c r="A68" s="151" t="s">
        <v>774</v>
      </c>
      <c r="B68" s="152" t="s">
        <v>2130</v>
      </c>
      <c r="C68" s="153">
        <f ca="1">IF(C67&lt;=0,0,ROUND(C67*D68,0))</f>
        <v>18008</v>
      </c>
      <c r="D68" s="154">
        <f>'数据-取费表'!B41</f>
        <v>5.6000000000000001E-2</v>
      </c>
      <c r="E68" s="155"/>
      <c r="F68" s="2352"/>
      <c r="G68" s="2352"/>
      <c r="H68" s="2360"/>
      <c r="I68" s="81"/>
      <c r="J68" s="3188"/>
      <c r="K68" s="2362" t="s">
        <v>2131</v>
      </c>
      <c r="L68" s="1679">
        <f ca="1">IF(M49&gt;10000,M49*0.5%,IF(AND(M49&gt;5000,M49&lt;=10000),M49*1%,IF(AND(M49&gt;1000,M49&lt;=5000),M49*2%,IF(AND(M49&gt;200,M49&lt;=1000),M49*3%,M49*5%))))</f>
        <v>1606.2350000000001</v>
      </c>
      <c r="M68" s="24">
        <f ca="1">ROUND(L68,1)</f>
        <v>1606.2</v>
      </c>
      <c r="Z68" s="2286"/>
      <c r="AI68" s="2287"/>
    </row>
    <row r="69" spans="1:35" s="2309" customFormat="1" ht="16.5" customHeight="1">
      <c r="A69" s="2363"/>
      <c r="B69" s="2364"/>
      <c r="C69" s="2365"/>
      <c r="D69" s="2366"/>
      <c r="E69" s="2367"/>
      <c r="F69" s="2090"/>
      <c r="G69" s="2090"/>
      <c r="H69" s="2089"/>
      <c r="I69" s="2281"/>
      <c r="J69" s="3188"/>
      <c r="K69" s="2362" t="s">
        <v>2132</v>
      </c>
      <c r="L69" s="2368"/>
      <c r="M69" s="24">
        <f ca="1">ROUND(SUM(M63:M68),0)</f>
        <v>5176</v>
      </c>
      <c r="N69" s="1680">
        <f ca="1">M69/M49</f>
        <v>1.6112212721052649E-2</v>
      </c>
      <c r="O69" s="738"/>
      <c r="P69" s="738"/>
      <c r="Q69" s="738"/>
      <c r="R69" s="738"/>
      <c r="S69" s="738"/>
      <c r="T69" s="738"/>
      <c r="U69" s="738"/>
      <c r="V69" s="738"/>
      <c r="W69" s="738"/>
      <c r="X69" s="738"/>
      <c r="Y69" s="738"/>
      <c r="Z69" s="2286"/>
      <c r="AA69" s="2286"/>
      <c r="AB69" s="2286"/>
      <c r="AC69" s="2286"/>
      <c r="AD69" s="2286"/>
      <c r="AE69" s="2286"/>
      <c r="AF69" s="2286"/>
      <c r="AG69" s="2286"/>
      <c r="AH69" s="2286"/>
    </row>
    <row r="70" spans="1:35" s="2370" customFormat="1" ht="15" thickBot="1">
      <c r="A70" s="3232" t="s">
        <v>2133</v>
      </c>
      <c r="B70" s="3233"/>
      <c r="C70" s="3233"/>
      <c r="D70" s="3233"/>
      <c r="E70" s="3233"/>
      <c r="F70" s="3233"/>
      <c r="G70" s="3233"/>
      <c r="H70" s="3233"/>
      <c r="I70" s="2369"/>
      <c r="N70" s="2371"/>
      <c r="O70" s="2371"/>
      <c r="P70" s="2371"/>
      <c r="Q70" s="2371"/>
      <c r="R70" s="2371"/>
      <c r="S70" s="2371"/>
      <c r="T70" s="2371"/>
      <c r="U70" s="2371"/>
      <c r="V70" s="2371"/>
      <c r="W70" s="2371"/>
      <c r="X70" s="2371"/>
      <c r="Y70" s="2371"/>
      <c r="Z70" s="2371"/>
      <c r="AA70" s="2372"/>
      <c r="AB70" s="2372"/>
      <c r="AC70" s="2372"/>
      <c r="AD70" s="2372"/>
      <c r="AE70" s="2372"/>
      <c r="AF70" s="2372"/>
      <c r="AG70" s="2372"/>
      <c r="AH70" s="2372"/>
      <c r="AI70" s="2372"/>
    </row>
    <row r="71" spans="1:35" s="2370" customFormat="1" ht="14.25">
      <c r="A71" s="3223" t="s">
        <v>2114</v>
      </c>
      <c r="B71" s="3224"/>
      <c r="C71" s="1729"/>
      <c r="D71" s="1729" t="s">
        <v>2115</v>
      </c>
      <c r="E71" s="156" t="s">
        <v>2116</v>
      </c>
      <c r="F71" s="157"/>
      <c r="G71" s="157"/>
      <c r="H71" s="158"/>
      <c r="I71" s="2373"/>
      <c r="N71" s="2371"/>
      <c r="O71" s="2371"/>
      <c r="P71" s="2371"/>
      <c r="Q71" s="2371"/>
      <c r="R71" s="2371"/>
      <c r="S71" s="2371"/>
      <c r="T71" s="2371"/>
      <c r="U71" s="2371"/>
      <c r="V71" s="2371"/>
      <c r="W71" s="2371"/>
      <c r="X71" s="2371"/>
      <c r="Y71" s="2371"/>
      <c r="Z71" s="2371"/>
      <c r="AA71" s="2372"/>
      <c r="AB71" s="2372"/>
      <c r="AC71" s="2372"/>
      <c r="AD71" s="2372"/>
      <c r="AE71" s="2372"/>
      <c r="AF71" s="2372"/>
      <c r="AG71" s="2372"/>
      <c r="AH71" s="2372"/>
      <c r="AI71" s="2372"/>
    </row>
    <row r="72" spans="1:35" s="2370" customFormat="1" ht="14.25">
      <c r="A72" s="146" t="s">
        <v>775</v>
      </c>
      <c r="B72" s="147" t="s">
        <v>2134</v>
      </c>
      <c r="C72" s="150">
        <f ca="1">ROUND(D45/(1+'数据-取费表'!C42),0)</f>
        <v>321572</v>
      </c>
      <c r="D72" s="143" t="s">
        <v>32</v>
      </c>
      <c r="E72" s="1728"/>
      <c r="F72" s="1722"/>
      <c r="G72" s="1722"/>
      <c r="H72" s="159"/>
      <c r="I72" s="2373"/>
      <c r="N72" s="2371"/>
      <c r="O72" s="2371"/>
      <c r="P72" s="2371"/>
      <c r="Q72" s="2371"/>
      <c r="R72" s="2371"/>
      <c r="S72" s="2371"/>
      <c r="T72" s="2371"/>
      <c r="U72" s="2371"/>
      <c r="V72" s="2371"/>
      <c r="W72" s="2371"/>
      <c r="X72" s="2371"/>
      <c r="Y72" s="2371"/>
      <c r="Z72" s="2371"/>
      <c r="AA72" s="2372"/>
      <c r="AB72" s="2372"/>
      <c r="AC72" s="2372"/>
      <c r="AD72" s="2372"/>
      <c r="AE72" s="2372"/>
      <c r="AF72" s="2372"/>
      <c r="AG72" s="2372"/>
      <c r="AH72" s="2372"/>
      <c r="AI72" s="2372"/>
    </row>
    <row r="73" spans="1:35" s="2370" customFormat="1" ht="14.25">
      <c r="A73" s="146" t="s">
        <v>772</v>
      </c>
      <c r="B73" s="116" t="s">
        <v>2135</v>
      </c>
      <c r="C73" s="150">
        <f ca="1">C74+C78</f>
        <v>1929</v>
      </c>
      <c r="D73" s="143" t="s">
        <v>32</v>
      </c>
      <c r="E73" s="1728"/>
      <c r="F73" s="1722"/>
      <c r="G73" s="1722"/>
      <c r="H73" s="159"/>
      <c r="I73" s="2373"/>
      <c r="J73" s="2371"/>
      <c r="K73" s="2371"/>
      <c r="L73" s="2371"/>
      <c r="M73" s="2371"/>
      <c r="N73" s="2371"/>
      <c r="O73" s="2371"/>
      <c r="P73" s="2371"/>
      <c r="Q73" s="2371"/>
      <c r="R73" s="2371"/>
      <c r="S73" s="2371"/>
      <c r="T73" s="2371"/>
      <c r="U73" s="2371"/>
      <c r="V73" s="2371"/>
      <c r="W73" s="2371"/>
      <c r="X73" s="2371"/>
      <c r="Y73" s="2371"/>
      <c r="Z73" s="2371"/>
      <c r="AA73" s="2372"/>
      <c r="AB73" s="2372"/>
      <c r="AC73" s="2372"/>
      <c r="AD73" s="2372"/>
      <c r="AE73" s="2372"/>
      <c r="AF73" s="2372"/>
      <c r="AG73" s="2372"/>
      <c r="AH73" s="2372"/>
      <c r="AI73" s="2372"/>
    </row>
    <row r="74" spans="1:35" s="2370" customFormat="1" ht="24">
      <c r="A74" s="160" t="s">
        <v>770</v>
      </c>
      <c r="B74" s="141" t="s">
        <v>2136</v>
      </c>
      <c r="C74" s="143">
        <f>ROUND(IF(G77="2016年5月1日后购买",C75/(1+'数据-取费表'!C42)+C76+C77,C75+C76+C77),0)</f>
        <v>0</v>
      </c>
      <c r="D74" s="143" t="s">
        <v>32</v>
      </c>
      <c r="E74" s="1728"/>
      <c r="F74" s="1722"/>
      <c r="G74" s="1722"/>
      <c r="H74" s="159"/>
      <c r="I74" s="2373"/>
      <c r="J74" s="2371"/>
      <c r="K74" s="2371"/>
      <c r="L74" s="2371"/>
      <c r="M74" s="2371"/>
      <c r="N74" s="2371"/>
      <c r="O74" s="2371"/>
      <c r="P74" s="2371"/>
      <c r="Q74" s="2371"/>
      <c r="R74" s="2371"/>
      <c r="S74" s="2371"/>
      <c r="T74" s="2371"/>
      <c r="U74" s="2371"/>
      <c r="V74" s="2371"/>
      <c r="W74" s="2371"/>
      <c r="X74" s="2371"/>
      <c r="Y74" s="2371"/>
      <c r="Z74" s="2371"/>
      <c r="AA74" s="2372"/>
      <c r="AB74" s="2372"/>
      <c r="AC74" s="2372"/>
      <c r="AD74" s="2372"/>
      <c r="AE74" s="2372"/>
      <c r="AF74" s="2372"/>
      <c r="AG74" s="2372"/>
      <c r="AH74" s="2372"/>
      <c r="AI74" s="2372"/>
    </row>
    <row r="75" spans="1:35" s="2370" customFormat="1" ht="14.25">
      <c r="A75" s="160" t="s">
        <v>776</v>
      </c>
      <c r="B75" s="141" t="s">
        <v>2137</v>
      </c>
      <c r="C75" s="161"/>
      <c r="D75" s="143" t="s">
        <v>32</v>
      </c>
      <c r="E75" s="162" t="s">
        <v>2138</v>
      </c>
      <c r="F75" s="2374" t="s">
        <v>2139</v>
      </c>
      <c r="G75" s="162" t="s">
        <v>2140</v>
      </c>
      <c r="H75" s="163"/>
      <c r="I75" s="2375"/>
      <c r="J75" s="2371"/>
      <c r="K75" s="2371"/>
      <c r="L75" s="2371"/>
      <c r="M75" s="2371"/>
      <c r="N75" s="2371"/>
      <c r="O75" s="2371"/>
      <c r="P75" s="2371"/>
      <c r="Q75" s="2371"/>
      <c r="R75" s="2371"/>
      <c r="S75" s="2371"/>
      <c r="T75" s="2371"/>
      <c r="U75" s="2371"/>
      <c r="V75" s="2371"/>
      <c r="W75" s="2371"/>
      <c r="X75" s="2371"/>
      <c r="Y75" s="2371"/>
      <c r="Z75" s="2371"/>
      <c r="AA75" s="2372"/>
      <c r="AB75" s="2372"/>
      <c r="AC75" s="2372"/>
      <c r="AD75" s="2372"/>
      <c r="AE75" s="2372"/>
      <c r="AF75" s="2372"/>
      <c r="AG75" s="2372"/>
      <c r="AH75" s="2372"/>
      <c r="AI75" s="2372"/>
    </row>
    <row r="76" spans="1:35" s="2370" customFormat="1" ht="24.75" customHeight="1">
      <c r="A76" s="160" t="s">
        <v>777</v>
      </c>
      <c r="B76" s="164" t="s">
        <v>2141</v>
      </c>
      <c r="C76" s="143">
        <f>IF(F75="购房发票",ROUND(C75*H75*D76,0),0)</f>
        <v>0</v>
      </c>
      <c r="D76" s="165">
        <v>0.05</v>
      </c>
      <c r="E76" s="3229" t="s">
        <v>2142</v>
      </c>
      <c r="F76" s="3228"/>
      <c r="G76" s="3228"/>
      <c r="H76" s="3231"/>
      <c r="I76" s="2373"/>
      <c r="J76" s="2371"/>
      <c r="K76" s="2371"/>
      <c r="L76" s="2371"/>
      <c r="M76" s="2371"/>
      <c r="N76" s="2371"/>
      <c r="O76" s="2371"/>
      <c r="P76" s="2371"/>
      <c r="Q76" s="2371"/>
      <c r="R76" s="2371"/>
      <c r="S76" s="2371"/>
      <c r="T76" s="2371"/>
      <c r="U76" s="2371"/>
      <c r="V76" s="2371"/>
      <c r="W76" s="2371"/>
      <c r="X76" s="2371"/>
      <c r="Y76" s="2371"/>
      <c r="Z76" s="2371"/>
      <c r="AA76" s="2372"/>
      <c r="AB76" s="2372"/>
      <c r="AC76" s="2372"/>
      <c r="AD76" s="2372"/>
      <c r="AE76" s="2372"/>
      <c r="AF76" s="2372"/>
      <c r="AG76" s="2372"/>
      <c r="AH76" s="2372"/>
      <c r="AI76" s="2372"/>
    </row>
    <row r="77" spans="1:35" s="2370" customFormat="1" ht="24.75" customHeight="1">
      <c r="A77" s="160" t="s">
        <v>778</v>
      </c>
      <c r="B77" s="141" t="s">
        <v>2143</v>
      </c>
      <c r="C77" s="143">
        <f>ROUND(IF(G77="个人住宅",0,IF(G77="2016年5月1日前购买",C75*D77,C75*D77/(1+'数据-取费表'!C42))),0)</f>
        <v>0</v>
      </c>
      <c r="D77" s="166">
        <f>'数据-取费表'!B48+'数据-取费表'!B49</f>
        <v>3.0499999999999999E-2</v>
      </c>
      <c r="E77" s="15" t="s">
        <v>2144</v>
      </c>
      <c r="F77" s="167"/>
      <c r="G77" s="2376" t="s">
        <v>2145</v>
      </c>
      <c r="H77" s="1732" t="str">
        <f>IF(G77="个人买卖住房","免征印花税"," ")</f>
        <v xml:space="preserve"> </v>
      </c>
      <c r="I77" s="2373"/>
      <c r="J77" s="2371"/>
      <c r="K77" s="2371"/>
      <c r="L77" s="2371"/>
      <c r="M77" s="2371"/>
      <c r="N77" s="2371"/>
      <c r="O77" s="2371"/>
      <c r="P77" s="2371"/>
      <c r="Q77" s="2371"/>
      <c r="R77" s="2371"/>
      <c r="S77" s="2371"/>
      <c r="T77" s="2371"/>
      <c r="U77" s="2371"/>
      <c r="V77" s="2371"/>
      <c r="W77" s="2371"/>
      <c r="X77" s="2371"/>
      <c r="Y77" s="2371"/>
      <c r="Z77" s="2371"/>
      <c r="AA77" s="2372"/>
      <c r="AB77" s="2372"/>
      <c r="AC77" s="2372"/>
      <c r="AD77" s="2372"/>
      <c r="AE77" s="2372"/>
      <c r="AF77" s="2372"/>
      <c r="AG77" s="2372"/>
      <c r="AH77" s="2372"/>
      <c r="AI77" s="2372"/>
    </row>
    <row r="78" spans="1:35" s="2370" customFormat="1" ht="24.75" customHeight="1">
      <c r="A78" s="160" t="s">
        <v>771</v>
      </c>
      <c r="B78" s="141" t="s">
        <v>2146</v>
      </c>
      <c r="C78" s="168">
        <f ca="1">ROUND(D45*D78/(1+'数据-取费表'!C42),0)</f>
        <v>1929</v>
      </c>
      <c r="D78" s="169">
        <f>'数据-取费表'!B43</f>
        <v>6.000000000000001E-3</v>
      </c>
      <c r="E78" s="3220" t="s">
        <v>2147</v>
      </c>
      <c r="F78" s="3221"/>
      <c r="G78" s="3221"/>
      <c r="H78" s="3222"/>
      <c r="I78" s="2377"/>
      <c r="J78" s="2371"/>
      <c r="K78" s="2371"/>
      <c r="L78" s="2371"/>
      <c r="M78" s="2371"/>
      <c r="N78" s="2371"/>
      <c r="O78" s="2371"/>
      <c r="P78" s="2371"/>
      <c r="Q78" s="2371"/>
      <c r="R78" s="2371"/>
      <c r="S78" s="2371"/>
      <c r="T78" s="2371"/>
      <c r="U78" s="2371"/>
      <c r="V78" s="2371"/>
      <c r="W78" s="2371"/>
      <c r="X78" s="2371"/>
      <c r="Y78" s="2371"/>
      <c r="Z78" s="2371"/>
      <c r="AA78" s="2372"/>
      <c r="AB78" s="2372"/>
      <c r="AC78" s="2372"/>
      <c r="AD78" s="2372"/>
      <c r="AE78" s="2372"/>
      <c r="AF78" s="2372"/>
      <c r="AG78" s="2372"/>
      <c r="AH78" s="2372"/>
      <c r="AI78" s="2372"/>
    </row>
    <row r="79" spans="1:35" s="2370" customFormat="1" ht="14.25">
      <c r="A79" s="2378" t="s">
        <v>779</v>
      </c>
      <c r="B79" s="147" t="s">
        <v>2148</v>
      </c>
      <c r="C79" s="150">
        <f ca="1">C72-C73</f>
        <v>319643</v>
      </c>
      <c r="D79" s="143" t="s">
        <v>32</v>
      </c>
      <c r="E79" s="1728"/>
      <c r="F79" s="1722"/>
      <c r="G79" s="1722"/>
      <c r="H79" s="159"/>
      <c r="I79" s="2373"/>
      <c r="J79" s="2371"/>
      <c r="K79" s="2371"/>
      <c r="L79" s="2371"/>
      <c r="M79" s="2371"/>
      <c r="N79" s="2371"/>
      <c r="O79" s="2371"/>
      <c r="P79" s="2371"/>
      <c r="Q79" s="2371"/>
      <c r="R79" s="2371"/>
      <c r="S79" s="2371"/>
      <c r="T79" s="2371"/>
      <c r="U79" s="2371"/>
      <c r="V79" s="2371"/>
      <c r="W79" s="2371"/>
      <c r="X79" s="2371"/>
      <c r="Y79" s="2371"/>
      <c r="Z79" s="2371"/>
      <c r="AA79" s="2372"/>
      <c r="AB79" s="2372"/>
      <c r="AC79" s="2372"/>
      <c r="AD79" s="2372"/>
      <c r="AE79" s="2372"/>
      <c r="AF79" s="2372"/>
      <c r="AG79" s="2372"/>
      <c r="AH79" s="2372"/>
      <c r="AI79" s="2372"/>
    </row>
    <row r="80" spans="1:35" s="2370" customFormat="1" ht="24">
      <c r="A80" s="2378" t="s">
        <v>780</v>
      </c>
      <c r="B80" s="147" t="s">
        <v>2149</v>
      </c>
      <c r="C80" s="170">
        <f ca="1">IF(C79&lt;=0,0,C79/C73)</f>
        <v>165.70399170554691</v>
      </c>
      <c r="D80" s="14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22"/>
      <c r="G80" s="1722"/>
      <c r="H80" s="159"/>
      <c r="I80" s="2373"/>
      <c r="J80" s="2371"/>
      <c r="K80" s="2371"/>
      <c r="L80" s="2371"/>
      <c r="M80" s="2371"/>
      <c r="N80" s="2371"/>
      <c r="O80" s="2371"/>
      <c r="P80" s="2371"/>
      <c r="Q80" s="2371"/>
      <c r="R80" s="2371"/>
      <c r="S80" s="2371"/>
      <c r="T80" s="2371"/>
      <c r="U80" s="2371"/>
      <c r="V80" s="2371"/>
      <c r="W80" s="2371"/>
      <c r="X80" s="2371"/>
      <c r="Y80" s="2371"/>
      <c r="Z80" s="2371"/>
      <c r="AA80" s="2372"/>
      <c r="AB80" s="2372"/>
      <c r="AC80" s="2372"/>
      <c r="AD80" s="2372"/>
      <c r="AE80" s="2372"/>
      <c r="AF80" s="2372"/>
      <c r="AG80" s="2372"/>
      <c r="AH80" s="2372"/>
      <c r="AI80" s="2372"/>
    </row>
    <row r="81" spans="1:35" s="2370" customFormat="1" ht="24.75" thickBot="1">
      <c r="A81" s="2379" t="s">
        <v>781</v>
      </c>
      <c r="B81" s="152" t="s">
        <v>2150</v>
      </c>
      <c r="C81" s="171">
        <f ca="1">ROUND(IF(C79&lt;=0,0,IF(C80&gt;=200%,C79*60%-C73*35%,IF(C80&gt;=100%,C79*50%-C73*15%,IF(C80&gt;=50%,C79*40%-C73*5%,IF(C80&lt;50%,C79*30%,0))))),0)</f>
        <v>191111</v>
      </c>
      <c r="D81" s="172" t="s">
        <v>32</v>
      </c>
      <c r="E81" s="1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4"/>
      <c r="G81" s="174"/>
      <c r="H81" s="175"/>
      <c r="I81" s="2373"/>
      <c r="J81" s="2371"/>
      <c r="K81" s="2371"/>
      <c r="L81" s="2371"/>
      <c r="M81" s="2371"/>
      <c r="N81" s="2371"/>
      <c r="O81" s="2371"/>
      <c r="P81" s="2371"/>
      <c r="Q81" s="2371"/>
      <c r="R81" s="2371"/>
      <c r="S81" s="2371"/>
      <c r="T81" s="2371"/>
      <c r="U81" s="2371"/>
      <c r="V81" s="2371"/>
      <c r="W81" s="2371"/>
      <c r="X81" s="2371"/>
      <c r="Y81" s="2371"/>
      <c r="Z81" s="2371"/>
      <c r="AA81" s="2372"/>
      <c r="AB81" s="2372"/>
      <c r="AC81" s="2372"/>
      <c r="AD81" s="2372"/>
      <c r="AE81" s="2372"/>
      <c r="AF81" s="2372"/>
      <c r="AG81" s="2372"/>
      <c r="AH81" s="2372"/>
      <c r="AI81" s="2372"/>
    </row>
    <row r="82" spans="1:35" s="2370" customFormat="1" ht="7.5" customHeight="1">
      <c r="A82" s="676"/>
      <c r="B82" s="677"/>
      <c r="C82" s="7"/>
      <c r="D82" s="7"/>
      <c r="E82" s="677"/>
      <c r="F82" s="677"/>
      <c r="G82" s="677"/>
      <c r="H82" s="678"/>
      <c r="I82" s="2377"/>
      <c r="J82" s="2371"/>
      <c r="K82" s="2371"/>
      <c r="L82" s="2371"/>
      <c r="M82" s="2371"/>
      <c r="N82" s="2371"/>
      <c r="O82" s="2371"/>
      <c r="P82" s="2371"/>
      <c r="Q82" s="2371"/>
      <c r="R82" s="2371"/>
      <c r="S82" s="2371"/>
      <c r="T82" s="2371"/>
      <c r="U82" s="2371"/>
      <c r="V82" s="2371"/>
      <c r="W82" s="2371"/>
      <c r="X82" s="2371"/>
      <c r="Y82" s="2371"/>
      <c r="Z82" s="2371"/>
      <c r="AA82" s="2372"/>
      <c r="AB82" s="2372"/>
      <c r="AC82" s="2372"/>
      <c r="AD82" s="2372"/>
      <c r="AE82" s="2372"/>
      <c r="AF82" s="2372"/>
      <c r="AG82" s="2372"/>
      <c r="AH82" s="2372"/>
      <c r="AI82" s="2372"/>
    </row>
    <row r="83" spans="1:35" s="2370" customFormat="1" ht="15" thickBot="1">
      <c r="A83" s="3232" t="s">
        <v>2151</v>
      </c>
      <c r="B83" s="3233"/>
      <c r="C83" s="3233"/>
      <c r="D83" s="3233"/>
      <c r="E83" s="3233"/>
      <c r="F83" s="3233"/>
      <c r="G83" s="3233"/>
      <c r="H83" s="3233"/>
      <c r="I83" s="2375"/>
      <c r="J83" s="2371"/>
      <c r="K83" s="2371"/>
      <c r="L83" s="2371"/>
      <c r="M83" s="2371"/>
      <c r="N83" s="2371"/>
      <c r="O83" s="2371"/>
      <c r="P83" s="2371"/>
      <c r="Q83" s="2371"/>
      <c r="R83" s="2371"/>
      <c r="S83" s="2371"/>
      <c r="T83" s="2371"/>
      <c r="U83" s="2371"/>
      <c r="V83" s="2371"/>
      <c r="W83" s="2371"/>
      <c r="X83" s="2371"/>
      <c r="Y83" s="2371"/>
      <c r="Z83" s="2371"/>
      <c r="AA83" s="2372"/>
      <c r="AB83" s="2372"/>
      <c r="AC83" s="2372"/>
      <c r="AD83" s="2372"/>
      <c r="AE83" s="2372"/>
      <c r="AF83" s="2372"/>
      <c r="AG83" s="2372"/>
      <c r="AH83" s="2372"/>
      <c r="AI83" s="2372"/>
    </row>
    <row r="84" spans="1:35" s="2370" customFormat="1" ht="14.25">
      <c r="A84" s="3223" t="s">
        <v>2114</v>
      </c>
      <c r="B84" s="3224"/>
      <c r="C84" s="1729"/>
      <c r="D84" s="1729" t="s">
        <v>2115</v>
      </c>
      <c r="E84" s="156" t="s">
        <v>2116</v>
      </c>
      <c r="F84" s="157"/>
      <c r="G84" s="157"/>
      <c r="H84" s="176"/>
      <c r="I84" s="2375"/>
      <c r="J84" s="2371"/>
      <c r="K84" s="2371"/>
      <c r="L84" s="2371"/>
      <c r="M84" s="2371"/>
      <c r="N84" s="2371"/>
      <c r="O84" s="2371"/>
      <c r="P84" s="2371"/>
      <c r="Q84" s="2371"/>
      <c r="R84" s="2371"/>
      <c r="S84" s="2371"/>
      <c r="T84" s="2371"/>
      <c r="U84" s="2371"/>
      <c r="V84" s="2371"/>
      <c r="W84" s="2371"/>
      <c r="X84" s="2371"/>
      <c r="Y84" s="2371"/>
      <c r="Z84" s="2371"/>
      <c r="AA84" s="2372"/>
      <c r="AB84" s="2372"/>
      <c r="AC84" s="2372"/>
      <c r="AD84" s="2372"/>
      <c r="AE84" s="2372"/>
      <c r="AF84" s="2372"/>
      <c r="AG84" s="2372"/>
      <c r="AH84" s="2372"/>
      <c r="AI84" s="2372"/>
    </row>
    <row r="85" spans="1:35" s="2370" customFormat="1" ht="14.25">
      <c r="A85" s="146" t="s">
        <v>775</v>
      </c>
      <c r="B85" s="147" t="s">
        <v>2134</v>
      </c>
      <c r="C85" s="150">
        <f ca="1">ROUND(D45/(1+'数据-取费表'!C42),0)</f>
        <v>321572</v>
      </c>
      <c r="D85" s="143" t="s">
        <v>32</v>
      </c>
      <c r="E85" s="1728"/>
      <c r="F85" s="1722"/>
      <c r="G85" s="1722"/>
      <c r="H85" s="177"/>
      <c r="I85" s="2375"/>
      <c r="J85" s="2371"/>
      <c r="K85" s="2371"/>
      <c r="L85" s="2371"/>
      <c r="M85" s="2371"/>
      <c r="N85" s="2371"/>
      <c r="O85" s="2371"/>
      <c r="P85" s="2371"/>
      <c r="Q85" s="2371"/>
      <c r="R85" s="2371"/>
      <c r="S85" s="2371"/>
      <c r="T85" s="2371"/>
      <c r="U85" s="2371"/>
      <c r="V85" s="2371"/>
      <c r="W85" s="2371"/>
      <c r="X85" s="2371"/>
      <c r="Y85" s="2371"/>
      <c r="Z85" s="2371"/>
      <c r="AA85" s="2372"/>
      <c r="AB85" s="2372"/>
      <c r="AC85" s="2372"/>
      <c r="AD85" s="2372"/>
      <c r="AE85" s="2372"/>
      <c r="AF85" s="2372"/>
      <c r="AG85" s="2372"/>
      <c r="AH85" s="2372"/>
      <c r="AI85" s="2372"/>
    </row>
    <row r="86" spans="1:35" s="2370" customFormat="1" ht="14.25">
      <c r="A86" s="146" t="s">
        <v>772</v>
      </c>
      <c r="B86" s="116" t="s">
        <v>2135</v>
      </c>
      <c r="C86" s="150">
        <f ca="1">IF(H88="仅含出让金",C87+C90+C91+C92+C93+C94,C87+C91+C92+C93+C94)</f>
        <v>446564</v>
      </c>
      <c r="D86" s="178"/>
      <c r="E86" s="1728"/>
      <c r="F86" s="1722"/>
      <c r="G86" s="1722"/>
      <c r="H86" s="177"/>
      <c r="I86" s="2375"/>
      <c r="J86" s="2371"/>
      <c r="K86" s="2371"/>
      <c r="L86" s="2371"/>
      <c r="M86" s="2371"/>
      <c r="N86" s="2371"/>
      <c r="O86" s="2371"/>
      <c r="P86" s="2371"/>
      <c r="Q86" s="2371"/>
      <c r="R86" s="2371"/>
      <c r="S86" s="2371"/>
      <c r="T86" s="2371"/>
      <c r="U86" s="2371"/>
      <c r="V86" s="2371"/>
      <c r="W86" s="2371"/>
      <c r="X86" s="2371"/>
      <c r="Y86" s="2371"/>
      <c r="Z86" s="2371"/>
      <c r="AA86" s="2372"/>
      <c r="AB86" s="2372"/>
      <c r="AC86" s="2372"/>
      <c r="AD86" s="2372"/>
      <c r="AE86" s="2372"/>
      <c r="AF86" s="2372"/>
      <c r="AG86" s="2372"/>
      <c r="AH86" s="2372"/>
      <c r="AI86" s="2372"/>
    </row>
    <row r="87" spans="1:35" s="2370" customFormat="1" ht="14.25">
      <c r="A87" s="160" t="s">
        <v>770</v>
      </c>
      <c r="B87" s="141" t="s">
        <v>2152</v>
      </c>
      <c r="C87" s="168">
        <f>C88+C89</f>
        <v>309665</v>
      </c>
      <c r="D87" s="169"/>
      <c r="E87" s="1724"/>
      <c r="F87" s="1725"/>
      <c r="G87" s="1725"/>
      <c r="H87" s="1727"/>
      <c r="I87" s="2375"/>
      <c r="J87" s="2371"/>
      <c r="K87" s="2371"/>
      <c r="L87" s="2371"/>
      <c r="M87" s="2371"/>
      <c r="N87" s="2371"/>
      <c r="O87" s="2371"/>
      <c r="P87" s="2371"/>
      <c r="Q87" s="2371"/>
      <c r="R87" s="2371"/>
      <c r="S87" s="2371"/>
      <c r="T87" s="2371"/>
      <c r="U87" s="2371"/>
      <c r="V87" s="2371"/>
      <c r="W87" s="2371"/>
      <c r="X87" s="2371"/>
      <c r="Y87" s="2371"/>
      <c r="Z87" s="2371"/>
      <c r="AA87" s="2372"/>
      <c r="AB87" s="2372"/>
      <c r="AC87" s="2372"/>
      <c r="AD87" s="2372"/>
      <c r="AE87" s="2372"/>
      <c r="AF87" s="2372"/>
      <c r="AG87" s="2372"/>
      <c r="AH87" s="2372"/>
      <c r="AI87" s="2372"/>
    </row>
    <row r="88" spans="1:35" s="2370" customFormat="1" ht="14.25">
      <c r="A88" s="160" t="s">
        <v>776</v>
      </c>
      <c r="B88" s="141" t="s">
        <v>2153</v>
      </c>
      <c r="C88" s="179">
        <v>300500</v>
      </c>
      <c r="D88" s="169"/>
      <c r="E88" s="180" t="s">
        <v>2154</v>
      </c>
      <c r="F88" s="1725"/>
      <c r="G88" s="181" t="s">
        <v>2155</v>
      </c>
      <c r="H88" s="2380" t="s">
        <v>3322</v>
      </c>
      <c r="I88" s="2375"/>
      <c r="J88" s="2371"/>
      <c r="K88" s="2371"/>
      <c r="L88" s="2371"/>
      <c r="M88" s="2371"/>
      <c r="N88" s="2371"/>
      <c r="O88" s="2371"/>
      <c r="P88" s="2371"/>
      <c r="Q88" s="2371"/>
      <c r="R88" s="2371"/>
      <c r="S88" s="2371"/>
      <c r="T88" s="2371"/>
      <c r="U88" s="2371"/>
      <c r="V88" s="2371"/>
      <c r="W88" s="2371"/>
      <c r="X88" s="2371"/>
      <c r="Y88" s="2371"/>
      <c r="Z88" s="2371"/>
      <c r="AA88" s="2372"/>
      <c r="AB88" s="2372"/>
      <c r="AC88" s="2372"/>
      <c r="AD88" s="2372"/>
      <c r="AE88" s="2372"/>
      <c r="AF88" s="2372"/>
      <c r="AG88" s="2372"/>
      <c r="AH88" s="2372"/>
      <c r="AI88" s="2372"/>
    </row>
    <row r="89" spans="1:35" s="2370" customFormat="1" ht="14.25">
      <c r="A89" s="160" t="s">
        <v>777</v>
      </c>
      <c r="B89" s="141" t="s">
        <v>2143</v>
      </c>
      <c r="C89" s="168">
        <f>ROUND(C88*D89,0)</f>
        <v>9165</v>
      </c>
      <c r="D89" s="169">
        <f>'数据-取费表'!B48+'数据-取费表'!B49</f>
        <v>3.0499999999999999E-2</v>
      </c>
      <c r="E89" s="180" t="s">
        <v>2156</v>
      </c>
      <c r="F89" s="1725"/>
      <c r="G89" s="1725"/>
      <c r="H89" s="1727"/>
      <c r="I89" s="2375"/>
      <c r="J89" s="2371"/>
      <c r="K89" s="2371"/>
      <c r="L89" s="2371"/>
      <c r="M89" s="2371"/>
      <c r="N89" s="2371"/>
      <c r="O89" s="2371"/>
      <c r="P89" s="2371"/>
      <c r="Q89" s="2371"/>
      <c r="R89" s="2371"/>
      <c r="S89" s="2371"/>
      <c r="T89" s="2371"/>
      <c r="U89" s="2371"/>
      <c r="V89" s="2371"/>
      <c r="W89" s="2371"/>
      <c r="X89" s="2371"/>
      <c r="Y89" s="2371"/>
      <c r="Z89" s="2371"/>
      <c r="AA89" s="2372"/>
      <c r="AB89" s="2372"/>
      <c r="AC89" s="2372"/>
      <c r="AD89" s="2372"/>
      <c r="AE89" s="2372"/>
      <c r="AF89" s="2372"/>
      <c r="AG89" s="2372"/>
      <c r="AH89" s="2372"/>
      <c r="AI89" s="2372"/>
    </row>
    <row r="90" spans="1:35" s="2370" customFormat="1" ht="14.25">
      <c r="A90" s="160" t="s">
        <v>771</v>
      </c>
      <c r="B90" s="141" t="s">
        <v>2157</v>
      </c>
      <c r="C90" s="179"/>
      <c r="D90" s="169"/>
      <c r="E90" s="180" t="str">
        <f>IF(H88="-","土地取得成本中已包含该笔费用"," ")</f>
        <v xml:space="preserve"> </v>
      </c>
      <c r="F90" s="1725"/>
      <c r="G90" s="1725"/>
      <c r="H90" s="1727"/>
      <c r="I90" s="2375"/>
      <c r="J90" s="2371"/>
      <c r="K90" s="2371"/>
      <c r="L90" s="2371"/>
      <c r="M90" s="2371"/>
      <c r="N90" s="2371"/>
      <c r="O90" s="2371"/>
      <c r="P90" s="2371"/>
      <c r="Q90" s="2371"/>
      <c r="R90" s="2371"/>
      <c r="S90" s="2371"/>
      <c r="T90" s="2371"/>
      <c r="U90" s="2371"/>
      <c r="V90" s="2371"/>
      <c r="W90" s="2371"/>
      <c r="X90" s="2371"/>
      <c r="Y90" s="2371"/>
      <c r="Z90" s="2371"/>
      <c r="AA90" s="2372"/>
      <c r="AB90" s="2372"/>
      <c r="AC90" s="2372"/>
      <c r="AD90" s="2372"/>
      <c r="AE90" s="2372"/>
      <c r="AF90" s="2372"/>
      <c r="AG90" s="2372"/>
      <c r="AH90" s="2372"/>
      <c r="AI90" s="2372"/>
    </row>
    <row r="91" spans="1:35" s="2370" customFormat="1" ht="27.75" customHeight="1">
      <c r="A91" s="160" t="s">
        <v>2158</v>
      </c>
      <c r="B91" s="141" t="s">
        <v>2159</v>
      </c>
      <c r="C91" s="168">
        <f ca="1">IF(H91="——",成本法!C33,I91)</f>
        <v>32362</v>
      </c>
      <c r="D91" s="169"/>
      <c r="E91" s="3220" t="s">
        <v>2160</v>
      </c>
      <c r="F91" s="3221"/>
      <c r="G91" s="3221"/>
      <c r="H91" s="2381" t="s">
        <v>70</v>
      </c>
      <c r="I91" s="2382"/>
      <c r="J91" s="2371"/>
      <c r="K91" s="2371"/>
      <c r="L91" s="2371"/>
      <c r="M91" s="2371"/>
      <c r="N91" s="2371"/>
      <c r="O91" s="2371"/>
      <c r="P91" s="2371"/>
      <c r="Q91" s="2371"/>
      <c r="R91" s="2371"/>
      <c r="S91" s="2371"/>
      <c r="T91" s="2371"/>
      <c r="U91" s="2371"/>
      <c r="V91" s="2371"/>
      <c r="W91" s="2371"/>
      <c r="X91" s="2371"/>
      <c r="Y91" s="2371"/>
      <c r="Z91" s="2371"/>
      <c r="AA91" s="2372"/>
      <c r="AB91" s="2372"/>
      <c r="AC91" s="2372"/>
      <c r="AD91" s="2372"/>
      <c r="AE91" s="2372"/>
      <c r="AF91" s="2372"/>
      <c r="AG91" s="2372"/>
      <c r="AH91" s="2372"/>
      <c r="AI91" s="2372"/>
    </row>
    <row r="92" spans="1:35" s="2370" customFormat="1" ht="25.5" customHeight="1">
      <c r="A92" s="160" t="s">
        <v>2161</v>
      </c>
      <c r="B92" s="141" t="s">
        <v>2162</v>
      </c>
      <c r="C92" s="168">
        <f ca="1">ROUND((C87+C90+C91)*D92,0)</f>
        <v>34203</v>
      </c>
      <c r="D92" s="169">
        <v>0.1</v>
      </c>
      <c r="E92" s="3220" t="s">
        <v>2163</v>
      </c>
      <c r="F92" s="3221"/>
      <c r="G92" s="3221"/>
      <c r="H92" s="3222"/>
      <c r="I92" s="2375"/>
      <c r="J92" s="2371"/>
      <c r="K92" s="2371"/>
      <c r="L92" s="2371"/>
      <c r="M92" s="2371"/>
      <c r="N92" s="2371"/>
      <c r="O92" s="2371"/>
      <c r="P92" s="2371"/>
      <c r="Q92" s="2371"/>
      <c r="R92" s="2371"/>
      <c r="S92" s="2371"/>
      <c r="T92" s="2371"/>
      <c r="U92" s="2371"/>
      <c r="V92" s="2371"/>
      <c r="W92" s="2371"/>
      <c r="X92" s="2371"/>
      <c r="Y92" s="2371"/>
      <c r="Z92" s="2371"/>
      <c r="AA92" s="2372"/>
      <c r="AB92" s="2372"/>
      <c r="AC92" s="2372"/>
      <c r="AD92" s="2372"/>
      <c r="AE92" s="2372"/>
      <c r="AF92" s="2372"/>
      <c r="AG92" s="2372"/>
      <c r="AH92" s="2372"/>
      <c r="AI92" s="2372"/>
    </row>
    <row r="93" spans="1:35" s="2370" customFormat="1" ht="25.5" customHeight="1">
      <c r="A93" s="160" t="s">
        <v>2164</v>
      </c>
      <c r="B93" s="141" t="s">
        <v>2146</v>
      </c>
      <c r="C93" s="168">
        <f ca="1">ROUND(D45*D93/(1+'数据-取费表'!C42),0)</f>
        <v>1929</v>
      </c>
      <c r="D93" s="169">
        <f>'数据-取费表'!B43</f>
        <v>6.000000000000001E-3</v>
      </c>
      <c r="E93" s="3220" t="s">
        <v>2147</v>
      </c>
      <c r="F93" s="3221"/>
      <c r="G93" s="3221"/>
      <c r="H93" s="3222"/>
      <c r="I93" s="2375"/>
      <c r="J93" s="2371"/>
      <c r="K93" s="2371"/>
      <c r="L93" s="2371"/>
      <c r="M93" s="2371"/>
      <c r="N93" s="2371"/>
      <c r="O93" s="2371"/>
      <c r="P93" s="2371"/>
      <c r="Q93" s="2371"/>
      <c r="R93" s="2371"/>
      <c r="S93" s="2371"/>
      <c r="T93" s="2371"/>
      <c r="U93" s="2371"/>
      <c r="V93" s="2371"/>
      <c r="W93" s="2371"/>
      <c r="X93" s="2371"/>
      <c r="Y93" s="2371"/>
      <c r="Z93" s="2371"/>
      <c r="AA93" s="2372"/>
      <c r="AB93" s="2372"/>
      <c r="AC93" s="2372"/>
      <c r="AD93" s="2372"/>
      <c r="AE93" s="2372"/>
      <c r="AF93" s="2372"/>
      <c r="AG93" s="2372"/>
      <c r="AH93" s="2372"/>
      <c r="AI93" s="2372"/>
    </row>
    <row r="94" spans="1:35" s="2370" customFormat="1" ht="36.75" customHeight="1">
      <c r="A94" s="160" t="s">
        <v>2165</v>
      </c>
      <c r="B94" s="141" t="s">
        <v>2166</v>
      </c>
      <c r="C94" s="179">
        <f ca="1">ROUND((C87+C90+C91)*D94,0)</f>
        <v>68405</v>
      </c>
      <c r="D94" s="169">
        <v>0.2</v>
      </c>
      <c r="E94" s="3268" t="s">
        <v>2167</v>
      </c>
      <c r="F94" s="3269"/>
      <c r="G94" s="3269"/>
      <c r="H94" s="3270"/>
      <c r="I94" s="2375"/>
      <c r="J94" s="2371"/>
      <c r="K94" s="2371"/>
      <c r="L94" s="2371"/>
      <c r="M94" s="2371"/>
      <c r="N94" s="2371"/>
      <c r="O94" s="2371"/>
      <c r="P94" s="2371"/>
      <c r="Q94" s="2371"/>
      <c r="R94" s="2371"/>
      <c r="S94" s="2371"/>
      <c r="T94" s="2371"/>
      <c r="U94" s="2371"/>
      <c r="V94" s="2371"/>
      <c r="W94" s="2371"/>
      <c r="X94" s="2371"/>
      <c r="Y94" s="2371"/>
      <c r="Z94" s="2371"/>
      <c r="AA94" s="2372"/>
      <c r="AB94" s="2372"/>
      <c r="AC94" s="2372"/>
      <c r="AD94" s="2372"/>
      <c r="AE94" s="2372"/>
      <c r="AF94" s="2372"/>
      <c r="AG94" s="2372"/>
      <c r="AH94" s="2372"/>
      <c r="AI94" s="2372"/>
    </row>
    <row r="95" spans="1:35" s="2370" customFormat="1" ht="14.25">
      <c r="A95" s="2378" t="s">
        <v>779</v>
      </c>
      <c r="B95" s="147" t="s">
        <v>2148</v>
      </c>
      <c r="C95" s="150">
        <f ca="1">ROUND(C85-C86,0)</f>
        <v>-124992</v>
      </c>
      <c r="D95" s="143" t="s">
        <v>32</v>
      </c>
      <c r="E95" s="1728"/>
      <c r="F95" s="1722"/>
      <c r="G95" s="1722"/>
      <c r="H95" s="177"/>
      <c r="I95" s="2375"/>
      <c r="J95" s="2371"/>
      <c r="K95" s="2371"/>
      <c r="L95" s="2371"/>
      <c r="M95" s="2371"/>
      <c r="N95" s="2371"/>
      <c r="O95" s="2371"/>
      <c r="P95" s="2371"/>
      <c r="Q95" s="2371"/>
      <c r="R95" s="2371"/>
      <c r="S95" s="2371"/>
      <c r="T95" s="2371"/>
      <c r="U95" s="2371"/>
      <c r="V95" s="2371"/>
      <c r="W95" s="2371"/>
      <c r="X95" s="2371"/>
      <c r="Y95" s="2371"/>
      <c r="Z95" s="2371"/>
      <c r="AA95" s="2372"/>
      <c r="AB95" s="2372"/>
      <c r="AC95" s="2372"/>
      <c r="AD95" s="2372"/>
      <c r="AE95" s="2372"/>
      <c r="AF95" s="2372"/>
      <c r="AG95" s="2372"/>
      <c r="AH95" s="2372"/>
      <c r="AI95" s="2372"/>
    </row>
    <row r="96" spans="1:35" s="2370" customFormat="1" ht="24">
      <c r="A96" s="2378" t="s">
        <v>780</v>
      </c>
      <c r="B96" s="147" t="s">
        <v>2149</v>
      </c>
      <c r="C96" s="170">
        <f ca="1">IF(C95&lt;=0,0,C95/C86)</f>
        <v>0</v>
      </c>
      <c r="D96" s="143"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22"/>
      <c r="G96" s="1722"/>
      <c r="H96" s="177"/>
      <c r="I96" s="2375"/>
      <c r="J96" s="2371"/>
      <c r="K96" s="2371"/>
      <c r="L96" s="2371"/>
      <c r="M96" s="2371"/>
      <c r="N96" s="2371"/>
      <c r="O96" s="2371"/>
      <c r="P96" s="2371"/>
      <c r="Q96" s="2371"/>
      <c r="R96" s="2371"/>
      <c r="S96" s="2371"/>
      <c r="T96" s="2371"/>
      <c r="U96" s="2371"/>
      <c r="V96" s="2371"/>
      <c r="W96" s="2371"/>
      <c r="X96" s="2371"/>
      <c r="Y96" s="2371"/>
      <c r="Z96" s="2371"/>
      <c r="AA96" s="2372"/>
      <c r="AB96" s="2372"/>
      <c r="AC96" s="2372"/>
      <c r="AD96" s="2372"/>
      <c r="AE96" s="2372"/>
      <c r="AF96" s="2372"/>
      <c r="AG96" s="2372"/>
      <c r="AH96" s="2372"/>
      <c r="AI96" s="2372"/>
    </row>
    <row r="97" spans="1:35" s="2370" customFormat="1" ht="24.75" thickBot="1">
      <c r="A97" s="2379" t="s">
        <v>781</v>
      </c>
      <c r="B97" s="152" t="s">
        <v>2150</v>
      </c>
      <c r="C97" s="171">
        <f ca="1">ROUND(IF(C95&lt;=0,0,IF(C96&gt;=200%,C95*60%-C86*35%,IF(C96&gt;=100%,C95*50%-C86*15%,IF(C96&gt;=50%,C95*40%-C86*5%,IF(C96&lt;50%,C95*30%,0))))),0)</f>
        <v>0</v>
      </c>
      <c r="D97" s="172" t="s">
        <v>32</v>
      </c>
      <c r="E97" s="1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4"/>
      <c r="G97" s="174"/>
      <c r="H97" s="182"/>
      <c r="I97" s="2375"/>
      <c r="J97" s="2371"/>
      <c r="K97" s="2371"/>
      <c r="L97" s="2371"/>
      <c r="M97" s="2371"/>
      <c r="N97" s="2371"/>
      <c r="O97" s="2371"/>
      <c r="P97" s="2371"/>
      <c r="Q97" s="2371"/>
      <c r="R97" s="2371"/>
      <c r="S97" s="2371"/>
      <c r="T97" s="2371"/>
      <c r="U97" s="2371"/>
      <c r="V97" s="2371"/>
      <c r="W97" s="2371"/>
      <c r="X97" s="2371"/>
      <c r="Y97" s="2371"/>
      <c r="Z97" s="2371"/>
      <c r="AA97" s="2372"/>
      <c r="AB97" s="2372"/>
      <c r="AC97" s="2372"/>
      <c r="AD97" s="2372"/>
      <c r="AE97" s="2372"/>
      <c r="AF97" s="2372"/>
      <c r="AG97" s="2372"/>
      <c r="AH97" s="2372"/>
      <c r="AI97" s="2372"/>
    </row>
    <row r="98" spans="1:35" ht="21.75" customHeight="1">
      <c r="A98" s="2359"/>
      <c r="B98" s="2281"/>
      <c r="C98" s="2281"/>
      <c r="D98" s="2281"/>
      <c r="E98" s="2090"/>
      <c r="F98" s="2090"/>
      <c r="G98" s="2090"/>
      <c r="H98" s="2089"/>
      <c r="I98" s="81"/>
    </row>
    <row r="99" spans="1:35" ht="21.75" customHeight="1" thickBot="1">
      <c r="A99" s="2337" t="s">
        <v>2168</v>
      </c>
      <c r="B99" s="2281"/>
      <c r="C99" s="2281"/>
      <c r="D99" s="2281"/>
      <c r="E99" s="2090"/>
      <c r="F99" s="2090"/>
      <c r="G99" s="2090"/>
      <c r="H99" s="2089"/>
      <c r="I99" s="81"/>
    </row>
    <row r="100" spans="1:35" ht="18.75" customHeight="1">
      <c r="A100" s="3167" t="s">
        <v>2169</v>
      </c>
      <c r="B100" s="3168"/>
      <c r="C100" s="3168"/>
      <c r="D100" s="3204"/>
      <c r="E100" s="3168" t="s">
        <v>2170</v>
      </c>
      <c r="F100" s="3168"/>
      <c r="G100" s="3168"/>
      <c r="H100" s="3204"/>
      <c r="I100" s="81"/>
    </row>
    <row r="101" spans="1:35" ht="18.75" customHeight="1">
      <c r="A101" s="3212" t="s">
        <v>2171</v>
      </c>
      <c r="B101" s="3213"/>
      <c r="C101" s="679" t="str">
        <f>C4</f>
        <v>成本法</v>
      </c>
      <c r="D101" s="680" t="str">
        <f>D4</f>
        <v>假设开发法</v>
      </c>
      <c r="E101" s="3184" t="s">
        <v>2172</v>
      </c>
      <c r="F101" s="3185"/>
      <c r="G101" s="2383" t="s">
        <v>2173</v>
      </c>
      <c r="H101" s="991">
        <f ca="1">H118</f>
        <v>337651</v>
      </c>
      <c r="I101" s="81"/>
    </row>
    <row r="102" spans="1:35" ht="18.75" customHeight="1">
      <c r="A102" s="3214" t="s">
        <v>2174</v>
      </c>
      <c r="B102" s="2383" t="s">
        <v>2173</v>
      </c>
      <c r="C102" s="679">
        <f ca="1">C19</f>
        <v>399907</v>
      </c>
      <c r="D102" s="680">
        <f ca="1">D19</f>
        <v>296147</v>
      </c>
      <c r="E102" s="3184"/>
      <c r="F102" s="3185"/>
      <c r="G102" s="2383" t="s">
        <v>2175</v>
      </c>
      <c r="H102" s="314">
        <f ca="1">I118</f>
        <v>28266</v>
      </c>
      <c r="I102" s="81"/>
    </row>
    <row r="103" spans="1:35" ht="42.75" customHeight="1">
      <c r="A103" s="3214"/>
      <c r="B103" s="2383" t="s">
        <v>2175</v>
      </c>
      <c r="C103" s="681">
        <f ca="1">C20</f>
        <v>33478</v>
      </c>
      <c r="D103" s="682">
        <f ca="1">D20</f>
        <v>24792</v>
      </c>
      <c r="E103" s="3178" t="s">
        <v>2176</v>
      </c>
      <c r="F103" s="3179"/>
      <c r="G103" s="2384" t="s">
        <v>2177</v>
      </c>
      <c r="H103" s="991">
        <f>IF(D36="正常操作",H104+H105+H106,H105+H106)</f>
        <v>16404</v>
      </c>
      <c r="I103" s="81"/>
    </row>
    <row r="104" spans="1:35" ht="18.75" customHeight="1">
      <c r="A104" s="3214" t="s">
        <v>2178</v>
      </c>
      <c r="B104" s="2385" t="s">
        <v>2173</v>
      </c>
      <c r="C104" s="683">
        <f ca="1">H118</f>
        <v>337651</v>
      </c>
      <c r="D104" s="684"/>
      <c r="E104" s="2190" t="s">
        <v>2179</v>
      </c>
      <c r="F104" s="2182"/>
      <c r="G104" s="2384" t="s">
        <v>2177</v>
      </c>
      <c r="H104" s="992">
        <f>IF(D36="同一抵押权人同一抵押物续贷",C36&amp;"（未扣减，详见特别提示）",C36)</f>
        <v>0</v>
      </c>
      <c r="I104" s="81"/>
    </row>
    <row r="105" spans="1:35" ht="18.75" customHeight="1" thickBot="1">
      <c r="A105" s="3226"/>
      <c r="B105" s="2386" t="s">
        <v>2175</v>
      </c>
      <c r="C105" s="685">
        <f ca="1">I118</f>
        <v>28266</v>
      </c>
      <c r="D105" s="686"/>
      <c r="E105" s="2190" t="s">
        <v>2180</v>
      </c>
      <c r="F105" s="2182"/>
      <c r="G105" s="2384" t="s">
        <v>2177</v>
      </c>
      <c r="H105" s="992">
        <f>C37</f>
        <v>0</v>
      </c>
      <c r="I105" s="81"/>
    </row>
    <row r="106" spans="1:35" ht="18.75" customHeight="1">
      <c r="A106" s="2281" t="s">
        <v>2181</v>
      </c>
      <c r="B106" s="2281"/>
      <c r="C106" s="2281"/>
      <c r="D106" s="2281"/>
      <c r="E106" s="2387" t="s">
        <v>2182</v>
      </c>
      <c r="F106" s="2182"/>
      <c r="G106" s="2384" t="s">
        <v>2177</v>
      </c>
      <c r="H106" s="992">
        <f>C38</f>
        <v>16404</v>
      </c>
      <c r="I106" s="81"/>
    </row>
    <row r="107" spans="1:35" ht="18.75" customHeight="1">
      <c r="A107" s="81"/>
      <c r="B107" s="81"/>
      <c r="C107" s="81"/>
      <c r="D107" s="81"/>
      <c r="E107" s="3215" t="str">
        <f>IF(项目基本情况!E8="已注销","——","3.房地产抵押价值")</f>
        <v>——</v>
      </c>
      <c r="F107" s="3185"/>
      <c r="G107" s="2383" t="s">
        <v>2173</v>
      </c>
      <c r="H107" s="991" t="str">
        <f>IF(E107="——","——",H101-H103)</f>
        <v>——</v>
      </c>
      <c r="I107" s="81"/>
    </row>
    <row r="108" spans="1:35" ht="18.75" customHeight="1">
      <c r="A108" s="81"/>
      <c r="B108" s="81"/>
      <c r="C108" s="81"/>
      <c r="D108" s="81"/>
      <c r="E108" s="3215"/>
      <c r="F108" s="3185"/>
      <c r="G108" s="2383" t="s">
        <v>2175</v>
      </c>
      <c r="H108" s="314" t="e">
        <f>ROUND(H107*10000/'数据-汇总表'!E3,0)</f>
        <v>#VALUE!</v>
      </c>
      <c r="I108" s="81"/>
    </row>
    <row r="109" spans="1:35" ht="18.75" customHeight="1">
      <c r="A109" s="81"/>
      <c r="B109" s="81"/>
      <c r="C109" s="81"/>
      <c r="D109" s="81"/>
      <c r="E109" s="3215" t="str">
        <f>IF(项目基本情况!E8="已注销及未注销","4.抵押担保权已注销时的房地产抵押价值",IF(项目基本情况!E8="已注销","3.抵押担保权已注销时的房地产抵押价值","——"))</f>
        <v>3.抵押担保权已注销时的房地产抵押价值</v>
      </c>
      <c r="F109" s="3185"/>
      <c r="G109" s="2383" t="s">
        <v>2173</v>
      </c>
      <c r="H109" s="291">
        <f ca="1">IF(E109="——","——",H101-H105-H106)</f>
        <v>321247</v>
      </c>
      <c r="I109" s="81"/>
    </row>
    <row r="110" spans="1:35" ht="18.75" customHeight="1">
      <c r="A110" s="81"/>
      <c r="B110" s="81"/>
      <c r="C110" s="81"/>
      <c r="D110" s="81"/>
      <c r="E110" s="3215"/>
      <c r="F110" s="3185"/>
      <c r="G110" s="2383" t="s">
        <v>2175</v>
      </c>
      <c r="H110" s="314">
        <f ca="1">IF(H109="——","——",ROUND(H109*10000/'数据-汇总表'!E3,0))</f>
        <v>26893</v>
      </c>
      <c r="I110" s="81"/>
    </row>
    <row r="111" spans="1:35" ht="18.75" customHeight="1">
      <c r="A111" s="81"/>
      <c r="B111" s="81"/>
      <c r="C111" s="81"/>
      <c r="D111" s="81"/>
      <c r="E111" s="3216" t="str">
        <f>IF(项目基本情况!E9="抵押净值",IF(OR(项目基本情况!E8="已注销",项目基本情况!E8="房地产抵押价值"),"4.抵押净值","5.抵押净值"),"——")</f>
        <v>——</v>
      </c>
      <c r="F111" s="3217"/>
      <c r="G111" s="2383" t="s">
        <v>2173</v>
      </c>
      <c r="H111" s="991" t="str">
        <f>IF(E111="——","——",N59)</f>
        <v>——</v>
      </c>
      <c r="I111" s="81"/>
    </row>
    <row r="112" spans="1:35" ht="18.75" customHeight="1" thickBot="1">
      <c r="A112" s="81"/>
      <c r="B112" s="81"/>
      <c r="C112" s="81"/>
      <c r="D112" s="81"/>
      <c r="E112" s="3218"/>
      <c r="F112" s="3219"/>
      <c r="G112" s="2388" t="s">
        <v>2175</v>
      </c>
      <c r="H112" s="733" t="str">
        <f>IF(E111="——","——",N61)</f>
        <v>——</v>
      </c>
      <c r="I112" s="81"/>
    </row>
    <row r="113" spans="1:11" ht="18.75" customHeight="1">
      <c r="A113" s="81"/>
      <c r="B113" s="81"/>
      <c r="C113" s="81"/>
      <c r="D113" s="81"/>
      <c r="E113" s="3227" t="s">
        <v>2181</v>
      </c>
      <c r="F113" s="3227"/>
      <c r="G113" s="3227"/>
      <c r="H113" s="3227"/>
      <c r="I113" s="81"/>
    </row>
    <row r="114" spans="1:11" ht="3.75" customHeight="1">
      <c r="A114" s="2281"/>
      <c r="B114" s="2281"/>
      <c r="C114" s="2281"/>
      <c r="D114" s="2281"/>
      <c r="E114" s="2359"/>
      <c r="F114" s="2359"/>
      <c r="G114" s="2359"/>
      <c r="H114" s="2359"/>
      <c r="I114" s="2281"/>
    </row>
    <row r="115" spans="1:11" ht="18.75" customHeight="1">
      <c r="A115" s="3240" t="s">
        <v>2183</v>
      </c>
      <c r="B115" s="3241"/>
      <c r="C115" s="3241"/>
      <c r="D115" s="3241"/>
      <c r="E115" s="3241"/>
      <c r="F115" s="3241"/>
      <c r="G115" s="3241"/>
      <c r="H115" s="3241"/>
      <c r="I115" s="3242"/>
    </row>
    <row r="116" spans="1:11" ht="27" customHeight="1">
      <c r="A116" s="3113" t="s">
        <v>2184</v>
      </c>
      <c r="B116" s="3194" t="s">
        <v>3458</v>
      </c>
      <c r="C116" s="3194" t="s">
        <v>3459</v>
      </c>
      <c r="D116" s="3200" t="s">
        <v>2185</v>
      </c>
      <c r="E116" s="3201"/>
      <c r="F116" s="3236" t="s">
        <v>2186</v>
      </c>
      <c r="G116" s="3236"/>
      <c r="H116" s="3113" t="s">
        <v>2187</v>
      </c>
      <c r="I116" s="3113"/>
    </row>
    <row r="117" spans="1:11" ht="18.75" customHeight="1">
      <c r="A117" s="3113"/>
      <c r="B117" s="3195"/>
      <c r="C117" s="3195"/>
      <c r="D117" s="1723" t="s">
        <v>2188</v>
      </c>
      <c r="E117" s="1723" t="s">
        <v>2189</v>
      </c>
      <c r="F117" s="1723" t="s">
        <v>2188</v>
      </c>
      <c r="G117" s="1723" t="s">
        <v>2190</v>
      </c>
      <c r="H117" s="1723" t="s">
        <v>2188</v>
      </c>
      <c r="I117" s="1723" t="s">
        <v>2190</v>
      </c>
    </row>
    <row r="118" spans="1:11" ht="24.75" customHeight="1">
      <c r="A118" s="2389" t="str">
        <f>项目基本情况!S2</f>
        <v>上海市松江区泗泾镇7街坊4/20丘“融创壹号府”居住项目出让国有建设用地使用权及在建建筑物房地产</v>
      </c>
      <c r="B118" s="1723">
        <f>M18</f>
        <v>119454.59</v>
      </c>
      <c r="C118" s="1723">
        <f>M19</f>
        <v>43598.5</v>
      </c>
      <c r="D118" s="1723">
        <f ca="1">ROUND(IF(D32="总价",C34,E118*B118/10000),0)</f>
        <v>305237</v>
      </c>
      <c r="E118" s="1723">
        <f ca="1">ROUND(IF(C33="自定义",IF(D32="楼面单价",C34,D118*10000/B118),I118-G118),0)</f>
        <v>25553</v>
      </c>
      <c r="F118" s="1723">
        <f ca="1">ROUND(IF(D32="总价",C35,G118*B118/10000),0)</f>
        <v>32414</v>
      </c>
      <c r="G118" s="1723">
        <f ca="1">ROUND(IF(D32="楼面单价",C35,F118*10000/B118),0)</f>
        <v>2713</v>
      </c>
      <c r="H118" s="1723">
        <f ca="1">ROUND(IF(D32="总价",C32,I118*B118/10000),0)</f>
        <v>337651</v>
      </c>
      <c r="I118" s="1723">
        <f ca="1">ROUND(IF(D32="楼面单价",C32,H118*10000/B118),0)</f>
        <v>28266</v>
      </c>
    </row>
    <row r="119" spans="1:11" ht="18.75" customHeight="1">
      <c r="A119" s="3113" t="s">
        <v>2191</v>
      </c>
      <c r="B119" s="3113"/>
      <c r="C119" s="3113"/>
      <c r="D119" s="3196" t="str">
        <f ca="1">NUMBERSTRING(INT(D118*10000),2)&amp;"元整"</f>
        <v>叁拾亿伍仟贰佰叁拾柒万元整</v>
      </c>
      <c r="E119" s="3197"/>
      <c r="F119" s="3196" t="str">
        <f ca="1">NUMBERSTRING(INT(F118*10000),2)&amp;"元整"</f>
        <v>叁亿贰仟肆佰壹拾肆万元整</v>
      </c>
      <c r="G119" s="3197"/>
      <c r="H119" s="3196" t="str">
        <f ca="1">NUMBERSTRING(INT(H118*10000),2)&amp;"元整"</f>
        <v>叁拾叁亿柒仟陆佰伍拾壹万元整</v>
      </c>
      <c r="I119" s="3197"/>
    </row>
    <row r="120" spans="1:11" ht="18.75" customHeight="1">
      <c r="A120" s="3191" t="str">
        <f>IF(项目基本情况!B9="房地产市场价值","",MID(E103,3,LEN(E103)-2))</f>
        <v>估价师知悉的法定优先受偿款</v>
      </c>
      <c r="B120" s="3192"/>
      <c r="C120" s="3193"/>
      <c r="D120" s="3191">
        <f>H103</f>
        <v>16404</v>
      </c>
      <c r="E120" s="3192"/>
      <c r="F120" s="3192"/>
      <c r="G120" s="3192"/>
      <c r="H120" s="3192"/>
      <c r="I120" s="3193"/>
      <c r="K120" s="2286" t="str">
        <f>IF(D120=0,"故，本次评估不存在"&amp;A120,"故，本次评估"&amp;A120&amp;"为人民币"&amp;D120&amp;"万元整。")</f>
        <v>故，本次评估估价师知悉的法定优先受偿款为人民币16404万元整。</v>
      </c>
    </row>
    <row r="121" spans="1:11" ht="18.75" customHeight="1">
      <c r="A121" s="3237" t="s">
        <v>2191</v>
      </c>
      <c r="B121" s="3238"/>
      <c r="C121" s="3239"/>
      <c r="D121" s="3196" t="str">
        <f>IF(D120=0,"零元整",NUMBERSTRING(INT(D120*10000),2)&amp;"元整")</f>
        <v>壹亿陆仟肆佰零肆万元整</v>
      </c>
      <c r="E121" s="3198"/>
      <c r="F121" s="3198"/>
      <c r="G121" s="3198"/>
      <c r="H121" s="3198"/>
      <c r="I121" s="3197"/>
    </row>
    <row r="122" spans="1:11" ht="18.75" customHeight="1">
      <c r="A122" s="3202" t="str">
        <f>IF(项目基本情况!B9="房地产市场价值","",MID(E107,3,LEN(E107)-2))</f>
        <v/>
      </c>
      <c r="B122" s="3202"/>
      <c r="C122" s="3202"/>
      <c r="D122" s="3191" t="str">
        <f>H107</f>
        <v>——</v>
      </c>
      <c r="E122" s="3192"/>
      <c r="F122" s="3192"/>
      <c r="G122" s="3192"/>
      <c r="H122" s="3192"/>
      <c r="I122" s="3193"/>
    </row>
    <row r="123" spans="1:11" ht="18.75" customHeight="1">
      <c r="A123" s="3113" t="s">
        <v>2191</v>
      </c>
      <c r="B123" s="3113"/>
      <c r="C123" s="3113"/>
      <c r="D123" s="3196" t="e">
        <f>NUMBERSTRING(INT(D122*10000),2)&amp;"元整"</f>
        <v>#VALUE!</v>
      </c>
      <c r="E123" s="3198"/>
      <c r="F123" s="3198"/>
      <c r="G123" s="3198"/>
      <c r="H123" s="3198"/>
      <c r="I123" s="3197"/>
    </row>
    <row r="124" spans="1:11" ht="18.75" customHeight="1">
      <c r="A124" s="3202" t="str">
        <f>IF(项目基本情况!B9="房地产市场价值","",MID(E109,3,LEN(E109)-2))</f>
        <v>抵押担保权已注销时的房地产抵押价值</v>
      </c>
      <c r="B124" s="3202"/>
      <c r="C124" s="3202"/>
      <c r="D124" s="3191">
        <f ca="1">H109</f>
        <v>321247</v>
      </c>
      <c r="E124" s="3192"/>
      <c r="F124" s="3192"/>
      <c r="G124" s="3192"/>
      <c r="H124" s="3192"/>
      <c r="I124" s="3193"/>
    </row>
    <row r="125" spans="1:11" ht="18.75" customHeight="1">
      <c r="A125" s="3113" t="s">
        <v>2191</v>
      </c>
      <c r="B125" s="3113"/>
      <c r="C125" s="3113"/>
      <c r="D125" s="3196" t="str">
        <f ca="1">NUMBERSTRING(INT(D124*10000),2)&amp;"元整"</f>
        <v>叁拾贰亿壹仟贰佰肆拾柒万元整</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13" t="s">
        <v>2191</v>
      </c>
      <c r="B127" s="3113"/>
      <c r="C127" s="3113"/>
      <c r="D127" s="3196" t="e">
        <f>NUMBERSTRING(INT(D126*10000),2)&amp;"元整"</f>
        <v>#VALUE!</v>
      </c>
      <c r="E127" s="3198"/>
      <c r="F127" s="3198"/>
      <c r="G127" s="3198"/>
      <c r="H127" s="3198"/>
      <c r="I127" s="3197"/>
    </row>
    <row r="128" spans="1:11" ht="21.75" customHeight="1">
      <c r="A128" s="3199" t="s">
        <v>2192</v>
      </c>
      <c r="B128" s="3199"/>
      <c r="C128" s="3199"/>
      <c r="D128" s="3199"/>
      <c r="E128" s="3199"/>
      <c r="F128" s="3199"/>
      <c r="G128" s="3199"/>
      <c r="H128" s="3199"/>
      <c r="I128" s="3199"/>
    </row>
    <row r="129" spans="1:35" ht="21.75" customHeight="1">
      <c r="A129" s="2390" t="s">
        <v>2193</v>
      </c>
      <c r="B129" s="2391"/>
      <c r="C129" s="2392" t="s">
        <v>2194</v>
      </c>
      <c r="D129" s="2393"/>
      <c r="E129" s="2393"/>
      <c r="F129" s="2393"/>
      <c r="G129" s="2393"/>
      <c r="H129" s="2394"/>
      <c r="I129" s="2395"/>
    </row>
    <row r="130" spans="1:35" ht="21.75" customHeight="1">
      <c r="A130" s="2396">
        <v>1</v>
      </c>
      <c r="B130" s="2397"/>
      <c r="C130" s="2397"/>
      <c r="D130" s="2398"/>
      <c r="E130" s="2398"/>
      <c r="F130" s="2398"/>
      <c r="G130" s="2398"/>
      <c r="H130" s="2399"/>
      <c r="I130" s="2400"/>
    </row>
    <row r="131" spans="1:35" ht="21.75" customHeight="1">
      <c r="A131" s="2396">
        <v>2</v>
      </c>
      <c r="B131" s="2397"/>
      <c r="C131" s="2397"/>
      <c r="D131" s="2398"/>
      <c r="E131" s="2398"/>
      <c r="F131" s="2398"/>
      <c r="G131" s="2398"/>
      <c r="H131" s="2399"/>
      <c r="I131" s="2400"/>
    </row>
    <row r="132" spans="1:35" ht="21.75" customHeight="1">
      <c r="A132" s="2396">
        <v>3</v>
      </c>
      <c r="B132" s="2397"/>
      <c r="C132" s="2397"/>
      <c r="D132" s="2398"/>
      <c r="E132" s="2398"/>
      <c r="F132" s="2398"/>
      <c r="G132" s="2398"/>
      <c r="H132" s="2399"/>
      <c r="I132" s="2400"/>
    </row>
    <row r="133" spans="1:35" ht="21.75" customHeight="1">
      <c r="A133" s="2401"/>
      <c r="B133" s="2402"/>
      <c r="C133" s="2402"/>
      <c r="D133" s="2403"/>
      <c r="E133" s="2403"/>
      <c r="F133" s="2403"/>
      <c r="G133" s="2403"/>
      <c r="H133" s="2404"/>
      <c r="I133" s="2405"/>
    </row>
    <row r="134" spans="1:35" ht="21.75" customHeight="1">
      <c r="A134" s="2397"/>
      <c r="B134" s="2397"/>
      <c r="C134" s="2397"/>
      <c r="D134" s="2398"/>
      <c r="E134" s="2398"/>
      <c r="F134" s="2398"/>
      <c r="G134" s="2398"/>
      <c r="H134" s="2399"/>
      <c r="I134" s="738"/>
    </row>
    <row r="135" spans="1:35" ht="21.75" customHeight="1">
      <c r="A135" s="738"/>
      <c r="B135" s="738"/>
      <c r="C135" s="738"/>
      <c r="D135" s="738"/>
      <c r="E135" s="738"/>
      <c r="F135" s="2406" t="s">
        <v>2195</v>
      </c>
      <c r="G135" s="2407"/>
      <c r="H135" s="2407"/>
      <c r="I135" s="2408" t="s">
        <v>2196</v>
      </c>
    </row>
    <row r="136" spans="1:35" ht="21.75" customHeight="1">
      <c r="A136" s="738"/>
      <c r="B136" s="2409" t="s">
        <v>2197</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407"/>
      <c r="C138" s="2407"/>
      <c r="D138" s="2407"/>
      <c r="E138" s="2407"/>
      <c r="F138" s="2407"/>
      <c r="G138" s="2407"/>
      <c r="H138" s="2407"/>
      <c r="I138" s="2408" t="s">
        <v>2198</v>
      </c>
    </row>
    <row r="139" spans="1:35" ht="21.75" customHeight="1">
      <c r="A139" s="738"/>
      <c r="B139" s="2409" t="s">
        <v>2199</v>
      </c>
      <c r="C139" s="738"/>
      <c r="D139" s="738"/>
      <c r="E139" s="738"/>
      <c r="F139" s="738"/>
      <c r="G139" s="738"/>
      <c r="H139" s="738"/>
      <c r="I139" s="738"/>
    </row>
    <row r="140" spans="1:35" ht="21.75" customHeight="1">
      <c r="A140" s="738"/>
      <c r="B140" s="2409"/>
      <c r="C140" s="738"/>
      <c r="D140" s="738"/>
      <c r="E140" s="738"/>
      <c r="F140" s="738"/>
      <c r="G140" s="738"/>
      <c r="H140" s="738"/>
      <c r="I140" s="738"/>
    </row>
    <row r="141" spans="1:35" ht="21.75" customHeight="1">
      <c r="A141" s="738"/>
      <c r="B141" s="2407"/>
      <c r="C141" s="2407"/>
      <c r="D141" s="2407"/>
      <c r="E141" s="2407"/>
      <c r="F141" s="2407"/>
      <c r="G141" s="2407"/>
      <c r="H141" s="2407"/>
      <c r="I141" s="2408" t="s">
        <v>2198</v>
      </c>
    </row>
    <row r="142" spans="1:35" ht="21.75" customHeight="1">
      <c r="A142" s="738"/>
      <c r="B142" s="2409"/>
      <c r="C142" s="2410"/>
      <c r="D142" s="2411"/>
      <c r="E142" s="2411"/>
      <c r="F142" s="2203"/>
      <c r="G142" s="738"/>
      <c r="H142" s="738"/>
      <c r="I142" s="738"/>
    </row>
    <row r="143" spans="1:35" s="82" customFormat="1" ht="21.75" customHeight="1">
      <c r="A143" s="738"/>
      <c r="B143" s="2409"/>
      <c r="C143" s="2410"/>
      <c r="D143" s="2411"/>
      <c r="E143" s="2411"/>
      <c r="F143" s="220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82"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82"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2286"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2286"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2286"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2286"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2286"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2286"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2286"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2286"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2286"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2286"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2286"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2286"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2286"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2286"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2286"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2286"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2286"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2286"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2286"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2286"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2286"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2286"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2286"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2286"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2286"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2286"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2286"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2286"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2286"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2286"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2286"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2286"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2286"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2286"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2286"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2286"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2286"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2286"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2286"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2286"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2286"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2286"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2286"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2286"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2286"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2286"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2286"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2286"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2286"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2286"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2286"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2286"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2286"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2286"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2286"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2286"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2286"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2286"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2286"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2286"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2286"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2286"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2286"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2286"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2286"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2286"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2286"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2286"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2286"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2286"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2286"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2286"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2286"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2286"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2286"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2286"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2286"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2286"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2286"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2286"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2286"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2286"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2286"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2286"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2286"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2286"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2286"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2286"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2286"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2286"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2286"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2286"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2286"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2286"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2286"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2286"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2286"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2286"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2286"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2286"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2286"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2286"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2286"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2286"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7" sqref="G37"/>
    </sheetView>
  </sheetViews>
  <sheetFormatPr defaultColWidth="8.375" defaultRowHeight="12.75"/>
  <cols>
    <col min="1" max="1" width="10.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9" s="187" customFormat="1" ht="20.25">
      <c r="A1" s="183" t="s">
        <v>2200</v>
      </c>
      <c r="B1" s="1863"/>
      <c r="C1" s="185"/>
      <c r="D1" s="185"/>
      <c r="E1" s="185"/>
      <c r="F1" s="185"/>
      <c r="G1" s="1311">
        <f>MATCH(B1,'数据-取费表'!A6:A16,0)+5</f>
        <v>9</v>
      </c>
    </row>
    <row r="2" spans="1:9" s="187" customFormat="1" ht="18" customHeight="1">
      <c r="A2" s="188" t="s">
        <v>2201</v>
      </c>
      <c r="B2" s="189">
        <f ca="1">IF(D2="——",C52,C52-E2)</f>
        <v>399907</v>
      </c>
      <c r="C2" s="186" t="s">
        <v>2202</v>
      </c>
      <c r="D2" s="2412" t="s">
        <v>70</v>
      </c>
      <c r="E2" s="1372" t="e">
        <f ca="1">SUMIF(INDIRECT("'"&amp;G2&amp;"'"&amp;"!A:A"),"承租人权益价值",INDIRECT("'"&amp;G2&amp;"'"&amp;"!c:c"))</f>
        <v>#REF!</v>
      </c>
      <c r="F2" s="2413" t="s">
        <v>2202</v>
      </c>
      <c r="G2" s="2414"/>
    </row>
    <row r="3" spans="1:9" s="187" customFormat="1" ht="18" customHeight="1" thickBot="1">
      <c r="A3" s="190" t="s">
        <v>2203</v>
      </c>
      <c r="B3" s="191">
        <f ca="1">ROUND(B2*10000/(IF(B1="",'数据-汇总表'!E3,INDIRECT("'数据-取费表'!k"&amp;$G$1))),0)</f>
        <v>33478</v>
      </c>
      <c r="C3" s="186" t="s">
        <v>2204</v>
      </c>
      <c r="D3" s="186"/>
      <c r="E3" s="186"/>
      <c r="F3" s="186"/>
      <c r="G3" s="186"/>
    </row>
    <row r="4" spans="1:9" s="195" customFormat="1" ht="15.75">
      <c r="A4" s="192" t="s">
        <v>2205</v>
      </c>
      <c r="B4" s="193"/>
      <c r="C4" s="193"/>
      <c r="D4" s="193"/>
      <c r="E4" s="193"/>
      <c r="F4" s="193"/>
      <c r="G4" s="194"/>
    </row>
    <row r="5" spans="1:9" s="201" customFormat="1" ht="13.5" customHeight="1">
      <c r="A5" s="242" t="s">
        <v>2206</v>
      </c>
      <c r="B5" s="197" t="s">
        <v>2207</v>
      </c>
      <c r="C5" s="198">
        <f>C6+C7+C8</f>
        <v>297818</v>
      </c>
      <c r="D5" s="198" t="s">
        <v>2208</v>
      </c>
      <c r="E5" s="199" t="s">
        <v>2209</v>
      </c>
      <c r="F5" s="199" t="s">
        <v>2210</v>
      </c>
      <c r="G5" s="200"/>
    </row>
    <row r="6" spans="1:9" s="201" customFormat="1" ht="13.5" customHeight="1">
      <c r="A6" s="895" t="s">
        <v>2211</v>
      </c>
      <c r="B6" s="202" t="s">
        <v>2212</v>
      </c>
      <c r="C6" s="203">
        <f>'土地比较法-住宅、综合'!B2</f>
        <v>285704</v>
      </c>
      <c r="D6" s="204"/>
      <c r="E6" s="205"/>
      <c r="F6" s="205"/>
      <c r="G6" s="206"/>
    </row>
    <row r="7" spans="1:9" s="201" customFormat="1" ht="13.5" customHeight="1">
      <c r="A7" s="895" t="s">
        <v>2213</v>
      </c>
      <c r="B7" s="202" t="s">
        <v>2214</v>
      </c>
      <c r="C7" s="207">
        <f>ROUND(C6*F7,0)</f>
        <v>8714</v>
      </c>
      <c r="D7" s="207"/>
      <c r="E7" s="205"/>
      <c r="F7" s="208">
        <f>'数据-取费表'!B48+'数据-取费表'!B49</f>
        <v>3.0499999999999999E-2</v>
      </c>
      <c r="G7" s="206"/>
    </row>
    <row r="8" spans="1:9" s="210" customFormat="1">
      <c r="A8" s="895" t="s">
        <v>2215</v>
      </c>
      <c r="B8" s="202" t="s">
        <v>2216</v>
      </c>
      <c r="C8" s="207">
        <f>IF(G8="已包含在土地购买价格中","0",IF(B1="",'数据-取费表'!B29,IF(G9="全部缴纳",C9+C10,H9)))</f>
        <v>3400</v>
      </c>
      <c r="D8" s="209"/>
      <c r="E8" s="207"/>
      <c r="F8" s="208"/>
      <c r="G8" s="2415" t="s">
        <v>3253</v>
      </c>
    </row>
    <row r="9" spans="1:9" s="201" customFormat="1" ht="13.5" customHeight="1">
      <c r="A9" s="896" t="s">
        <v>800</v>
      </c>
      <c r="B9" s="211" t="s">
        <v>2217</v>
      </c>
      <c r="C9" s="212">
        <f ca="1">ROUND(D9*E9/10000,0)</f>
        <v>3471</v>
      </c>
      <c r="D9" s="978">
        <f ca="1">IF(B1="",'数据-汇总表'!E5,IF(INDIRECT("'数据-取费表'!c"&amp;$G$1)="住宅",INDIRECT("'数据-取费表'!k"&amp;$G$1),0))</f>
        <v>80721.099999999991</v>
      </c>
      <c r="E9" s="212">
        <f>'数据-取费表'!B27</f>
        <v>430</v>
      </c>
      <c r="F9" s="208"/>
      <c r="G9" s="2416" t="s">
        <v>3575</v>
      </c>
      <c r="H9" s="1322">
        <f>'数据-取费表'!B29</f>
        <v>3400</v>
      </c>
      <c r="I9" s="2417" t="s">
        <v>2218</v>
      </c>
    </row>
    <row r="10" spans="1:9" s="201" customFormat="1" ht="13.5" customHeight="1">
      <c r="A10" s="896" t="s">
        <v>801</v>
      </c>
      <c r="B10" s="211" t="s">
        <v>2219</v>
      </c>
      <c r="C10" s="212">
        <f ca="1">ROUND(D10*E10/10000,0)</f>
        <v>1666</v>
      </c>
      <c r="D10" s="978">
        <f ca="1">IF(B1="",'数据-汇总表'!E6,IF(INDIRECT("'数据-取费表'!c"&amp;$G$1)="住宅",INDIRECT("'数据-取费表'!s"&amp;$G$1),INDIRECT("'数据-取费表'!k"&amp;$G$1)+INDIRECT("'数据-取费表'!s"&amp;$G$1)))</f>
        <v>38733.490000000005</v>
      </c>
      <c r="E10" s="212">
        <f>'数据-取费表'!B28</f>
        <v>430</v>
      </c>
      <c r="F10" s="208"/>
      <c r="G10" s="213"/>
    </row>
    <row r="11" spans="1:9" s="201" customFormat="1" ht="13.5" hidden="1" customHeight="1">
      <c r="A11" s="214" t="s">
        <v>7</v>
      </c>
      <c r="B11" s="202" t="s">
        <v>2220</v>
      </c>
      <c r="C11" s="198"/>
      <c r="D11" s="980"/>
      <c r="E11" s="205"/>
      <c r="F11" s="205"/>
      <c r="G11" s="206"/>
    </row>
    <row r="12" spans="1:9" s="201" customFormat="1" ht="13.5" hidden="1" customHeight="1">
      <c r="A12" s="214" t="s">
        <v>8</v>
      </c>
      <c r="B12" s="202" t="s">
        <v>2221</v>
      </c>
      <c r="C12" s="198">
        <v>0</v>
      </c>
      <c r="D12" s="980"/>
      <c r="E12" s="215"/>
      <c r="F12" s="208">
        <v>3.0499999999999999E-2</v>
      </c>
      <c r="G12" s="206"/>
    </row>
    <row r="13" spans="1:9" s="201" customFormat="1" ht="13.5" hidden="1" customHeight="1">
      <c r="A13" s="214" t="s">
        <v>9</v>
      </c>
      <c r="B13" s="202" t="s">
        <v>2222</v>
      </c>
      <c r="C13" s="198"/>
      <c r="D13" s="980"/>
      <c r="E13" s="205"/>
      <c r="F13" s="205"/>
      <c r="G13" s="206"/>
    </row>
    <row r="14" spans="1:9" s="201" customFormat="1" ht="13.5" hidden="1" customHeight="1">
      <c r="A14" s="214" t="s">
        <v>10</v>
      </c>
      <c r="B14" s="202" t="s">
        <v>2223</v>
      </c>
      <c r="C14" s="198"/>
      <c r="D14" s="980"/>
      <c r="E14" s="205"/>
      <c r="F14" s="205"/>
      <c r="G14" s="206" t="s">
        <v>2224</v>
      </c>
    </row>
    <row r="15" spans="1:9" s="201" customFormat="1" ht="13.5" hidden="1" customHeight="1">
      <c r="A15" s="214" t="s">
        <v>11</v>
      </c>
      <c r="B15" s="202" t="s">
        <v>2225</v>
      </c>
      <c r="C15" s="207"/>
      <c r="D15" s="980"/>
      <c r="E15" s="205"/>
      <c r="F15" s="205"/>
      <c r="G15" s="206" t="s">
        <v>2226</v>
      </c>
    </row>
    <row r="16" spans="1:9" s="201" customFormat="1" ht="13.5" hidden="1" customHeight="1">
      <c r="A16" s="214" t="s">
        <v>12</v>
      </c>
      <c r="B16" s="202" t="s">
        <v>2223</v>
      </c>
      <c r="C16" s="207"/>
      <c r="D16" s="980"/>
      <c r="E16" s="205"/>
      <c r="F16" s="205"/>
      <c r="G16" s="206"/>
    </row>
    <row r="17" spans="1:7" s="201" customFormat="1" ht="13.5" hidden="1" customHeight="1">
      <c r="A17" s="214" t="s">
        <v>13</v>
      </c>
      <c r="B17" s="202" t="s">
        <v>2227</v>
      </c>
      <c r="C17" s="216"/>
      <c r="D17" s="981"/>
      <c r="E17" s="216"/>
      <c r="F17" s="216"/>
      <c r="G17" s="206" t="s">
        <v>2226</v>
      </c>
    </row>
    <row r="18" spans="1:7" s="201" customFormat="1" ht="13.5" hidden="1" customHeight="1">
      <c r="A18" s="214" t="s">
        <v>14</v>
      </c>
      <c r="B18" s="202" t="s">
        <v>2228</v>
      </c>
      <c r="C18" s="207">
        <v>0</v>
      </c>
      <c r="D18" s="980"/>
      <c r="E18" s="205"/>
      <c r="F18" s="208">
        <v>3.0499999999999999E-2</v>
      </c>
      <c r="G18" s="206" t="s">
        <v>2229</v>
      </c>
    </row>
    <row r="19" spans="1:7" s="210" customFormat="1" ht="13.5" customHeight="1">
      <c r="A19" s="242" t="s">
        <v>2230</v>
      </c>
      <c r="B19" s="197" t="s">
        <v>2231</v>
      </c>
      <c r="C19" s="198" t="str">
        <f>IF(G19="已包含在土地取得成本中","0",ROUND(D19*E19/10000,0))</f>
        <v>0</v>
      </c>
      <c r="D19" s="982">
        <f ca="1">D9+D10</f>
        <v>119454.59</v>
      </c>
      <c r="E19" s="198">
        <f>'数据-取费表'!B31</f>
        <v>200</v>
      </c>
      <c r="F19" s="218"/>
      <c r="G19" s="2415" t="s">
        <v>3254</v>
      </c>
    </row>
    <row r="20" spans="1:7" s="201" customFormat="1" ht="13.5" customHeight="1">
      <c r="A20" s="242" t="s">
        <v>2232</v>
      </c>
      <c r="B20" s="197" t="s">
        <v>2233</v>
      </c>
      <c r="C20" s="219">
        <f>ROUND((C5+C19)*F20,0)</f>
        <v>5956</v>
      </c>
      <c r="D20" s="219"/>
      <c r="E20" s="219"/>
      <c r="F20" s="220">
        <f>'数据-取费表'!B37</f>
        <v>0.02</v>
      </c>
      <c r="G20" s="221" t="s">
        <v>2234</v>
      </c>
    </row>
    <row r="21" spans="1:7" s="201" customFormat="1" ht="13.5" customHeight="1">
      <c r="A21" s="242" t="s">
        <v>2235</v>
      </c>
      <c r="B21" s="197" t="s">
        <v>2236</v>
      </c>
      <c r="C21" s="222">
        <f>F21</f>
        <v>0.02</v>
      </c>
      <c r="D21" s="223" t="s">
        <v>2237</v>
      </c>
      <c r="E21" s="219"/>
      <c r="F21" s="220">
        <f>'数据-取费表'!B38</f>
        <v>0.02</v>
      </c>
      <c r="G21" s="221" t="s">
        <v>2238</v>
      </c>
    </row>
    <row r="22" spans="1:7" s="201" customFormat="1" ht="13.5" customHeight="1">
      <c r="A22" s="242" t="s">
        <v>2239</v>
      </c>
      <c r="B22" s="197" t="s">
        <v>2240</v>
      </c>
      <c r="C22" s="1286">
        <f ca="1">ROUND(SUM(C23:C25),0)</f>
        <v>21681</v>
      </c>
      <c r="D22" s="222">
        <f ca="1">C26</f>
        <v>6.9999999999999999E-4</v>
      </c>
      <c r="E22" s="223" t="s">
        <v>2237</v>
      </c>
      <c r="F22" s="224">
        <f ca="1">'数据-取费表'!B40</f>
        <v>4.7500000000000001E-2</v>
      </c>
      <c r="G22" s="221" t="str">
        <f>IF('数据-取费表'!B22&lt;=1,"单利计息","复利计息")</f>
        <v>复利计息</v>
      </c>
    </row>
    <row r="23" spans="1:7" s="201" customFormat="1" ht="13.5" customHeight="1">
      <c r="A23" s="897" t="s">
        <v>2241</v>
      </c>
      <c r="B23" s="202" t="s">
        <v>2242</v>
      </c>
      <c r="C23" s="1287">
        <f ca="1">ROUND(IF('数据-取费表'!B22&lt;=1,C5*F22*'数据-取费表'!B23,C5*(POWER((1+F22),'数据-取费表'!B23)-1)),0)</f>
        <v>21470</v>
      </c>
      <c r="D23" s="225"/>
      <c r="E23" s="225"/>
      <c r="F23" s="226"/>
      <c r="G23" s="227" t="s">
        <v>2243</v>
      </c>
    </row>
    <row r="24" spans="1:7" s="201" customFormat="1" ht="13.5" customHeight="1">
      <c r="A24" s="897" t="s">
        <v>2244</v>
      </c>
      <c r="B24" s="202" t="s">
        <v>2245</v>
      </c>
      <c r="C24" s="1287">
        <f ca="1">ROUND(IF('数据-取费表'!B22&lt;=1,C19*F22*('数据-取费表'!B19/2+'数据-取费表'!B21),C19*(POWER((1+F22),('数据-取费表'!B19/2+'数据-取费表'!B21))-1)),0)</f>
        <v>0</v>
      </c>
      <c r="D24" s="225"/>
      <c r="E24" s="225"/>
      <c r="F24" s="226"/>
      <c r="G24" s="227" t="s">
        <v>2246</v>
      </c>
    </row>
    <row r="25" spans="1:7" s="201" customFormat="1" ht="24">
      <c r="A25" s="897" t="s">
        <v>2247</v>
      </c>
      <c r="B25" s="202" t="s">
        <v>2248</v>
      </c>
      <c r="C25" s="1287">
        <f ca="1">ROUND(IF('数据-取费表'!B22&lt;=1,C20*F22*'数据-取费表'!B23/2,C20*(POWER((1+F22),'数据-取费表'!B23/2)-1)),0)</f>
        <v>211</v>
      </c>
      <c r="D25" s="225"/>
      <c r="E25" s="228"/>
      <c r="F25" s="226"/>
      <c r="G25" s="229" t="s">
        <v>2249</v>
      </c>
    </row>
    <row r="26" spans="1:7" s="201" customFormat="1">
      <c r="A26" s="897" t="s">
        <v>795</v>
      </c>
      <c r="B26" s="202" t="s">
        <v>2250</v>
      </c>
      <c r="C26" s="225">
        <f ca="1">ROUND(IF('数据-取费表'!B22&lt;=1,F21*F22*'数据-取费表'!B23/2,F21*(POWER((1+F22),'数据-取费表'!B23/2)-1)),4)</f>
        <v>6.9999999999999999E-4</v>
      </c>
      <c r="D26" s="225"/>
      <c r="E26" s="228"/>
      <c r="F26" s="226"/>
      <c r="G26" s="230"/>
    </row>
    <row r="27" spans="1:7" s="201" customFormat="1" ht="24.75">
      <c r="A27" s="242" t="s">
        <v>2251</v>
      </c>
      <c r="B27" s="231" t="s">
        <v>2252</v>
      </c>
      <c r="C27" s="232">
        <f ca="1">C28</f>
        <v>9113</v>
      </c>
      <c r="D27" s="222">
        <f ca="1">C29</f>
        <v>5.9999999999999995E-4</v>
      </c>
      <c r="E27" s="223" t="s">
        <v>2253</v>
      </c>
      <c r="F27" s="233">
        <f ca="1">IF(B1="",'数据-取费表'!Q16,INDIRECT("'数据-取费表'!q"&amp;$G$1))</f>
        <v>0.04</v>
      </c>
      <c r="G27" s="234" t="s">
        <v>2254</v>
      </c>
    </row>
    <row r="28" spans="1:7" s="201" customFormat="1" ht="13.5" customHeight="1">
      <c r="A28" s="897" t="s">
        <v>791</v>
      </c>
      <c r="B28" s="235" t="s">
        <v>2255</v>
      </c>
      <c r="C28" s="236">
        <f ca="1">ROUND((C5+C19+C20)*F27*'数据-取费表'!B21/'数据-取费表'!B20,0)</f>
        <v>9113</v>
      </c>
      <c r="D28" s="222"/>
      <c r="E28" s="223"/>
      <c r="F28" s="233"/>
      <c r="G28" s="234"/>
    </row>
    <row r="29" spans="1:7" s="201" customFormat="1" ht="13.5" customHeight="1">
      <c r="A29" s="897" t="s">
        <v>792</v>
      </c>
      <c r="B29" s="235" t="s">
        <v>2256</v>
      </c>
      <c r="C29" s="225">
        <f ca="1">ROUND(C21*F27*'数据-取费表'!B21/'数据-取费表'!B20,4)</f>
        <v>5.9999999999999995E-4</v>
      </c>
      <c r="D29" s="222"/>
      <c r="E29" s="223"/>
      <c r="F29" s="233"/>
      <c r="G29" s="234"/>
    </row>
    <row r="30" spans="1:7" s="201" customFormat="1" ht="13.5" customHeight="1">
      <c r="A30" s="242" t="s">
        <v>2257</v>
      </c>
      <c r="B30" s="197" t="s">
        <v>2258</v>
      </c>
      <c r="C30" s="222">
        <f>ROUND(F30/(1+'数据-取费表'!C42),4)</f>
        <v>5.33E-2</v>
      </c>
      <c r="D30" s="223" t="s">
        <v>2253</v>
      </c>
      <c r="E30" s="228"/>
      <c r="F30" s="224">
        <f>'数据-取费表'!B41</f>
        <v>5.6000000000000001E-2</v>
      </c>
      <c r="G30" s="221" t="s">
        <v>2259</v>
      </c>
    </row>
    <row r="31" spans="1:7" ht="16.5" customHeight="1">
      <c r="A31" s="196">
        <v>1</v>
      </c>
      <c r="B31" s="197" t="s">
        <v>2260</v>
      </c>
      <c r="C31" s="198">
        <f ca="1">ROUND((C5+C19+C20+C22+C27)/(1-C21-D22-D27-C30),0)</f>
        <v>361539</v>
      </c>
      <c r="D31" s="217"/>
      <c r="E31" s="198"/>
      <c r="F31" s="237"/>
      <c r="G31" s="221" t="s">
        <v>2261</v>
      </c>
    </row>
    <row r="32" spans="1:7" s="195" customFormat="1" ht="15.75">
      <c r="A32" s="239" t="s">
        <v>2262</v>
      </c>
      <c r="B32" s="240"/>
      <c r="C32" s="240"/>
      <c r="D32" s="240"/>
      <c r="E32" s="240"/>
      <c r="F32" s="240"/>
      <c r="G32" s="241"/>
    </row>
    <row r="33" spans="1:7" s="201" customFormat="1" ht="13.5" customHeight="1">
      <c r="A33" s="242" t="s">
        <v>782</v>
      </c>
      <c r="B33" s="197" t="s">
        <v>2263</v>
      </c>
      <c r="C33" s="243">
        <f ca="1">SUM(C34:C38)</f>
        <v>32362</v>
      </c>
      <c r="D33" s="219"/>
      <c r="E33" s="199"/>
      <c r="F33" s="228"/>
      <c r="G33" s="221"/>
    </row>
    <row r="34" spans="1:7" s="245" customFormat="1" ht="13.5" customHeight="1">
      <c r="A34" s="897" t="s">
        <v>791</v>
      </c>
      <c r="B34" s="202" t="s">
        <v>2264</v>
      </c>
      <c r="C34" s="207">
        <f ca="1">IF(B1="",IF(F34=100%,'数据-取费表'!M16,'数据-取费表'!O16),IF(F34=100%,INDIRECT("'数据-取费表'!m"&amp;$G$1)+INDIRECT("'数据-取费表'!t"&amp;$G$1),INDIRECT("'数据-取费表'!o"&amp;$G$1)+INDIRECT("'数据-取费表'!aq"&amp;$G$1)))</f>
        <v>28875</v>
      </c>
      <c r="D34" s="204"/>
      <c r="E34" s="207"/>
      <c r="F34" s="244">
        <f ca="1">IF('数据-取费表'!B24=0,1,IF(B1="",'数据-取费表'!N16,INDIRECT("'数据-取费表'!n"&amp;$G$1)))</f>
        <v>0.67200000000000004</v>
      </c>
      <c r="G34" s="206" t="s">
        <v>2265</v>
      </c>
    </row>
    <row r="35" spans="1:7" ht="13.5" customHeight="1">
      <c r="A35" s="897" t="s">
        <v>796</v>
      </c>
      <c r="B35" s="202" t="s">
        <v>2266</v>
      </c>
      <c r="C35" s="207">
        <f ca="1">ROUND(C34*F35,0)</f>
        <v>866</v>
      </c>
      <c r="D35" s="207"/>
      <c r="E35" s="207"/>
      <c r="F35" s="246">
        <f>'数据-取费表'!B33</f>
        <v>0.03</v>
      </c>
      <c r="G35" s="206" t="s">
        <v>2267</v>
      </c>
    </row>
    <row r="36" spans="1:7" ht="24">
      <c r="A36" s="897" t="s">
        <v>797</v>
      </c>
      <c r="B36" s="202" t="s">
        <v>2268</v>
      </c>
      <c r="C36" s="207">
        <f ca="1">ROUND(IF(B1="",SUMIF('数据-取费表'!C:C,"住宅",IF(F34=100%,'数据-取费表'!M:M,'数据-取费表'!O:O))*F36,IF(INDIRECT("'数据-取费表'!c"&amp;$G$1)="住宅",IF(F34=100%,INDIRECT("'数据-取费表'!m"&amp;$G$1)*F36,INDIRECT("'数据-取费表'!o"&amp;$G$1)*F36),0)),0)</f>
        <v>583</v>
      </c>
      <c r="D36" s="207"/>
      <c r="E36" s="207"/>
      <c r="F36" s="246">
        <f>'数据-取费表'!B34</f>
        <v>0.03</v>
      </c>
      <c r="G36" s="247" t="s">
        <v>2269</v>
      </c>
    </row>
    <row r="37" spans="1:7" s="245" customFormat="1" ht="13.5" customHeight="1">
      <c r="A37" s="897" t="s">
        <v>798</v>
      </c>
      <c r="B37" s="202" t="s">
        <v>2270</v>
      </c>
      <c r="C37" s="236">
        <f ca="1">ROUND(E37*D37*F34/10000,0)</f>
        <v>1605</v>
      </c>
      <c r="D37" s="204">
        <f ca="1">D19</f>
        <v>119454.59</v>
      </c>
      <c r="E37" s="236">
        <f>'数据-取费表'!B35</f>
        <v>200</v>
      </c>
      <c r="F37" s="246"/>
      <c r="G37" s="248" t="s">
        <v>2271</v>
      </c>
    </row>
    <row r="38" spans="1:7" ht="13.5" customHeight="1">
      <c r="A38" s="897" t="s">
        <v>799</v>
      </c>
      <c r="B38" s="202" t="s">
        <v>2272</v>
      </c>
      <c r="C38" s="207">
        <f ca="1">ROUND(C34*F38,0)</f>
        <v>433</v>
      </c>
      <c r="D38" s="207"/>
      <c r="E38" s="207"/>
      <c r="F38" s="246">
        <f>'数据-取费表'!B36</f>
        <v>1.4999999999999999E-2</v>
      </c>
      <c r="G38" s="206" t="s">
        <v>2267</v>
      </c>
    </row>
    <row r="39" spans="1:7" s="201" customFormat="1" ht="13.5" customHeight="1">
      <c r="A39" s="242" t="s">
        <v>2273</v>
      </c>
      <c r="B39" s="197" t="s">
        <v>2274</v>
      </c>
      <c r="C39" s="219">
        <f ca="1">ROUND(C33*F20,0)</f>
        <v>647</v>
      </c>
      <c r="D39" s="219"/>
      <c r="E39" s="219"/>
      <c r="F39" s="220"/>
      <c r="G39" s="221" t="s">
        <v>2275</v>
      </c>
    </row>
    <row r="40" spans="1:7" s="201" customFormat="1" ht="13.5" customHeight="1">
      <c r="A40" s="242" t="s">
        <v>2276</v>
      </c>
      <c r="B40" s="197" t="s">
        <v>2277</v>
      </c>
      <c r="C40" s="1658">
        <f>F21</f>
        <v>0.02</v>
      </c>
      <c r="D40" s="223" t="s">
        <v>2278</v>
      </c>
      <c r="E40" s="219"/>
      <c r="F40" s="220"/>
      <c r="G40" s="221" t="s">
        <v>2279</v>
      </c>
    </row>
    <row r="41" spans="1:7" s="201" customFormat="1" ht="13.5" customHeight="1">
      <c r="A41" s="242" t="s">
        <v>2280</v>
      </c>
      <c r="B41" s="197" t="s">
        <v>2281</v>
      </c>
      <c r="C41" s="219">
        <f ca="1">ROUND(SUM(C42:C43),0)</f>
        <v>1169</v>
      </c>
      <c r="D41" s="222">
        <f ca="1">C44</f>
        <v>6.9999999999999999E-4</v>
      </c>
      <c r="E41" s="223" t="s">
        <v>2278</v>
      </c>
      <c r="F41" s="224"/>
      <c r="G41" s="221" t="str">
        <f>IF('数据-取费表'!B22&lt;=1,"单利计息","复利计息")</f>
        <v>复利计息</v>
      </c>
    </row>
    <row r="42" spans="1:7" ht="13.5" customHeight="1">
      <c r="A42" s="897" t="s">
        <v>791</v>
      </c>
      <c r="B42" s="202" t="s">
        <v>2282</v>
      </c>
      <c r="C42" s="225">
        <f ca="1">ROUND(IF('数据-取费表'!B22&lt;=1,C33*F22*'数据-取费表'!B21/2,C33*(POWER((1+F22),'数据-取费表'!B21/2)-1)),0)</f>
        <v>1146</v>
      </c>
      <c r="D42" s="225"/>
      <c r="E42" s="225"/>
      <c r="F42" s="226"/>
      <c r="G42" s="3271" t="s">
        <v>2283</v>
      </c>
    </row>
    <row r="43" spans="1:7" ht="13.5" customHeight="1">
      <c r="A43" s="897" t="s">
        <v>792</v>
      </c>
      <c r="B43" s="202" t="s">
        <v>2284</v>
      </c>
      <c r="C43" s="225">
        <f ca="1">ROUND(IF('数据-取费表'!B22&lt;=1,C39*F22*'数据-取费表'!B21/2,C39*(POWER((1+F22),'数据-取费表'!B21/2)-1)),0)</f>
        <v>23</v>
      </c>
      <c r="D43" s="225"/>
      <c r="E43" s="225"/>
      <c r="F43" s="226"/>
      <c r="G43" s="3272"/>
    </row>
    <row r="44" spans="1:7" ht="13.5" customHeight="1">
      <c r="A44" s="897" t="s">
        <v>793</v>
      </c>
      <c r="B44" s="202" t="s">
        <v>2285</v>
      </c>
      <c r="C44" s="225">
        <f ca="1">ROUND(IF('数据-取费表'!B22&lt;=1,C40*F22*'数据-取费表'!B21/2,C40*(POWER((1+F22),'数据-取费表'!B21/2)-1)),4)</f>
        <v>6.9999999999999999E-4</v>
      </c>
      <c r="D44" s="225"/>
      <c r="E44" s="225"/>
      <c r="F44" s="226"/>
      <c r="G44" s="3273"/>
    </row>
    <row r="45" spans="1:7" s="201" customFormat="1" ht="13.5" customHeight="1">
      <c r="A45" s="242" t="s">
        <v>2286</v>
      </c>
      <c r="B45" s="231" t="s">
        <v>2252</v>
      </c>
      <c r="C45" s="232">
        <f ca="1">C46</f>
        <v>1320</v>
      </c>
      <c r="D45" s="222">
        <f ca="1">C47</f>
        <v>8.0000000000000004E-4</v>
      </c>
      <c r="E45" s="223" t="s">
        <v>2278</v>
      </c>
      <c r="F45" s="233"/>
      <c r="G45" s="234" t="s">
        <v>2287</v>
      </c>
    </row>
    <row r="46" spans="1:7" s="201" customFormat="1" ht="13.5" customHeight="1">
      <c r="A46" s="897" t="s">
        <v>791</v>
      </c>
      <c r="B46" s="235" t="s">
        <v>2288</v>
      </c>
      <c r="C46" s="236">
        <f ca="1">ROUND((C33+C39)*F27,0)</f>
        <v>1320</v>
      </c>
      <c r="D46" s="250"/>
      <c r="E46" s="223"/>
      <c r="F46" s="233"/>
      <c r="G46" s="234"/>
    </row>
    <row r="47" spans="1:7" s="201" customFormat="1" ht="13.5" customHeight="1">
      <c r="A47" s="897" t="s">
        <v>792</v>
      </c>
      <c r="B47" s="235" t="s">
        <v>2289</v>
      </c>
      <c r="C47" s="225">
        <f ca="1">ROUND(C40*F27,4)</f>
        <v>8.0000000000000004E-4</v>
      </c>
      <c r="D47" s="250"/>
      <c r="E47" s="223"/>
      <c r="F47" s="233"/>
      <c r="G47" s="234"/>
    </row>
    <row r="48" spans="1:7" s="201" customFormat="1" ht="13.5" customHeight="1">
      <c r="A48" s="242" t="s">
        <v>2251</v>
      </c>
      <c r="B48" s="197" t="s">
        <v>2290</v>
      </c>
      <c r="C48" s="1658">
        <f>ROUND(F30/(1+'数据-取费表'!C42),4)</f>
        <v>5.33E-2</v>
      </c>
      <c r="D48" s="223" t="s">
        <v>2278</v>
      </c>
      <c r="E48" s="219"/>
      <c r="F48" s="224"/>
      <c r="G48" s="221" t="s">
        <v>2291</v>
      </c>
    </row>
    <row r="49" spans="1:7" ht="16.5" customHeight="1">
      <c r="A49" s="242" t="s">
        <v>2257</v>
      </c>
      <c r="B49" s="197" t="s">
        <v>2292</v>
      </c>
      <c r="C49" s="219">
        <f ca="1">ROUND((C33+C39+C41+C45)/(1-C40-D41-D45-C48),0)</f>
        <v>38368</v>
      </c>
      <c r="D49" s="219"/>
      <c r="E49" s="219"/>
      <c r="F49" s="251"/>
      <c r="G49" s="221" t="s">
        <v>2293</v>
      </c>
    </row>
    <row r="50" spans="1:7" s="245" customFormat="1" ht="24">
      <c r="A50" s="242" t="s">
        <v>2294</v>
      </c>
      <c r="B50" s="197" t="s">
        <v>2295</v>
      </c>
      <c r="C50" s="219"/>
      <c r="D50" s="219"/>
      <c r="E50" s="219"/>
      <c r="F50" s="251">
        <f>IF('数据-取费表'!B24=0,'数据-取费表'!N16,1)</f>
        <v>1</v>
      </c>
      <c r="G50" s="234" t="s">
        <v>2296</v>
      </c>
    </row>
    <row r="51" spans="1:7" ht="16.5" customHeight="1">
      <c r="A51" s="242" t="s">
        <v>2297</v>
      </c>
      <c r="B51" s="197" t="s">
        <v>2298</v>
      </c>
      <c r="C51" s="219">
        <f ca="1">ROUND(C49*F50,0)</f>
        <v>38368</v>
      </c>
      <c r="D51" s="219"/>
      <c r="E51" s="219"/>
      <c r="F51" s="251"/>
      <c r="G51" s="221" t="s">
        <v>2299</v>
      </c>
    </row>
    <row r="52" spans="1:7" s="195" customFormat="1" ht="16.5" thickBot="1">
      <c r="A52" s="252" t="s">
        <v>2300</v>
      </c>
      <c r="B52" s="253"/>
      <c r="C52" s="254">
        <f ca="1">C31+C51</f>
        <v>399907</v>
      </c>
      <c r="D52" s="253"/>
      <c r="E52" s="253"/>
      <c r="F52" s="253"/>
      <c r="G52" s="255"/>
    </row>
    <row r="55" spans="1:7" ht="15">
      <c r="B55" s="257" t="s">
        <v>2301</v>
      </c>
      <c r="C55" s="258"/>
    </row>
    <row r="56" spans="1:7">
      <c r="B56" s="260" t="s">
        <v>1513</v>
      </c>
      <c r="C56" s="262">
        <f ca="1">1-C57</f>
        <v>0.90400000000000003</v>
      </c>
    </row>
    <row r="57" spans="1:7">
      <c r="B57" s="260" t="s">
        <v>1514</v>
      </c>
      <c r="C57" s="261">
        <f ca="1">ROUND(C51/C52,3)</f>
        <v>9.6000000000000002E-2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9" sqref="C39"/>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8" width="10.75" style="238" customWidth="1"/>
    <col min="9" max="254" width="9" style="238" customWidth="1"/>
    <col min="255" max="16384" width="8.375" style="238"/>
  </cols>
  <sheetData>
    <row r="1" spans="1:8" s="187" customFormat="1" ht="20.25">
      <c r="A1" s="183" t="s">
        <v>2200</v>
      </c>
      <c r="B1" s="1863"/>
      <c r="C1" s="2418" t="s">
        <v>2302</v>
      </c>
      <c r="D1" s="185"/>
      <c r="E1" s="185"/>
      <c r="F1" s="185"/>
      <c r="G1" s="1311">
        <f>MATCH(B1,'数据-取费表'!A6:A16,0)+5</f>
        <v>9</v>
      </c>
      <c r="H1" s="1214" t="str">
        <f>IF(ISERROR(FIND("住宅",B1)),"非住宅","住宅")</f>
        <v>非住宅</v>
      </c>
    </row>
    <row r="2" spans="1:8" s="187" customFormat="1" ht="18" customHeight="1">
      <c r="A2" s="188" t="s">
        <v>2201</v>
      </c>
      <c r="B2" s="189">
        <f ca="1">ROUND(IF(D2="——",C52/10000,C52/10000-E2),0)</f>
        <v>67326</v>
      </c>
      <c r="C2" s="186" t="s">
        <v>2202</v>
      </c>
      <c r="D2" s="2412" t="s">
        <v>70</v>
      </c>
      <c r="E2" s="1372" t="e">
        <f ca="1">SUMIF(INDIRECT("'"&amp;G2&amp;"'"&amp;"!A:A"),"承租人权益价值",INDIRECT("'"&amp;G2&amp;"'"&amp;"!c:c"))</f>
        <v>#REF!</v>
      </c>
      <c r="F2" s="2413" t="s">
        <v>2202</v>
      </c>
      <c r="G2" s="2414"/>
    </row>
    <row r="3" spans="1:8" s="187" customFormat="1" ht="18" customHeight="1" thickBot="1">
      <c r="A3" s="190" t="s">
        <v>2203</v>
      </c>
      <c r="B3" s="191">
        <f ca="1">ROUND(B2*10000/(IF(B1="",'数据-汇总表'!E3,INDIRECT("'数据-取费表'!k"&amp;$G$1))),0)</f>
        <v>5636</v>
      </c>
      <c r="C3" s="186" t="s">
        <v>2204</v>
      </c>
      <c r="D3" s="186"/>
      <c r="E3" s="186"/>
      <c r="F3" s="186"/>
      <c r="G3" s="186"/>
    </row>
    <row r="4" spans="1:8" s="195" customFormat="1" ht="15.75">
      <c r="A4" s="192" t="s">
        <v>2205</v>
      </c>
      <c r="B4" s="193"/>
      <c r="C4" s="193"/>
      <c r="D4" s="193"/>
      <c r="E4" s="193"/>
      <c r="F4" s="193"/>
      <c r="G4" s="194"/>
    </row>
    <row r="5" spans="1:8" s="201" customFormat="1" ht="13.5" customHeight="1">
      <c r="A5" s="242" t="s">
        <v>2206</v>
      </c>
      <c r="B5" s="197" t="s">
        <v>2207</v>
      </c>
      <c r="C5" s="198">
        <f ca="1">C6+C7+C8</f>
        <v>51365474</v>
      </c>
      <c r="D5" s="198" t="s">
        <v>2208</v>
      </c>
      <c r="E5" s="199" t="s">
        <v>2209</v>
      </c>
      <c r="F5" s="199" t="s">
        <v>2210</v>
      </c>
      <c r="G5" s="200"/>
    </row>
    <row r="6" spans="1:8" s="201" customFormat="1" ht="13.5" customHeight="1">
      <c r="A6" s="895" t="s">
        <v>2211</v>
      </c>
      <c r="B6" s="202" t="s">
        <v>2212</v>
      </c>
      <c r="C6" s="203"/>
      <c r="D6" s="204"/>
      <c r="E6" s="205"/>
      <c r="F6" s="205"/>
      <c r="G6" s="206"/>
    </row>
    <row r="7" spans="1:8" s="201" customFormat="1" ht="13.5" customHeight="1">
      <c r="A7" s="895" t="s">
        <v>2213</v>
      </c>
      <c r="B7" s="202" t="s">
        <v>2214</v>
      </c>
      <c r="C7" s="207">
        <f>ROUND(C6*F7,0)</f>
        <v>0</v>
      </c>
      <c r="D7" s="207"/>
      <c r="E7" s="205"/>
      <c r="F7" s="208">
        <f>'数据-取费表'!B48+'数据-取费表'!B49</f>
        <v>3.0499999999999999E-2</v>
      </c>
      <c r="G7" s="206"/>
    </row>
    <row r="8" spans="1:8" s="210" customFormat="1">
      <c r="A8" s="895" t="s">
        <v>2215</v>
      </c>
      <c r="B8" s="202" t="s">
        <v>2216</v>
      </c>
      <c r="C8" s="207">
        <f ca="1">IF(G8="已包含在土地购买价格中",0,C9+C10)</f>
        <v>51365474</v>
      </c>
      <c r="D8" s="209"/>
      <c r="E8" s="207"/>
      <c r="F8" s="208"/>
      <c r="G8" s="2415"/>
    </row>
    <row r="9" spans="1:8" s="201" customFormat="1" ht="13.5" customHeight="1">
      <c r="A9" s="896" t="s">
        <v>800</v>
      </c>
      <c r="B9" s="211" t="s">
        <v>2217</v>
      </c>
      <c r="C9" s="212">
        <f ca="1">ROUND(D9*E9,0)</f>
        <v>34710073</v>
      </c>
      <c r="D9" s="978">
        <f ca="1">IF(B1="",'数据-汇总表'!E5,IF(INDIRECT("'数据-取费表'!c"&amp;$G$1)="住宅",INDIRECT("'数据-取费表'!k"&amp;$G$1),0))</f>
        <v>80721.099999999991</v>
      </c>
      <c r="E9" s="212">
        <f>'数据-取费表'!B27</f>
        <v>430</v>
      </c>
      <c r="F9" s="208"/>
      <c r="G9" s="213"/>
    </row>
    <row r="10" spans="1:8" s="201" customFormat="1" ht="13.5" customHeight="1">
      <c r="A10" s="896" t="s">
        <v>801</v>
      </c>
      <c r="B10" s="211" t="s">
        <v>2219</v>
      </c>
      <c r="C10" s="212">
        <f ca="1">ROUND(D10*E10,0)</f>
        <v>16655401</v>
      </c>
      <c r="D10" s="978">
        <f ca="1">IF(B1="",'数据-汇总表'!E6,IF(INDIRECT("'数据-取费表'!c"&amp;$G$1)="住宅",INDIRECT("'数据-取费表'!s"&amp;$G$1),INDIRECT("'数据-取费表'!k"&amp;$G$1)+INDIRECT("'数据-取费表'!s"&amp;$G$1)))</f>
        <v>38733.490000000005</v>
      </c>
      <c r="E10" s="212">
        <f>'数据-取费表'!B28</f>
        <v>430</v>
      </c>
      <c r="F10" s="208"/>
      <c r="G10" s="213"/>
    </row>
    <row r="11" spans="1:8" s="201" customFormat="1" ht="13.5" hidden="1" customHeight="1">
      <c r="A11" s="214" t="s">
        <v>7</v>
      </c>
      <c r="B11" s="202" t="s">
        <v>2220</v>
      </c>
      <c r="C11" s="198"/>
      <c r="D11" s="980"/>
      <c r="E11" s="205"/>
      <c r="F11" s="205"/>
      <c r="G11" s="206"/>
    </row>
    <row r="12" spans="1:8" s="201" customFormat="1" ht="13.5" hidden="1" customHeight="1">
      <c r="A12" s="214" t="s">
        <v>8</v>
      </c>
      <c r="B12" s="202" t="s">
        <v>2303</v>
      </c>
      <c r="C12" s="198">
        <v>0</v>
      </c>
      <c r="D12" s="980"/>
      <c r="E12" s="215"/>
      <c r="F12" s="208">
        <v>3.0499999999999999E-2</v>
      </c>
      <c r="G12" s="206"/>
    </row>
    <row r="13" spans="1:8" s="201" customFormat="1" ht="13.5" hidden="1" customHeight="1">
      <c r="A13" s="214" t="s">
        <v>9</v>
      </c>
      <c r="B13" s="202" t="s">
        <v>2304</v>
      </c>
      <c r="C13" s="198"/>
      <c r="D13" s="980"/>
      <c r="E13" s="205"/>
      <c r="F13" s="205"/>
      <c r="G13" s="206"/>
    </row>
    <row r="14" spans="1:8" s="201" customFormat="1" ht="13.5" hidden="1" customHeight="1">
      <c r="A14" s="214" t="s">
        <v>10</v>
      </c>
      <c r="B14" s="202" t="s">
        <v>2216</v>
      </c>
      <c r="C14" s="198"/>
      <c r="D14" s="980"/>
      <c r="E14" s="205"/>
      <c r="F14" s="205"/>
      <c r="G14" s="206" t="s">
        <v>2305</v>
      </c>
    </row>
    <row r="15" spans="1:8" s="201" customFormat="1" ht="13.5" hidden="1" customHeight="1">
      <c r="A15" s="214" t="s">
        <v>11</v>
      </c>
      <c r="B15" s="202" t="s">
        <v>2306</v>
      </c>
      <c r="C15" s="207"/>
      <c r="D15" s="980"/>
      <c r="E15" s="205"/>
      <c r="F15" s="205"/>
      <c r="G15" s="206" t="s">
        <v>2307</v>
      </c>
    </row>
    <row r="16" spans="1:8" s="201" customFormat="1" ht="13.5" hidden="1" customHeight="1">
      <c r="A16" s="214" t="s">
        <v>12</v>
      </c>
      <c r="B16" s="202" t="s">
        <v>2216</v>
      </c>
      <c r="C16" s="207"/>
      <c r="D16" s="980"/>
      <c r="E16" s="205"/>
      <c r="F16" s="205"/>
      <c r="G16" s="206"/>
    </row>
    <row r="17" spans="1:7" s="201" customFormat="1" ht="13.5" hidden="1" customHeight="1">
      <c r="A17" s="214" t="s">
        <v>13</v>
      </c>
      <c r="B17" s="202" t="s">
        <v>2308</v>
      </c>
      <c r="C17" s="216"/>
      <c r="D17" s="981"/>
      <c r="E17" s="216"/>
      <c r="F17" s="216"/>
      <c r="G17" s="206" t="s">
        <v>2307</v>
      </c>
    </row>
    <row r="18" spans="1:7" s="201" customFormat="1" ht="13.5" hidden="1" customHeight="1">
      <c r="A18" s="214" t="s">
        <v>14</v>
      </c>
      <c r="B18" s="202" t="s">
        <v>2309</v>
      </c>
      <c r="C18" s="207">
        <v>0</v>
      </c>
      <c r="D18" s="980"/>
      <c r="E18" s="205"/>
      <c r="F18" s="208">
        <v>3.0499999999999999E-2</v>
      </c>
      <c r="G18" s="206" t="s">
        <v>2310</v>
      </c>
    </row>
    <row r="19" spans="1:7" s="210" customFormat="1" ht="13.5" customHeight="1">
      <c r="A19" s="242" t="s">
        <v>2311</v>
      </c>
      <c r="B19" s="197" t="s">
        <v>2312</v>
      </c>
      <c r="C19" s="198">
        <f ca="1">IF(G19="已包含在土地取得成本中","0",ROUND(D19*E19,0))</f>
        <v>23890918</v>
      </c>
      <c r="D19" s="982">
        <f ca="1">D9+D10</f>
        <v>119454.59</v>
      </c>
      <c r="E19" s="198">
        <f>'数据-取费表'!B31</f>
        <v>200</v>
      </c>
      <c r="F19" s="218"/>
      <c r="G19" s="2415"/>
    </row>
    <row r="20" spans="1:7" s="201" customFormat="1" ht="13.5" customHeight="1">
      <c r="A20" s="242" t="s">
        <v>2313</v>
      </c>
      <c r="B20" s="197" t="s">
        <v>2314</v>
      </c>
      <c r="C20" s="219">
        <f ca="1">ROUND((C5+C19)*F20,0)</f>
        <v>1505128</v>
      </c>
      <c r="D20" s="219"/>
      <c r="E20" s="219"/>
      <c r="F20" s="220">
        <f>'数据-取费表'!B37</f>
        <v>0.02</v>
      </c>
      <c r="G20" s="221" t="s">
        <v>2315</v>
      </c>
    </row>
    <row r="21" spans="1:7" s="201" customFormat="1" ht="13.5" customHeight="1">
      <c r="A21" s="242" t="s">
        <v>2316</v>
      </c>
      <c r="B21" s="197" t="s">
        <v>2317</v>
      </c>
      <c r="C21" s="222">
        <f>F21</f>
        <v>0.02</v>
      </c>
      <c r="D21" s="223" t="s">
        <v>2318</v>
      </c>
      <c r="E21" s="219"/>
      <c r="F21" s="220">
        <f>'数据-取费表'!B38</f>
        <v>0.02</v>
      </c>
      <c r="G21" s="221" t="s">
        <v>2319</v>
      </c>
    </row>
    <row r="22" spans="1:7" s="201" customFormat="1" ht="13.5" customHeight="1">
      <c r="A22" s="242" t="s">
        <v>2320</v>
      </c>
      <c r="B22" s="197" t="s">
        <v>2321</v>
      </c>
      <c r="C22" s="1312">
        <f ca="1">ROUND(SUM(C23:C25),0)</f>
        <v>7390648</v>
      </c>
      <c r="D22" s="222">
        <f ca="1">C26</f>
        <v>1E-3</v>
      </c>
      <c r="E22" s="223" t="s">
        <v>2318</v>
      </c>
      <c r="F22" s="224">
        <f ca="1">'数据-取费表'!B40</f>
        <v>4.7500000000000001E-2</v>
      </c>
      <c r="G22" s="221" t="str">
        <f>IF('数据-取费表'!B22&lt;=1,"单利计息","复利计息")</f>
        <v>复利计息</v>
      </c>
    </row>
    <row r="23" spans="1:7" s="201" customFormat="1" ht="13.5" customHeight="1">
      <c r="A23" s="897" t="s">
        <v>2211</v>
      </c>
      <c r="B23" s="202" t="s">
        <v>2322</v>
      </c>
      <c r="C23" s="1313">
        <f ca="1">ROUND(IF('数据-取费表'!B22&lt;=1,C5*F22*'数据-取费表'!B22,C5*(POWER((1+F22),'数据-取费表'!B22)-1)),0)</f>
        <v>4995613</v>
      </c>
      <c r="D23" s="225"/>
      <c r="E23" s="225"/>
      <c r="F23" s="226"/>
      <c r="G23" s="227" t="s">
        <v>2323</v>
      </c>
    </row>
    <row r="24" spans="1:7" s="201" customFormat="1" ht="13.5" customHeight="1">
      <c r="A24" s="897" t="s">
        <v>2213</v>
      </c>
      <c r="B24" s="202" t="s">
        <v>2324</v>
      </c>
      <c r="C24" s="1313">
        <f ca="1">ROUND(IF('数据-取费表'!B22&lt;=1,C19*F22*('数据-取费表'!B19/2+'数据-取费表'!B20),C19*(POWER((1+F22),('数据-取费表'!B19/2+'数据-取费表'!B20))-1)),0)</f>
        <v>2323541</v>
      </c>
      <c r="D24" s="225"/>
      <c r="E24" s="225"/>
      <c r="F24" s="226"/>
      <c r="G24" s="227" t="s">
        <v>2325</v>
      </c>
    </row>
    <row r="25" spans="1:7" s="201" customFormat="1" ht="24">
      <c r="A25" s="897" t="s">
        <v>2215</v>
      </c>
      <c r="B25" s="202" t="s">
        <v>2326</v>
      </c>
      <c r="C25" s="1313">
        <f ca="1">ROUND(IF('数据-取费表'!B22&lt;=1,C20*F22*'数据-取费表'!B22/2,C20*(POWER((1+F22),'数据-取费表'!B22/2)-1)),0)</f>
        <v>71494</v>
      </c>
      <c r="D25" s="225"/>
      <c r="E25" s="228"/>
      <c r="F25" s="226"/>
      <c r="G25" s="229" t="s">
        <v>2327</v>
      </c>
    </row>
    <row r="26" spans="1:7" s="201" customFormat="1">
      <c r="A26" s="897" t="s">
        <v>795</v>
      </c>
      <c r="B26" s="202" t="s">
        <v>2250</v>
      </c>
      <c r="C26" s="225">
        <f ca="1">ROUND(IF('数据-取费表'!B22&lt;=1,F21*F22*'数据-取费表'!B22/2,F21*(POWER((1+F22),'数据-取费表'!B22/2)-1)),4)</f>
        <v>1E-3</v>
      </c>
      <c r="D26" s="225"/>
      <c r="E26" s="228"/>
      <c r="F26" s="226"/>
      <c r="G26" s="230"/>
    </row>
    <row r="27" spans="1:7" s="201" customFormat="1" ht="24.75">
      <c r="A27" s="242" t="s">
        <v>2251</v>
      </c>
      <c r="B27" s="231" t="s">
        <v>2252</v>
      </c>
      <c r="C27" s="232">
        <f ca="1">C28</f>
        <v>3070461</v>
      </c>
      <c r="D27" s="222">
        <f ca="1">C29</f>
        <v>8.0000000000000004E-4</v>
      </c>
      <c r="E27" s="223" t="s">
        <v>2253</v>
      </c>
      <c r="F27" s="233">
        <f ca="1">IF(B1="",'数据-取费表'!Q16,INDIRECT("'数据-取费表'!q"&amp;$G$1))</f>
        <v>0.04</v>
      </c>
      <c r="G27" s="234" t="s">
        <v>2254</v>
      </c>
    </row>
    <row r="28" spans="1:7" s="201" customFormat="1" ht="13.5" customHeight="1">
      <c r="A28" s="897" t="s">
        <v>791</v>
      </c>
      <c r="B28" s="235" t="s">
        <v>2255</v>
      </c>
      <c r="C28" s="236">
        <f ca="1">ROUND((C5+C19+C20)*F27,0)</f>
        <v>3070461</v>
      </c>
      <c r="D28" s="222"/>
      <c r="E28" s="223"/>
      <c r="F28" s="233"/>
      <c r="G28" s="234"/>
    </row>
    <row r="29" spans="1:7" s="201" customFormat="1" ht="13.5" customHeight="1">
      <c r="A29" s="897" t="s">
        <v>792</v>
      </c>
      <c r="B29" s="235" t="s">
        <v>2256</v>
      </c>
      <c r="C29" s="225">
        <f ca="1">ROUND(C21*F27,4)</f>
        <v>8.0000000000000004E-4</v>
      </c>
      <c r="D29" s="222"/>
      <c r="E29" s="223"/>
      <c r="F29" s="233"/>
      <c r="G29" s="234"/>
    </row>
    <row r="30" spans="1:7" s="201" customFormat="1" ht="13.5" customHeight="1">
      <c r="A30" s="242" t="s">
        <v>2257</v>
      </c>
      <c r="B30" s="197" t="s">
        <v>2258</v>
      </c>
      <c r="C30" s="222">
        <f>ROUND(F30/(1+'数据-取费表'!C42),4)</f>
        <v>5.33E-2</v>
      </c>
      <c r="D30" s="223" t="s">
        <v>2253</v>
      </c>
      <c r="E30" s="228"/>
      <c r="F30" s="224">
        <f>'数据-取费表'!B41</f>
        <v>5.6000000000000001E-2</v>
      </c>
      <c r="G30" s="221" t="s">
        <v>2259</v>
      </c>
    </row>
    <row r="31" spans="1:7" ht="16.5" customHeight="1">
      <c r="A31" s="196">
        <v>1</v>
      </c>
      <c r="B31" s="197" t="s">
        <v>2260</v>
      </c>
      <c r="C31" s="198">
        <f ca="1">ROUND((C5+C19+C20+C22+C27)/(1-C21-D22-D27-C30),0)</f>
        <v>94304929</v>
      </c>
      <c r="D31" s="217"/>
      <c r="E31" s="198"/>
      <c r="F31" s="237"/>
      <c r="G31" s="221" t="s">
        <v>2261</v>
      </c>
    </row>
    <row r="32" spans="1:7" s="195" customFormat="1" ht="15.75">
      <c r="A32" s="239" t="s">
        <v>2328</v>
      </c>
      <c r="B32" s="240"/>
      <c r="C32" s="240"/>
      <c r="D32" s="240"/>
      <c r="E32" s="240"/>
      <c r="F32" s="240"/>
      <c r="G32" s="241"/>
    </row>
    <row r="33" spans="1:7" s="201" customFormat="1" ht="13.5" customHeight="1">
      <c r="A33" s="242" t="s">
        <v>782</v>
      </c>
      <c r="B33" s="197" t="s">
        <v>2329</v>
      </c>
      <c r="C33" s="243">
        <f ca="1">SUM(C34:C38)</f>
        <v>482735405</v>
      </c>
      <c r="D33" s="219"/>
      <c r="E33" s="199"/>
      <c r="F33" s="228"/>
      <c r="G33" s="221"/>
    </row>
    <row r="34" spans="1:7" s="245" customFormat="1" ht="13.5" customHeight="1">
      <c r="A34" s="897" t="s">
        <v>791</v>
      </c>
      <c r="B34" s="202" t="s">
        <v>2264</v>
      </c>
      <c r="C34" s="207">
        <f ca="1">ROUND(IF(B1="",SUMPRODUCT('数据-取费表'!K6:K14,'数据-取费表'!L6:L14),INDIRECT("'数据-取费表'!l"&amp;$G$1)*INDIRECT("'数据-取费表'!k"&amp;$G$1)+'数据-取费表'!L14*INDIRECT("'数据-取费表'!S"&amp;$G$1)),0)</f>
        <v>429931740</v>
      </c>
      <c r="D34" s="204"/>
      <c r="E34" s="207"/>
      <c r="F34" s="244"/>
      <c r="G34" s="206"/>
    </row>
    <row r="35" spans="1:7" ht="13.5" customHeight="1">
      <c r="A35" s="897" t="s">
        <v>796</v>
      </c>
      <c r="B35" s="202" t="s">
        <v>2266</v>
      </c>
      <c r="C35" s="207">
        <f ca="1">ROUND(C34*F35,0)</f>
        <v>12897952</v>
      </c>
      <c r="D35" s="207"/>
      <c r="E35" s="207"/>
      <c r="F35" s="246">
        <f>'数据-取费表'!B33</f>
        <v>0.03</v>
      </c>
      <c r="G35" s="206" t="s">
        <v>2267</v>
      </c>
    </row>
    <row r="36" spans="1:7" ht="24">
      <c r="A36" s="897" t="s">
        <v>797</v>
      </c>
      <c r="B36" s="202" t="s">
        <v>2268</v>
      </c>
      <c r="C36" s="207">
        <f ca="1">ROUND(IF(B1="",SUM('数据-取费表'!AP6:AP13)*F36,IF(INDIRECT("'数据-取费表'!c"&amp;$G$1)="住宅",INDIRECT("'数据-取费表'!k"&amp;$G$1)*INDIRECT("'数据-取费表'!l"&amp;$G$1)*F36,0)),0)</f>
        <v>9565819</v>
      </c>
      <c r="D36" s="207"/>
      <c r="E36" s="207"/>
      <c r="F36" s="246">
        <f>'数据-取费表'!B34</f>
        <v>0.03</v>
      </c>
      <c r="G36" s="247" t="s">
        <v>2269</v>
      </c>
    </row>
    <row r="37" spans="1:7" s="245" customFormat="1" ht="13.5" customHeight="1">
      <c r="A37" s="897" t="s">
        <v>798</v>
      </c>
      <c r="B37" s="202" t="s">
        <v>2270</v>
      </c>
      <c r="C37" s="236">
        <f ca="1">ROUND(E37*D37,0)</f>
        <v>23890918</v>
      </c>
      <c r="D37" s="204">
        <f ca="1">D19</f>
        <v>119454.59</v>
      </c>
      <c r="E37" s="236">
        <f>'数据-取费表'!B35</f>
        <v>200</v>
      </c>
      <c r="F37" s="246"/>
      <c r="G37" s="248"/>
    </row>
    <row r="38" spans="1:7" ht="13.5" customHeight="1">
      <c r="A38" s="897" t="s">
        <v>799</v>
      </c>
      <c r="B38" s="202" t="s">
        <v>2272</v>
      </c>
      <c r="C38" s="207">
        <f ca="1">ROUND(C34*F38,0)</f>
        <v>6448976</v>
      </c>
      <c r="D38" s="207"/>
      <c r="E38" s="207"/>
      <c r="F38" s="246">
        <f>'数据-取费表'!B36</f>
        <v>1.4999999999999999E-2</v>
      </c>
      <c r="G38" s="206" t="s">
        <v>2267</v>
      </c>
    </row>
    <row r="39" spans="1:7" s="201" customFormat="1" ht="13.5" customHeight="1">
      <c r="A39" s="242" t="s">
        <v>2273</v>
      </c>
      <c r="B39" s="197" t="s">
        <v>2274</v>
      </c>
      <c r="C39" s="219">
        <f ca="1">ROUND(C33*F20,0)</f>
        <v>9654708</v>
      </c>
      <c r="D39" s="219"/>
      <c r="E39" s="219"/>
      <c r="F39" s="220"/>
      <c r="G39" s="221" t="s">
        <v>2275</v>
      </c>
    </row>
    <row r="40" spans="1:7" s="201" customFormat="1" ht="13.5" customHeight="1">
      <c r="A40" s="242" t="s">
        <v>2276</v>
      </c>
      <c r="B40" s="197" t="s">
        <v>2277</v>
      </c>
      <c r="C40" s="1658">
        <f>F21</f>
        <v>0.02</v>
      </c>
      <c r="D40" s="223" t="s">
        <v>2278</v>
      </c>
      <c r="E40" s="219"/>
      <c r="F40" s="220"/>
      <c r="G40" s="221" t="s">
        <v>2279</v>
      </c>
    </row>
    <row r="41" spans="1:7" s="201" customFormat="1" ht="13.5" customHeight="1">
      <c r="A41" s="242" t="s">
        <v>2280</v>
      </c>
      <c r="B41" s="197" t="s">
        <v>2281</v>
      </c>
      <c r="C41" s="219">
        <f ca="1">ROUND(SUM(C42:C43),0)</f>
        <v>23388531</v>
      </c>
      <c r="D41" s="222">
        <f ca="1">C44</f>
        <v>1E-3</v>
      </c>
      <c r="E41" s="223" t="s">
        <v>2278</v>
      </c>
      <c r="F41" s="224"/>
      <c r="G41" s="221" t="str">
        <f>IF('数据-取费表'!B22&lt;=1,"单利计息","复利计息")</f>
        <v>复利计息</v>
      </c>
    </row>
    <row r="42" spans="1:7" ht="13.5" customHeight="1">
      <c r="A42" s="897" t="s">
        <v>791</v>
      </c>
      <c r="B42" s="202" t="s">
        <v>2282</v>
      </c>
      <c r="C42" s="225">
        <f ca="1">ROUND(IF('数据-取费表'!B22&lt;=1,C33*F22*'数据-取费表'!B20/2,C33*(POWER((1+F22),'数据-取费表'!B20/2)-1)),0)</f>
        <v>22929932</v>
      </c>
      <c r="D42" s="225"/>
      <c r="E42" s="225"/>
      <c r="F42" s="226"/>
      <c r="G42" s="3271" t="s">
        <v>2330</v>
      </c>
    </row>
    <row r="43" spans="1:7" ht="13.5" customHeight="1">
      <c r="A43" s="897" t="s">
        <v>792</v>
      </c>
      <c r="B43" s="202" t="s">
        <v>2284</v>
      </c>
      <c r="C43" s="225">
        <f ca="1">ROUND(IF('数据-取费表'!B22&lt;=1,C39*F22*'数据-取费表'!B20/2,C39*(POWER((1+F22),'数据-取费表'!B20/2)-1)),0)</f>
        <v>458599</v>
      </c>
      <c r="D43" s="225"/>
      <c r="E43" s="225"/>
      <c r="F43" s="226"/>
      <c r="G43" s="3272"/>
    </row>
    <row r="44" spans="1:7" ht="13.5" customHeight="1">
      <c r="A44" s="897" t="s">
        <v>793</v>
      </c>
      <c r="B44" s="202" t="s">
        <v>2285</v>
      </c>
      <c r="C44" s="225">
        <f ca="1">ROUND(IF('数据-取费表'!B22&lt;=1,C40*F22*'数据-取费表'!B20/2,C40*(POWER((1+F22),'数据-取费表'!B20/2)-1)),4)</f>
        <v>1E-3</v>
      </c>
      <c r="D44" s="225"/>
      <c r="E44" s="225"/>
      <c r="F44" s="226"/>
      <c r="G44" s="3273"/>
    </row>
    <row r="45" spans="1:7" s="201" customFormat="1" ht="13.5" customHeight="1">
      <c r="A45" s="242" t="s">
        <v>2286</v>
      </c>
      <c r="B45" s="231" t="s">
        <v>2252</v>
      </c>
      <c r="C45" s="232">
        <f ca="1">C46</f>
        <v>19695605</v>
      </c>
      <c r="D45" s="222">
        <f ca="1">C47</f>
        <v>8.0000000000000004E-4</v>
      </c>
      <c r="E45" s="223" t="s">
        <v>2278</v>
      </c>
      <c r="F45" s="233"/>
      <c r="G45" s="234" t="s">
        <v>2287</v>
      </c>
    </row>
    <row r="46" spans="1:7" s="201" customFormat="1" ht="13.5" customHeight="1">
      <c r="A46" s="897" t="s">
        <v>791</v>
      </c>
      <c r="B46" s="235" t="s">
        <v>2288</v>
      </c>
      <c r="C46" s="236">
        <f ca="1">ROUND((C33+C39)*F27,0)</f>
        <v>19695605</v>
      </c>
      <c r="D46" s="250"/>
      <c r="E46" s="223"/>
      <c r="F46" s="233"/>
      <c r="G46" s="234"/>
    </row>
    <row r="47" spans="1:7" s="201" customFormat="1" ht="13.5" customHeight="1">
      <c r="A47" s="897" t="s">
        <v>792</v>
      </c>
      <c r="B47" s="235" t="s">
        <v>2289</v>
      </c>
      <c r="C47" s="225">
        <f ca="1">ROUND(C40*F27,4)</f>
        <v>8.0000000000000004E-4</v>
      </c>
      <c r="D47" s="250"/>
      <c r="E47" s="223"/>
      <c r="F47" s="233"/>
      <c r="G47" s="234"/>
    </row>
    <row r="48" spans="1:7" s="201" customFormat="1" ht="13.5" customHeight="1">
      <c r="A48" s="242" t="s">
        <v>2251</v>
      </c>
      <c r="B48" s="197" t="s">
        <v>2290</v>
      </c>
      <c r="C48" s="249">
        <f>ROUND(F30/(1+'数据-取费表'!C42),4)</f>
        <v>5.33E-2</v>
      </c>
      <c r="D48" s="223" t="s">
        <v>2278</v>
      </c>
      <c r="E48" s="219"/>
      <c r="F48" s="224"/>
      <c r="G48" s="221" t="s">
        <v>2291</v>
      </c>
    </row>
    <row r="49" spans="1:7" ht="16.5" customHeight="1">
      <c r="A49" s="242" t="s">
        <v>2257</v>
      </c>
      <c r="B49" s="197" t="s">
        <v>2331</v>
      </c>
      <c r="C49" s="219">
        <f ca="1">ROUND((C33+C39+C41+C45)/(1-C40-D41-D45-C48),0)</f>
        <v>578953670</v>
      </c>
      <c r="D49" s="219"/>
      <c r="E49" s="219"/>
      <c r="F49" s="251"/>
      <c r="G49" s="221" t="s">
        <v>2293</v>
      </c>
    </row>
    <row r="50" spans="1:7" s="245" customFormat="1">
      <c r="A50" s="242" t="s">
        <v>2294</v>
      </c>
      <c r="B50" s="197" t="s">
        <v>2295</v>
      </c>
      <c r="C50" s="219"/>
      <c r="D50" s="219"/>
      <c r="E50" s="219"/>
      <c r="F50" s="251">
        <f>IF('数据-取费表'!B24=0,'数据-取费表'!N16,1)</f>
        <v>1</v>
      </c>
      <c r="G50" s="234"/>
    </row>
    <row r="51" spans="1:7" ht="16.5" customHeight="1">
      <c r="A51" s="242" t="s">
        <v>2297</v>
      </c>
      <c r="B51" s="197" t="s">
        <v>2332</v>
      </c>
      <c r="C51" s="219">
        <f ca="1">ROUND(C49*F50,0)</f>
        <v>578953670</v>
      </c>
      <c r="D51" s="219"/>
      <c r="E51" s="219"/>
      <c r="F51" s="251"/>
      <c r="G51" s="221" t="s">
        <v>2299</v>
      </c>
    </row>
    <row r="52" spans="1:7" s="195" customFormat="1" ht="16.5" thickBot="1">
      <c r="A52" s="252" t="s">
        <v>2300</v>
      </c>
      <c r="B52" s="253"/>
      <c r="C52" s="254">
        <f ca="1">C31+C51</f>
        <v>673258599</v>
      </c>
      <c r="D52" s="253"/>
      <c r="E52" s="253"/>
      <c r="F52" s="253"/>
      <c r="G52" s="255"/>
    </row>
    <row r="55" spans="1:7" ht="15">
      <c r="B55" s="257" t="s">
        <v>2301</v>
      </c>
      <c r="C55" s="258"/>
    </row>
    <row r="56" spans="1:7">
      <c r="B56" s="260" t="s">
        <v>1513</v>
      </c>
      <c r="C56" s="262">
        <f ca="1">1-C57</f>
        <v>0.14000000000000001</v>
      </c>
    </row>
    <row r="57" spans="1:7">
      <c r="B57" s="260" t="s">
        <v>1514</v>
      </c>
      <c r="C57" s="261">
        <f ca="1">ROUND(C51/C52,3)</f>
        <v>0.86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F56" sqref="F56"/>
    </sheetView>
  </sheetViews>
  <sheetFormatPr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s="341" customFormat="1" ht="28.5" customHeight="1">
      <c r="A1" s="337" t="s">
        <v>2615</v>
      </c>
      <c r="B1" s="338"/>
      <c r="C1" s="339" t="s">
        <v>2616</v>
      </c>
      <c r="D1" s="698"/>
      <c r="E1" s="698"/>
      <c r="F1" s="697" t="s">
        <v>2514</v>
      </c>
      <c r="G1" s="698"/>
      <c r="H1" s="698"/>
      <c r="I1" s="698"/>
      <c r="J1" s="698"/>
      <c r="K1" s="699"/>
      <c r="L1" s="700"/>
      <c r="M1" s="701"/>
      <c r="N1" s="701"/>
      <c r="O1" s="701"/>
      <c r="P1" s="711"/>
      <c r="Q1" s="711"/>
      <c r="R1" s="711"/>
      <c r="S1" s="711"/>
      <c r="T1" s="711"/>
      <c r="U1" s="711"/>
      <c r="V1" s="711"/>
      <c r="W1" s="711"/>
      <c r="X1" s="711"/>
      <c r="Y1" s="711"/>
      <c r="Z1" s="711"/>
      <c r="AA1" s="711"/>
      <c r="AB1" s="711"/>
      <c r="AC1" s="712"/>
      <c r="AD1" s="340"/>
    </row>
    <row r="2" spans="1:30" s="341" customFormat="1" ht="28.5" customHeight="1">
      <c r="A2" s="188" t="s">
        <v>2201</v>
      </c>
      <c r="B2" s="614">
        <f>F66</f>
        <v>285704</v>
      </c>
      <c r="C2" s="1070"/>
      <c r="D2" s="1070"/>
      <c r="E2" s="1071"/>
      <c r="F2" s="1072"/>
      <c r="G2" s="1071"/>
      <c r="H2" s="1071"/>
      <c r="I2" s="1071"/>
      <c r="J2" s="1071"/>
      <c r="K2" s="1073"/>
      <c r="L2" s="1074"/>
      <c r="M2" s="1075"/>
      <c r="N2" s="1075"/>
      <c r="O2" s="1075"/>
      <c r="P2" s="711"/>
      <c r="Q2" s="711"/>
      <c r="R2" s="711"/>
      <c r="S2" s="711"/>
      <c r="T2" s="711"/>
      <c r="U2" s="711"/>
      <c r="V2" s="711"/>
      <c r="W2" s="711"/>
      <c r="X2" s="711"/>
      <c r="Y2" s="711"/>
      <c r="Z2" s="711"/>
      <c r="AA2" s="711"/>
      <c r="AB2" s="711"/>
      <c r="AC2" s="712"/>
      <c r="AD2" s="340"/>
    </row>
    <row r="3" spans="1:30" s="341" customFormat="1" ht="28.5" customHeight="1" thickBot="1">
      <c r="A3" s="190" t="s">
        <v>2203</v>
      </c>
      <c r="B3" s="552">
        <f>ROUND(IF(D3="",B2*10000/'数据-汇总表'!E3,B2*10000/D3),0)</f>
        <v>23917</v>
      </c>
      <c r="C3" s="190" t="s">
        <v>2617</v>
      </c>
      <c r="D3" s="1513"/>
      <c r="E3" s="1071"/>
      <c r="F3" s="1072"/>
      <c r="G3" s="1071"/>
      <c r="H3" s="1071"/>
      <c r="I3" s="1071"/>
      <c r="J3" s="1071"/>
      <c r="K3" s="1073"/>
      <c r="L3" s="1074"/>
      <c r="M3" s="1075"/>
      <c r="N3" s="1075"/>
      <c r="O3" s="1075"/>
      <c r="P3" s="711"/>
      <c r="Q3" s="711"/>
      <c r="R3" s="711"/>
      <c r="S3" s="711"/>
      <c r="T3" s="711"/>
      <c r="U3" s="711"/>
      <c r="V3" s="711"/>
      <c r="W3" s="711"/>
      <c r="X3" s="711"/>
      <c r="Y3" s="711"/>
      <c r="Z3" s="711"/>
      <c r="AA3" s="711"/>
      <c r="AB3" s="729"/>
      <c r="AC3" s="725"/>
    </row>
    <row r="4" spans="1:30"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275" t="s">
        <v>2519</v>
      </c>
      <c r="AC4" s="3274" t="s">
        <v>2520</v>
      </c>
    </row>
    <row r="5" spans="1:30" ht="27" customHeight="1">
      <c r="A5" s="347"/>
      <c r="B5" s="348"/>
      <c r="C5" s="3285" t="s">
        <v>2413</v>
      </c>
      <c r="D5" s="3286"/>
      <c r="E5" s="3283" t="str">
        <f>土地案例!A22</f>
        <v>松江区小昆山镇SJS40001单元17-02号地块</v>
      </c>
      <c r="F5" s="3284"/>
      <c r="G5" s="3285" t="str">
        <f>土地案例!A33</f>
        <v>上海市松江区方松街道新城主城B单元B06-06号地块</v>
      </c>
      <c r="H5" s="3286"/>
      <c r="I5" s="3285" t="str">
        <f>土地案例!A35</f>
        <v>松江区泗泾镇SJSB0003单元10-05号地块</v>
      </c>
      <c r="J5" s="3286"/>
      <c r="K5" s="553"/>
      <c r="L5" s="1076"/>
      <c r="M5" s="1077"/>
      <c r="N5" s="1077"/>
      <c r="O5" s="1077"/>
      <c r="P5" s="3298"/>
      <c r="Q5" s="3299"/>
      <c r="R5" s="3281"/>
      <c r="S5" s="3282"/>
      <c r="T5" s="3281"/>
      <c r="U5" s="3282"/>
      <c r="V5" s="3304"/>
      <c r="W5" s="3304"/>
      <c r="X5" s="1740"/>
      <c r="Y5" s="3281"/>
      <c r="Z5" s="3282"/>
      <c r="AA5" s="3275"/>
      <c r="AB5" s="3275"/>
      <c r="AC5" s="3275"/>
    </row>
    <row r="6" spans="1:30" ht="27" customHeight="1" thickBot="1">
      <c r="A6" s="349"/>
      <c r="B6" s="350"/>
      <c r="C6" s="3287" t="s">
        <v>2417</v>
      </c>
      <c r="D6" s="3288"/>
      <c r="E6" s="3289" t="str">
        <f>土地案例!M22</f>
        <v>中海地产集团有限公司</v>
      </c>
      <c r="F6" s="3290"/>
      <c r="G6" s="3287" t="str">
        <f>土地案例!M33</f>
        <v>合景泰富</v>
      </c>
      <c r="H6" s="3288"/>
      <c r="I6" s="3287" t="str">
        <f>土地案例!M35</f>
        <v>珠海格力房产有限公司、格力地产(香港)有限公司</v>
      </c>
      <c r="J6" s="3288"/>
      <c r="K6" s="553" t="s">
        <v>2418</v>
      </c>
      <c r="L6" s="1076"/>
      <c r="M6" s="1077"/>
      <c r="N6" s="1077"/>
      <c r="O6" s="1077"/>
      <c r="P6" s="3300"/>
      <c r="Q6" s="3301"/>
      <c r="R6" s="3281"/>
      <c r="S6" s="3282"/>
      <c r="T6" s="3302"/>
      <c r="U6" s="3303"/>
      <c r="V6" s="3304"/>
      <c r="W6" s="3304"/>
      <c r="X6" s="1740"/>
      <c r="Y6" s="3302"/>
      <c r="Z6" s="3303"/>
      <c r="AA6" s="3276"/>
      <c r="AB6" s="3276"/>
      <c r="AC6" s="3276"/>
    </row>
    <row r="7" spans="1:30" s="72" customFormat="1" ht="15.75" thickBot="1">
      <c r="A7" s="351" t="s">
        <v>2419</v>
      </c>
      <c r="B7" s="352"/>
      <c r="C7" s="353">
        <f>'数据-取费表'!B2</f>
        <v>43284</v>
      </c>
      <c r="D7" s="354">
        <v>100</v>
      </c>
      <c r="E7" s="355" t="str">
        <f>土地案例!K22</f>
        <v>2017-03-29</v>
      </c>
      <c r="F7" s="356">
        <f>SUMIF(70:70,YEAR(E7)&amp;"-"&amp;INT((MONTH(E7)+2)/3),71:71)</f>
        <v>97</v>
      </c>
      <c r="G7" s="2559" t="str">
        <f>土地案例!K33</f>
        <v>2016-07-01</v>
      </c>
      <c r="H7" s="354">
        <f>SUMIF(70:70,YEAR(G7)&amp;"-"&amp;INT((MONTH(G7)+2)/3),71:71)</f>
        <v>96</v>
      </c>
      <c r="I7" s="2559" t="str">
        <f>土地案例!K35</f>
        <v>2016-05-11</v>
      </c>
      <c r="J7" s="354">
        <f>SUMIF(70:70,YEAR(I7)&amp;"-"&amp;INT((MONTH(I7)+2)/3),71:71)</f>
        <v>95.5</v>
      </c>
      <c r="K7" s="554"/>
      <c r="L7" s="1078"/>
      <c r="M7" s="1079"/>
      <c r="N7" s="1079"/>
      <c r="O7" s="1079"/>
      <c r="P7" s="3277" t="s">
        <v>2420</v>
      </c>
      <c r="Q7" s="3305"/>
      <c r="R7" s="713" t="s">
        <v>17</v>
      </c>
      <c r="S7" s="714">
        <f t="shared" ref="S7:S15" si="0">F7</f>
        <v>97</v>
      </c>
      <c r="T7" s="713" t="s">
        <v>17</v>
      </c>
      <c r="U7" s="714">
        <f t="shared" ref="U7:U15" si="1">H7</f>
        <v>96</v>
      </c>
      <c r="V7" s="713" t="s">
        <v>17</v>
      </c>
      <c r="W7" s="714">
        <f t="shared" ref="W7:W15" si="2">J7</f>
        <v>95.5</v>
      </c>
      <c r="X7" s="715"/>
      <c r="Y7" s="3277" t="s">
        <v>2420</v>
      </c>
      <c r="Z7" s="3278"/>
      <c r="AA7" s="716">
        <f>D7/F7</f>
        <v>1.0309278350515463</v>
      </c>
      <c r="AB7" s="716">
        <f>D7/H7</f>
        <v>1.0416666666666667</v>
      </c>
      <c r="AC7" s="716">
        <f>D7/J7</f>
        <v>1.0471204188481675</v>
      </c>
    </row>
    <row r="8" spans="1:30" s="72" customFormat="1" ht="15.75" thickBot="1">
      <c r="A8" s="351" t="s">
        <v>2421</v>
      </c>
      <c r="B8" s="352"/>
      <c r="C8" s="357" t="s">
        <v>2422</v>
      </c>
      <c r="D8" s="354">
        <v>100</v>
      </c>
      <c r="E8" s="357" t="s">
        <v>3163</v>
      </c>
      <c r="F8" s="356">
        <f>SUMIF(73:73,E8,74:74)-SUMIF(73:73,C8,74:74)+100</f>
        <v>100</v>
      </c>
      <c r="G8" s="357" t="s">
        <v>3163</v>
      </c>
      <c r="H8" s="354">
        <f>SUMIF(73:73,G8,74:74)-SUMIF(73:73,C8,74:74)+100</f>
        <v>100</v>
      </c>
      <c r="I8" s="357" t="s">
        <v>3163</v>
      </c>
      <c r="J8" s="354">
        <f>SUMIF(73:73,I8,74:74)-SUMIF(73:73,C8,74:74)+100</f>
        <v>100</v>
      </c>
      <c r="K8" s="554"/>
      <c r="L8" s="1078"/>
      <c r="M8" s="1079"/>
      <c r="N8" s="1079"/>
      <c r="O8" s="1079"/>
      <c r="P8" s="3277" t="s">
        <v>2423</v>
      </c>
      <c r="Q8" s="3278"/>
      <c r="R8" s="713" t="s">
        <v>17</v>
      </c>
      <c r="S8" s="714">
        <f t="shared" si="0"/>
        <v>100</v>
      </c>
      <c r="T8" s="713" t="s">
        <v>17</v>
      </c>
      <c r="U8" s="714">
        <f t="shared" si="1"/>
        <v>100</v>
      </c>
      <c r="V8" s="713" t="s">
        <v>17</v>
      </c>
      <c r="W8" s="714">
        <f t="shared" si="2"/>
        <v>100</v>
      </c>
      <c r="X8" s="715"/>
      <c r="Y8" s="3277" t="s">
        <v>2423</v>
      </c>
      <c r="Z8" s="3278"/>
      <c r="AA8" s="716">
        <f t="shared" ref="AA8:AA45" si="3">D8/F8</f>
        <v>1</v>
      </c>
      <c r="AB8" s="716">
        <f t="shared" ref="AB8:AB45" si="4">D8/H8</f>
        <v>1</v>
      </c>
      <c r="AC8" s="716">
        <f t="shared" ref="AC8:AC45" si="5">D8/J8</f>
        <v>1</v>
      </c>
    </row>
    <row r="9" spans="1:30" s="72" customFormat="1">
      <c r="A9" s="358" t="s">
        <v>2424</v>
      </c>
      <c r="B9" s="70" t="s">
        <v>2425</v>
      </c>
      <c r="C9" s="2562" t="s">
        <v>3193</v>
      </c>
      <c r="D9" s="78">
        <v>100</v>
      </c>
      <c r="E9" s="2562" t="s">
        <v>2980</v>
      </c>
      <c r="F9" s="78">
        <f>SUMIF(75:75,E9,76:76)-SUMIF(75:75,C9,76:76)+100</f>
        <v>100</v>
      </c>
      <c r="G9" s="2562" t="s">
        <v>2980</v>
      </c>
      <c r="H9" s="78">
        <f>SUMIF(75:75,G9,76:76)-SUMIF(75:75,C9,76:76)+100</f>
        <v>100</v>
      </c>
      <c r="I9" s="2562" t="s">
        <v>2980</v>
      </c>
      <c r="J9" s="78">
        <f>SUMIF(75:75,I9,76:76)-SUMIF(75:75,C9,76:76)+100</f>
        <v>100</v>
      </c>
      <c r="K9" s="554"/>
      <c r="L9" s="1078"/>
      <c r="M9" s="1079"/>
      <c r="N9" s="1079"/>
      <c r="O9" s="1080"/>
      <c r="P9" s="3291"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716">
        <f t="shared" si="5"/>
        <v>1</v>
      </c>
    </row>
    <row r="10" spans="1:30" s="370" customFormat="1" ht="27">
      <c r="A10" s="364"/>
      <c r="B10" s="365" t="s">
        <v>2428</v>
      </c>
      <c r="C10" s="375">
        <f>项目基本情况!D15</f>
        <v>68.010000000000005</v>
      </c>
      <c r="D10" s="79">
        <v>100</v>
      </c>
      <c r="E10" s="408" t="s">
        <v>3164</v>
      </c>
      <c r="F10" s="79">
        <f>ROUND(100/'数据-取费表'!G16,0)</f>
        <v>101</v>
      </c>
      <c r="G10" s="406" t="s">
        <v>3165</v>
      </c>
      <c r="H10" s="79">
        <f>ROUND(100/'数据-取费表'!G16,0)</f>
        <v>101</v>
      </c>
      <c r="I10" s="406" t="s">
        <v>3165</v>
      </c>
      <c r="J10" s="79">
        <f>ROUND(100/'数据-取费表'!G16,0)</f>
        <v>101</v>
      </c>
      <c r="K10" s="615"/>
      <c r="L10" s="1081"/>
      <c r="M10" s="1082"/>
      <c r="N10" s="1082"/>
      <c r="O10" s="1083"/>
      <c r="P10" s="3291"/>
      <c r="Q10" s="1723" t="str">
        <f t="shared" si="6"/>
        <v>土地使用年限（年）</v>
      </c>
      <c r="R10" s="713" t="s">
        <v>17</v>
      </c>
      <c r="S10" s="714">
        <f t="shared" si="0"/>
        <v>101</v>
      </c>
      <c r="T10" s="713" t="s">
        <v>17</v>
      </c>
      <c r="U10" s="714">
        <f t="shared" si="1"/>
        <v>101</v>
      </c>
      <c r="V10" s="713" t="s">
        <v>17</v>
      </c>
      <c r="W10" s="714">
        <f t="shared" si="2"/>
        <v>101</v>
      </c>
      <c r="X10" s="715"/>
      <c r="Y10" s="3113"/>
      <c r="Z10" s="54" t="str">
        <f t="shared" si="7"/>
        <v>土地使用年限（年）</v>
      </c>
      <c r="AA10" s="716">
        <f t="shared" si="3"/>
        <v>0.99009900990099009</v>
      </c>
      <c r="AB10" s="716">
        <f t="shared" si="4"/>
        <v>0.99009900990099009</v>
      </c>
      <c r="AC10" s="716">
        <f t="shared" si="5"/>
        <v>0.99009900990099009</v>
      </c>
    </row>
    <row r="11" spans="1:30" ht="15">
      <c r="A11" s="371"/>
      <c r="B11" s="365" t="s">
        <v>2429</v>
      </c>
      <c r="C11" s="372">
        <f>'数据-汇总表'!I6</f>
        <v>1.9</v>
      </c>
      <c r="D11" s="79">
        <v>100</v>
      </c>
      <c r="E11" s="372">
        <v>1.2</v>
      </c>
      <c r="F11" s="79">
        <f>LOOKUP(E11,80:80,81:81)-LOOKUP(C11,80:80,81:81)+100</f>
        <v>109</v>
      </c>
      <c r="G11" s="373">
        <v>1.4</v>
      </c>
      <c r="H11" s="79">
        <f>LOOKUP(G11,80:80,81:81)-LOOKUP(C11,80:80,81:81)+100</f>
        <v>106</v>
      </c>
      <c r="I11" s="372">
        <v>1.6</v>
      </c>
      <c r="J11" s="79">
        <f>LOOKUP(I11,80:80,81:81)-LOOKUP(C11,80:80,81:81)+100</f>
        <v>103</v>
      </c>
      <c r="K11" s="616">
        <v>3</v>
      </c>
      <c r="L11" s="1084"/>
      <c r="M11" s="1077"/>
      <c r="N11" s="1077"/>
      <c r="O11" s="1085"/>
      <c r="P11" s="3291"/>
      <c r="Q11" s="1723" t="str">
        <f t="shared" si="6"/>
        <v>容积率</v>
      </c>
      <c r="R11" s="713" t="s">
        <v>17</v>
      </c>
      <c r="S11" s="714">
        <f t="shared" si="0"/>
        <v>109</v>
      </c>
      <c r="T11" s="713" t="s">
        <v>17</v>
      </c>
      <c r="U11" s="714">
        <f t="shared" si="1"/>
        <v>106</v>
      </c>
      <c r="V11" s="713" t="s">
        <v>17</v>
      </c>
      <c r="W11" s="714">
        <f t="shared" si="2"/>
        <v>103</v>
      </c>
      <c r="X11" s="715"/>
      <c r="Y11" s="3113"/>
      <c r="Z11" s="54" t="str">
        <f t="shared" si="7"/>
        <v>容积率</v>
      </c>
      <c r="AA11" s="716">
        <f t="shared" si="3"/>
        <v>0.91743119266055051</v>
      </c>
      <c r="AB11" s="716">
        <f t="shared" si="4"/>
        <v>0.94339622641509435</v>
      </c>
      <c r="AC11" s="716">
        <f t="shared" si="5"/>
        <v>0.970873786407767</v>
      </c>
    </row>
    <row r="12" spans="1:30" s="72" customFormat="1" ht="15" hidden="1">
      <c r="A12" s="374"/>
      <c r="B12" s="2465"/>
      <c r="C12" s="375"/>
      <c r="D12" s="376">
        <v>100</v>
      </c>
      <c r="E12" s="408"/>
      <c r="F12" s="79">
        <f>SUMIF(82:82,E12,83:83)-SUMIF(82:82,C12,83:83)+100</f>
        <v>100</v>
      </c>
      <c r="G12" s="406"/>
      <c r="H12" s="79">
        <f>SUMIF(82:82,G12,83:83)-SUMIF(82:82,C12,83:83)+100</f>
        <v>100</v>
      </c>
      <c r="I12" s="408"/>
      <c r="J12" s="79">
        <f>SUMIF(82:82,I12,83:83)-SUMIF(82:82,C12,83:83)+100</f>
        <v>100</v>
      </c>
      <c r="K12" s="615"/>
      <c r="L12" s="1078"/>
      <c r="M12" s="1079"/>
      <c r="N12" s="1079"/>
      <c r="O12" s="1080"/>
      <c r="P12" s="3291"/>
      <c r="Q12" s="1723">
        <f t="shared" si="6"/>
        <v>0</v>
      </c>
      <c r="R12" s="713" t="s">
        <v>17</v>
      </c>
      <c r="S12" s="714">
        <f t="shared" si="0"/>
        <v>100</v>
      </c>
      <c r="T12" s="713" t="s">
        <v>17</v>
      </c>
      <c r="U12" s="714">
        <f t="shared" si="1"/>
        <v>100</v>
      </c>
      <c r="V12" s="713" t="s">
        <v>17</v>
      </c>
      <c r="W12" s="714">
        <f t="shared" si="2"/>
        <v>100</v>
      </c>
      <c r="X12" s="715"/>
      <c r="Y12" s="3113"/>
      <c r="Z12" s="54">
        <f t="shared" si="7"/>
        <v>0</v>
      </c>
      <c r="AA12" s="716">
        <f>D12/F12</f>
        <v>1</v>
      </c>
      <c r="AB12" s="716">
        <f>D12/H12</f>
        <v>1</v>
      </c>
      <c r="AC12" s="716">
        <f>D12/J12</f>
        <v>1</v>
      </c>
    </row>
    <row r="13" spans="1:30" ht="27.75">
      <c r="A13" s="371"/>
      <c r="B13" s="2465"/>
      <c r="C13" s="617" t="s">
        <v>3187</v>
      </c>
      <c r="D13" s="378">
        <v>100</v>
      </c>
      <c r="E13" s="617" t="s">
        <v>3188</v>
      </c>
      <c r="F13" s="79">
        <f>SUMIF(84:84,E13,85:85)-SUMIF(84:84,C13,85:85)+100</f>
        <v>100</v>
      </c>
      <c r="G13" s="617" t="s">
        <v>3188</v>
      </c>
      <c r="H13" s="378">
        <f>SUMIF(84:84,G13,85:85)-SUMIF(84:84,C13,85:85)+100</f>
        <v>100</v>
      </c>
      <c r="I13" s="617" t="s">
        <v>3187</v>
      </c>
      <c r="J13" s="378">
        <f>SUMIF(84:84,I13,85:85)-SUMIF(84:84,C13,85:85)+100</f>
        <v>100</v>
      </c>
      <c r="K13" s="615"/>
      <c r="L13" s="1086"/>
      <c r="M13" s="1077"/>
      <c r="N13" s="1077"/>
      <c r="O13" s="1085"/>
      <c r="P13" s="3291"/>
      <c r="Q13" s="1723">
        <f t="shared" si="6"/>
        <v>0</v>
      </c>
      <c r="R13" s="713" t="s">
        <v>17</v>
      </c>
      <c r="S13" s="714">
        <f t="shared" si="0"/>
        <v>100</v>
      </c>
      <c r="T13" s="713" t="s">
        <v>17</v>
      </c>
      <c r="U13" s="714">
        <f t="shared" si="1"/>
        <v>100</v>
      </c>
      <c r="V13" s="713" t="s">
        <v>17</v>
      </c>
      <c r="W13" s="714">
        <f t="shared" si="2"/>
        <v>100</v>
      </c>
      <c r="X13" s="715"/>
      <c r="Y13" s="3113"/>
      <c r="Z13" s="54">
        <f t="shared" si="7"/>
        <v>0</v>
      </c>
      <c r="AA13" s="716">
        <f>D13/F13</f>
        <v>1</v>
      </c>
      <c r="AB13" s="716">
        <f>D13/H13</f>
        <v>1</v>
      </c>
      <c r="AC13" s="716">
        <f>D13/J13</f>
        <v>1</v>
      </c>
    </row>
    <row r="14" spans="1:30" ht="28.5" thickBot="1">
      <c r="A14" s="379"/>
      <c r="B14" s="2467"/>
      <c r="C14" s="617" t="s">
        <v>3246</v>
      </c>
      <c r="D14" s="381">
        <v>100</v>
      </c>
      <c r="E14" s="617" t="s">
        <v>3191</v>
      </c>
      <c r="F14" s="381">
        <f>SUMIF(86:86,E14,87:87)-SUMIF(86:86,C14,87:87)+100</f>
        <v>100</v>
      </c>
      <c r="G14" s="617" t="s">
        <v>3189</v>
      </c>
      <c r="H14" s="381">
        <f>SUMIF(86:86,G14,87:87)-SUMIF(86:86,C14,87:87)+100</f>
        <v>100</v>
      </c>
      <c r="I14" s="617" t="s">
        <v>3190</v>
      </c>
      <c r="J14" s="381">
        <f>SUMIF(86:86,I14,87:87)-SUMIF(86:86,C14,87:87)+100</f>
        <v>100</v>
      </c>
      <c r="K14" s="615"/>
      <c r="L14" s="1086"/>
      <c r="M14" s="1077"/>
      <c r="N14" s="1077"/>
      <c r="O14" s="1085"/>
      <c r="P14" s="3291"/>
      <c r="Q14" s="1723">
        <f t="shared" si="6"/>
        <v>0</v>
      </c>
      <c r="R14" s="713" t="s">
        <v>17</v>
      </c>
      <c r="S14" s="714">
        <f t="shared" si="0"/>
        <v>100</v>
      </c>
      <c r="T14" s="713" t="s">
        <v>17</v>
      </c>
      <c r="U14" s="714">
        <f t="shared" si="1"/>
        <v>100</v>
      </c>
      <c r="V14" s="713" t="s">
        <v>17</v>
      </c>
      <c r="W14" s="714">
        <f t="shared" si="2"/>
        <v>100</v>
      </c>
      <c r="X14" s="715"/>
      <c r="Y14" s="3113"/>
      <c r="Z14" s="54">
        <f t="shared" si="7"/>
        <v>0</v>
      </c>
      <c r="AA14" s="716">
        <f>D14/F14</f>
        <v>1</v>
      </c>
      <c r="AB14" s="716">
        <f>D14/H14</f>
        <v>1</v>
      </c>
      <c r="AC14" s="716">
        <f>D14/J14</f>
        <v>1</v>
      </c>
    </row>
    <row r="15" spans="1:30" ht="99.75">
      <c r="A15" s="383" t="s">
        <v>2430</v>
      </c>
      <c r="B15" s="68" t="s">
        <v>1968</v>
      </c>
      <c r="C15" s="2468" t="str">
        <f>估价对象房地状况!C15</f>
        <v>估价对象周边居住用地比例、居住小区规模和社区发展完善程度，综合评价居住社区成熟度一般</v>
      </c>
      <c r="D15" s="384">
        <v>100</v>
      </c>
      <c r="E15" s="385"/>
      <c r="F15" s="384">
        <f>SUMIF(88:88,E16,89:89)-SUMIF(88:88,C16,89:89)+100</f>
        <v>95</v>
      </c>
      <c r="G15" s="387"/>
      <c r="H15" s="384">
        <f>SUMIF(88:88,G16,89:89)-SUMIF(88:88,C16,89:89)+100</f>
        <v>100</v>
      </c>
      <c r="I15" s="387"/>
      <c r="J15" s="384">
        <f>SUMIF(88:88,I16,89:89)-SUMIF(88:88,C16,89:89)+100</f>
        <v>100</v>
      </c>
      <c r="K15" s="616">
        <v>5</v>
      </c>
      <c r="L15" s="1086"/>
      <c r="M15" s="1077"/>
      <c r="N15" s="1077"/>
      <c r="O15" s="1085"/>
      <c r="P15" s="3306" t="s">
        <v>2431</v>
      </c>
      <c r="Q15" s="1737" t="str">
        <f t="shared" si="6"/>
        <v>居住社区成熟度</v>
      </c>
      <c r="R15" s="717" t="s">
        <v>17</v>
      </c>
      <c r="S15" s="718">
        <f t="shared" si="0"/>
        <v>95</v>
      </c>
      <c r="T15" s="717" t="s">
        <v>17</v>
      </c>
      <c r="U15" s="718">
        <f t="shared" si="1"/>
        <v>100</v>
      </c>
      <c r="V15" s="717" t="s">
        <v>17</v>
      </c>
      <c r="W15" s="718">
        <f t="shared" si="2"/>
        <v>100</v>
      </c>
      <c r="X15" s="1740"/>
      <c r="Y15" s="3306" t="s">
        <v>2431</v>
      </c>
      <c r="Z15" s="1741" t="str">
        <f t="shared" si="7"/>
        <v>居住社区成熟度</v>
      </c>
      <c r="AA15" s="1738">
        <f t="shared" si="3"/>
        <v>1.0526315789473684</v>
      </c>
      <c r="AB15" s="1738">
        <f t="shared" si="4"/>
        <v>1</v>
      </c>
      <c r="AC15" s="1738">
        <f t="shared" si="5"/>
        <v>1</v>
      </c>
    </row>
    <row r="16" spans="1:30" ht="15">
      <c r="A16" s="371"/>
      <c r="B16" s="389"/>
      <c r="C16" s="390" t="s">
        <v>3185</v>
      </c>
      <c r="D16" s="391"/>
      <c r="E16" s="2470" t="s">
        <v>3255</v>
      </c>
      <c r="F16" s="391"/>
      <c r="G16" s="2469" t="s">
        <v>3185</v>
      </c>
      <c r="H16" s="393"/>
      <c r="I16" s="2469" t="s">
        <v>3185</v>
      </c>
      <c r="J16" s="391"/>
      <c r="K16" s="615"/>
      <c r="L16" s="1086"/>
      <c r="M16" s="1077"/>
      <c r="N16" s="1077"/>
      <c r="O16" s="1085"/>
      <c r="P16" s="3307"/>
      <c r="Q16" s="1737"/>
      <c r="R16" s="717"/>
      <c r="S16" s="718"/>
      <c r="T16" s="717"/>
      <c r="U16" s="718"/>
      <c r="V16" s="717"/>
      <c r="W16" s="718"/>
      <c r="X16" s="1740"/>
      <c r="Y16" s="3307"/>
      <c r="Z16" s="1741"/>
      <c r="AA16" s="1738">
        <v>1</v>
      </c>
      <c r="AB16" s="1738">
        <v>1</v>
      </c>
      <c r="AC16" s="1738">
        <v>1</v>
      </c>
    </row>
    <row r="17" spans="1:29" ht="71.25" hidden="1">
      <c r="A17" s="371"/>
      <c r="B17" s="394" t="s">
        <v>2524</v>
      </c>
      <c r="C17" s="2527" t="str">
        <f>估价对象房地状况!C16</f>
        <v>估价对象位于XX商圈，周边商业氛围成熟，人流量大，商业繁华度好</v>
      </c>
      <c r="D17" s="393">
        <v>100</v>
      </c>
      <c r="E17" s="395"/>
      <c r="F17" s="393">
        <f>SUMIF(90:90,E18,91:91)-SUMIF(90:90,C18,91:91)+100</f>
        <v>100</v>
      </c>
      <c r="G17" s="397"/>
      <c r="H17" s="398">
        <f>SUMIF(90:90,G18,91:91)-SUMIF(90:90,C18,91:91)+100</f>
        <v>100</v>
      </c>
      <c r="I17" s="397"/>
      <c r="J17" s="398">
        <f>SUMIF(90:90,I18,91:91)-SUMIF(90:90,C18,91:91)+100</f>
        <v>100</v>
      </c>
      <c r="K17" s="616"/>
      <c r="L17" s="1086"/>
      <c r="M17" s="1077"/>
      <c r="N17" s="1077"/>
      <c r="O17" s="1085"/>
      <c r="P17" s="3307"/>
      <c r="Q17" s="1737" t="str">
        <f>B17</f>
        <v>商业繁华度</v>
      </c>
      <c r="R17" s="717" t="s">
        <v>17</v>
      </c>
      <c r="S17" s="718">
        <f>F17</f>
        <v>100</v>
      </c>
      <c r="T17" s="717" t="s">
        <v>17</v>
      </c>
      <c r="U17" s="718">
        <f>H17</f>
        <v>100</v>
      </c>
      <c r="V17" s="717" t="s">
        <v>17</v>
      </c>
      <c r="W17" s="718">
        <f>J17</f>
        <v>100</v>
      </c>
      <c r="X17" s="1740"/>
      <c r="Y17" s="3307"/>
      <c r="Z17" s="1741" t="str">
        <f>Q17</f>
        <v>商业繁华度</v>
      </c>
      <c r="AA17" s="1738">
        <f t="shared" si="3"/>
        <v>1</v>
      </c>
      <c r="AB17" s="1738">
        <f t="shared" si="4"/>
        <v>1</v>
      </c>
      <c r="AC17" s="1738">
        <f t="shared" si="5"/>
        <v>1</v>
      </c>
    </row>
    <row r="18" spans="1:29" ht="15" hidden="1">
      <c r="A18" s="371"/>
      <c r="B18" s="399"/>
      <c r="C18" s="2473"/>
      <c r="D18" s="393"/>
      <c r="E18" s="2475"/>
      <c r="F18" s="393"/>
      <c r="G18" s="2474"/>
      <c r="H18" s="391"/>
      <c r="I18" s="2474"/>
      <c r="J18" s="391"/>
      <c r="K18" s="615"/>
      <c r="L18" s="1086"/>
      <c r="M18" s="1077"/>
      <c r="N18" s="1077"/>
      <c r="O18" s="1085"/>
      <c r="P18" s="3307"/>
      <c r="Q18" s="1737"/>
      <c r="R18" s="717"/>
      <c r="S18" s="718"/>
      <c r="T18" s="717"/>
      <c r="U18" s="718"/>
      <c r="V18" s="717"/>
      <c r="W18" s="718"/>
      <c r="X18" s="1740"/>
      <c r="Y18" s="3307"/>
      <c r="Z18" s="1741"/>
      <c r="AA18" s="1738">
        <v>1</v>
      </c>
      <c r="AB18" s="1738">
        <v>1</v>
      </c>
      <c r="AC18" s="1738">
        <v>1</v>
      </c>
    </row>
    <row r="19" spans="1:29" ht="15" hidden="1">
      <c r="A19" s="371"/>
      <c r="B19" s="394" t="s">
        <v>2558</v>
      </c>
      <c r="C19" s="2527">
        <f>估价对象房地状况!C17</f>
        <v>0</v>
      </c>
      <c r="D19" s="398">
        <v>100</v>
      </c>
      <c r="E19" s="400"/>
      <c r="F19" s="398">
        <f>SUMIF(92:92,E20,93:93)-SUMIF(92:92,C20,93:93)+100</f>
        <v>100</v>
      </c>
      <c r="G19" s="402"/>
      <c r="H19" s="393">
        <f>SUMIF(92:92,G20,93:93)-SUMIF(92:92,C20,93:93)+100</f>
        <v>100</v>
      </c>
      <c r="I19" s="402"/>
      <c r="J19" s="393">
        <f>SUMIF(92:92,I20,93:93)-SUMIF(92:92,C20,93:93)+100</f>
        <v>100</v>
      </c>
      <c r="K19" s="616"/>
      <c r="L19" s="1086"/>
      <c r="M19" s="1077"/>
      <c r="N19" s="1077"/>
      <c r="O19" s="1085"/>
      <c r="P19" s="3307"/>
      <c r="Q19" s="1737" t="str">
        <f>B19</f>
        <v>办公集聚程度</v>
      </c>
      <c r="R19" s="717" t="s">
        <v>17</v>
      </c>
      <c r="S19" s="718">
        <f>F19</f>
        <v>100</v>
      </c>
      <c r="T19" s="717" t="s">
        <v>17</v>
      </c>
      <c r="U19" s="718">
        <f>H19</f>
        <v>100</v>
      </c>
      <c r="V19" s="717" t="s">
        <v>17</v>
      </c>
      <c r="W19" s="718">
        <f>J19</f>
        <v>100</v>
      </c>
      <c r="X19" s="1740"/>
      <c r="Y19" s="3307"/>
      <c r="Z19" s="1741" t="str">
        <f>Q19</f>
        <v>办公集聚程度</v>
      </c>
      <c r="AA19" s="1738">
        <f t="shared" si="3"/>
        <v>1</v>
      </c>
      <c r="AB19" s="1738">
        <f t="shared" si="4"/>
        <v>1</v>
      </c>
      <c r="AC19" s="1738">
        <f t="shared" si="5"/>
        <v>1</v>
      </c>
    </row>
    <row r="20" spans="1:29" ht="15" hidden="1">
      <c r="A20" s="371"/>
      <c r="B20" s="399"/>
      <c r="C20" s="390"/>
      <c r="D20" s="391"/>
      <c r="E20" s="2470"/>
      <c r="F20" s="391"/>
      <c r="G20" s="2469"/>
      <c r="H20" s="391"/>
      <c r="I20" s="2469"/>
      <c r="J20" s="391"/>
      <c r="K20" s="615"/>
      <c r="L20" s="1086"/>
      <c r="M20" s="1077"/>
      <c r="N20" s="1077"/>
      <c r="O20" s="1085"/>
      <c r="P20" s="3307"/>
      <c r="Q20" s="1737"/>
      <c r="R20" s="717"/>
      <c r="S20" s="718"/>
      <c r="T20" s="717"/>
      <c r="U20" s="718"/>
      <c r="V20" s="717"/>
      <c r="W20" s="718"/>
      <c r="X20" s="1740"/>
      <c r="Y20" s="3307"/>
      <c r="Z20" s="1741"/>
      <c r="AA20" s="1738">
        <v>1</v>
      </c>
      <c r="AB20" s="1738">
        <v>1</v>
      </c>
      <c r="AC20" s="1738">
        <v>1</v>
      </c>
    </row>
    <row r="21" spans="1:29" ht="85.5">
      <c r="A21" s="371"/>
      <c r="B21" s="394" t="s">
        <v>2580</v>
      </c>
      <c r="C21" s="2472" t="str">
        <f>估价对象房地状况!C18</f>
        <v>估价对象周边道路状况、公共交通通达情况、停车便捷程度，综合评价交通便捷度较好</v>
      </c>
      <c r="D21" s="393">
        <v>100</v>
      </c>
      <c r="E21" s="397"/>
      <c r="F21" s="398">
        <f>SUMIF(94:94,E22,95:95)-SUMIF(94:94,C22,95:95)+100</f>
        <v>100</v>
      </c>
      <c r="G21" s="397"/>
      <c r="H21" s="393">
        <f>SUMIF(94:94,G22,95:95)-SUMIF(94:94,C22,95:95)+100</f>
        <v>100</v>
      </c>
      <c r="I21" s="397"/>
      <c r="J21" s="393">
        <f>SUMIF(94:94,I22,95:95)-SUMIF(94:94,C22,95:95)+100</f>
        <v>100</v>
      </c>
      <c r="K21" s="616">
        <v>3</v>
      </c>
      <c r="L21" s="1086"/>
      <c r="M21" s="1077"/>
      <c r="N21" s="1077"/>
      <c r="O21" s="1085"/>
      <c r="P21" s="3307"/>
      <c r="Q21" s="1737" t="str">
        <f>B21</f>
        <v>交通便捷度</v>
      </c>
      <c r="R21" s="717" t="s">
        <v>17</v>
      </c>
      <c r="S21" s="718">
        <f>F21</f>
        <v>100</v>
      </c>
      <c r="T21" s="717" t="s">
        <v>17</v>
      </c>
      <c r="U21" s="718">
        <f>H21</f>
        <v>100</v>
      </c>
      <c r="V21" s="717" t="s">
        <v>17</v>
      </c>
      <c r="W21" s="718">
        <f>J21</f>
        <v>100</v>
      </c>
      <c r="X21" s="1740"/>
      <c r="Y21" s="3307"/>
      <c r="Z21" s="1741" t="str">
        <f>Q21</f>
        <v>交通便捷度</v>
      </c>
      <c r="AA21" s="1738">
        <f t="shared" si="3"/>
        <v>1</v>
      </c>
      <c r="AB21" s="1738">
        <f t="shared" si="4"/>
        <v>1</v>
      </c>
      <c r="AC21" s="1738">
        <f t="shared" si="5"/>
        <v>1</v>
      </c>
    </row>
    <row r="22" spans="1:29" ht="15">
      <c r="A22" s="371"/>
      <c r="B22" s="1316"/>
      <c r="C22" s="390" t="s">
        <v>3178</v>
      </c>
      <c r="D22" s="393"/>
      <c r="E22" s="2469" t="s">
        <v>3178</v>
      </c>
      <c r="F22" s="391"/>
      <c r="G22" s="2469" t="s">
        <v>3178</v>
      </c>
      <c r="H22" s="391"/>
      <c r="I22" s="2469" t="s">
        <v>3178</v>
      </c>
      <c r="J22" s="391"/>
      <c r="K22" s="615"/>
      <c r="L22" s="1086"/>
      <c r="M22" s="1077"/>
      <c r="N22" s="1077"/>
      <c r="O22" s="1085"/>
      <c r="P22" s="3307"/>
      <c r="Q22" s="1737"/>
      <c r="R22" s="717"/>
      <c r="S22" s="718"/>
      <c r="T22" s="717"/>
      <c r="U22" s="718"/>
      <c r="V22" s="717"/>
      <c r="W22" s="718"/>
      <c r="X22" s="1740"/>
      <c r="Y22" s="3307"/>
      <c r="Z22" s="1741"/>
      <c r="AA22" s="1738">
        <v>1</v>
      </c>
      <c r="AB22" s="1738">
        <v>1</v>
      </c>
      <c r="AC22" s="1738">
        <v>1</v>
      </c>
    </row>
    <row r="23" spans="1:29" ht="15">
      <c r="A23" s="347"/>
      <c r="B23" s="394" t="s">
        <v>2618</v>
      </c>
      <c r="C23" s="1321">
        <f>估价对象房地状况!C19</f>
        <v>0</v>
      </c>
      <c r="D23" s="398">
        <v>100</v>
      </c>
      <c r="E23" s="397"/>
      <c r="F23" s="398">
        <f>SUMIF(96:96,E24,97:97)-SUMIF(96:96,C24,97:97)+100</f>
        <v>100</v>
      </c>
      <c r="G23" s="397"/>
      <c r="H23" s="398">
        <f>SUMIF(96:96,G24,97:97)-SUMIF(96:96,C24,97:97)+100</f>
        <v>100</v>
      </c>
      <c r="I23" s="397"/>
      <c r="J23" s="398">
        <f>SUMIF(96:96,I24,97:97)-SUMIF(96:96,C24,97:97)+100</f>
        <v>100</v>
      </c>
      <c r="K23" s="616">
        <v>5</v>
      </c>
      <c r="L23" s="1086"/>
      <c r="M23" s="1077"/>
      <c r="N23" s="1077"/>
      <c r="O23" s="1085"/>
      <c r="P23" s="3307"/>
      <c r="Q23" s="1737" t="str">
        <f t="shared" ref="Q23:Q37" si="8">B23</f>
        <v>区域土地利用方向</v>
      </c>
      <c r="R23" s="717" t="s">
        <v>17</v>
      </c>
      <c r="S23" s="718">
        <f>F23</f>
        <v>100</v>
      </c>
      <c r="T23" s="717" t="s">
        <v>17</v>
      </c>
      <c r="U23" s="718">
        <f>H23</f>
        <v>100</v>
      </c>
      <c r="V23" s="717" t="s">
        <v>17</v>
      </c>
      <c r="W23" s="718">
        <f>J23</f>
        <v>100</v>
      </c>
      <c r="X23" s="1740"/>
      <c r="Y23" s="3307"/>
      <c r="Z23" s="1741" t="str">
        <f>Q23</f>
        <v>区域土地利用方向</v>
      </c>
      <c r="AA23" s="1738">
        <f t="shared" si="3"/>
        <v>1</v>
      </c>
      <c r="AB23" s="1738">
        <f t="shared" si="4"/>
        <v>1</v>
      </c>
      <c r="AC23" s="1738">
        <f t="shared" si="5"/>
        <v>1</v>
      </c>
    </row>
    <row r="24" spans="1:29" ht="15">
      <c r="A24" s="347"/>
      <c r="B24" s="399"/>
      <c r="C24" s="559" t="s">
        <v>3178</v>
      </c>
      <c r="D24" s="391"/>
      <c r="E24" s="2469" t="s">
        <v>3178</v>
      </c>
      <c r="F24" s="391"/>
      <c r="G24" s="2469" t="s">
        <v>3178</v>
      </c>
      <c r="H24" s="391"/>
      <c r="I24" s="2469" t="s">
        <v>3178</v>
      </c>
      <c r="J24" s="391"/>
      <c r="K24" s="755"/>
      <c r="L24" s="1086"/>
      <c r="M24" s="1077"/>
      <c r="N24" s="1077"/>
      <c r="O24" s="1085"/>
      <c r="P24" s="3307"/>
      <c r="Q24" s="1737"/>
      <c r="R24" s="717"/>
      <c r="S24" s="718"/>
      <c r="T24" s="717"/>
      <c r="U24" s="718"/>
      <c r="V24" s="717"/>
      <c r="W24" s="718"/>
      <c r="X24" s="1740"/>
      <c r="Y24" s="3307"/>
      <c r="Z24" s="1741"/>
      <c r="AA24" s="1738"/>
      <c r="AB24" s="1738"/>
      <c r="AC24" s="1738"/>
    </row>
    <row r="25" spans="1:29" ht="27">
      <c r="A25" s="347"/>
      <c r="B25" s="1316" t="s">
        <v>2619</v>
      </c>
      <c r="C25" s="2527">
        <f>估价对象房地状况!C20</f>
        <v>0</v>
      </c>
      <c r="D25" s="393">
        <v>100</v>
      </c>
      <c r="E25" s="397"/>
      <c r="F25" s="393">
        <f>SUMIF(98:98,E26,99:99)-SUMIF(98:98,C26,99:99)+100</f>
        <v>100</v>
      </c>
      <c r="G25" s="397"/>
      <c r="H25" s="393">
        <f>SUMIF(98:98,G26,99:99)-SUMIF(98:98,C26,99:99)+100</f>
        <v>105</v>
      </c>
      <c r="I25" s="397"/>
      <c r="J25" s="393">
        <f>SUMIF(98:98,I26,99:99)-SUMIF(98:98,C26,99:99)+100</f>
        <v>100</v>
      </c>
      <c r="K25" s="616">
        <v>5</v>
      </c>
      <c r="L25" s="1086"/>
      <c r="M25" s="1077"/>
      <c r="N25" s="1077"/>
      <c r="O25" s="1085"/>
      <c r="P25" s="3307"/>
      <c r="Q25" s="1737" t="str">
        <f t="shared" si="8"/>
        <v>自然及人文环境状况</v>
      </c>
      <c r="R25" s="717" t="s">
        <v>17</v>
      </c>
      <c r="S25" s="718">
        <f>F25</f>
        <v>100</v>
      </c>
      <c r="T25" s="717" t="s">
        <v>17</v>
      </c>
      <c r="U25" s="718">
        <f>H25</f>
        <v>105</v>
      </c>
      <c r="V25" s="717" t="s">
        <v>17</v>
      </c>
      <c r="W25" s="718">
        <f>J25</f>
        <v>100</v>
      </c>
      <c r="X25" s="1740"/>
      <c r="Y25" s="3307"/>
      <c r="Z25" s="1741" t="str">
        <f>Q25</f>
        <v>自然及人文环境状况</v>
      </c>
      <c r="AA25" s="1738">
        <f t="shared" si="3"/>
        <v>1</v>
      </c>
      <c r="AB25" s="1738">
        <f t="shared" si="4"/>
        <v>0.95238095238095233</v>
      </c>
      <c r="AC25" s="1738">
        <f t="shared" si="5"/>
        <v>1</v>
      </c>
    </row>
    <row r="26" spans="1:29" ht="15">
      <c r="A26" s="347"/>
      <c r="B26" s="399"/>
      <c r="C26" s="390" t="s">
        <v>3178</v>
      </c>
      <c r="D26" s="391"/>
      <c r="E26" s="390" t="s">
        <v>3178</v>
      </c>
      <c r="F26" s="391"/>
      <c r="G26" s="390" t="s">
        <v>3318</v>
      </c>
      <c r="H26" s="391"/>
      <c r="I26" s="390" t="s">
        <v>3178</v>
      </c>
      <c r="J26" s="391"/>
      <c r="K26" s="615"/>
      <c r="L26" s="1086"/>
      <c r="M26" s="1077"/>
      <c r="N26" s="1077"/>
      <c r="O26" s="1085"/>
      <c r="P26" s="3307"/>
      <c r="Q26" s="1737"/>
      <c r="R26" s="717"/>
      <c r="S26" s="718"/>
      <c r="T26" s="717"/>
      <c r="U26" s="718"/>
      <c r="V26" s="717"/>
      <c r="W26" s="718"/>
      <c r="X26" s="1740"/>
      <c r="Y26" s="3307"/>
      <c r="Z26" s="1741"/>
      <c r="AA26" s="1738">
        <v>1</v>
      </c>
      <c r="AB26" s="1738">
        <v>1</v>
      </c>
      <c r="AC26" s="1738">
        <v>1</v>
      </c>
    </row>
    <row r="27" spans="1:29" s="72" customFormat="1" ht="15">
      <c r="A27" s="592"/>
      <c r="B27" s="1316" t="s">
        <v>2525</v>
      </c>
      <c r="C27" s="2472">
        <f>估价对象房地状况!C21</f>
        <v>0</v>
      </c>
      <c r="D27" s="393">
        <v>100</v>
      </c>
      <c r="E27" s="397"/>
      <c r="F27" s="393">
        <f>SUMIF(100:100,E28,101:101)-SUMIF(100:100,C28,101:101)+100</f>
        <v>95</v>
      </c>
      <c r="G27" s="397"/>
      <c r="H27" s="393">
        <f>SUMIF(100:100,G28,101:101)-SUMIF(100:100,C28,101:101)+100</f>
        <v>100</v>
      </c>
      <c r="I27" s="397"/>
      <c r="J27" s="393">
        <f>SUMIF(100:100,I28,101:101)-SUMIF(100:100,C28,101:101)+100</f>
        <v>100</v>
      </c>
      <c r="K27" s="616">
        <v>5</v>
      </c>
      <c r="L27" s="1078"/>
      <c r="M27" s="1079"/>
      <c r="N27" s="1079"/>
      <c r="O27" s="1080"/>
      <c r="P27" s="3307"/>
      <c r="Q27" s="1723" t="str">
        <f t="shared" si="8"/>
        <v>公共配套设施</v>
      </c>
      <c r="R27" s="713" t="s">
        <v>17</v>
      </c>
      <c r="S27" s="714">
        <f>F27</f>
        <v>95</v>
      </c>
      <c r="T27" s="713" t="s">
        <v>17</v>
      </c>
      <c r="U27" s="714">
        <f>H27</f>
        <v>100</v>
      </c>
      <c r="V27" s="713" t="s">
        <v>17</v>
      </c>
      <c r="W27" s="714">
        <f>J27</f>
        <v>100</v>
      </c>
      <c r="X27" s="715"/>
      <c r="Y27" s="3307"/>
      <c r="Z27" s="54" t="str">
        <f>Q27</f>
        <v>公共配套设施</v>
      </c>
      <c r="AA27" s="1738">
        <f>D27/F27</f>
        <v>1.0526315789473684</v>
      </c>
      <c r="AB27" s="1738">
        <f>D27/H27</f>
        <v>1</v>
      </c>
      <c r="AC27" s="1738">
        <f>D27/J27</f>
        <v>1</v>
      </c>
    </row>
    <row r="28" spans="1:29" s="72" customFormat="1" ht="15">
      <c r="A28" s="592"/>
      <c r="B28" s="399"/>
      <c r="C28" s="2563" t="s">
        <v>3185</v>
      </c>
      <c r="D28" s="391"/>
      <c r="E28" s="390" t="s">
        <v>3255</v>
      </c>
      <c r="F28" s="391"/>
      <c r="G28" s="390" t="s">
        <v>3185</v>
      </c>
      <c r="H28" s="391"/>
      <c r="I28" s="390" t="s">
        <v>3185</v>
      </c>
      <c r="J28" s="391"/>
      <c r="K28" s="615"/>
      <c r="L28" s="1078"/>
      <c r="M28" s="1079"/>
      <c r="N28" s="1079"/>
      <c r="O28" s="1080"/>
      <c r="P28" s="3307"/>
      <c r="Q28" s="1723"/>
      <c r="R28" s="713"/>
      <c r="S28" s="714"/>
      <c r="T28" s="713"/>
      <c r="U28" s="714"/>
      <c r="V28" s="713"/>
      <c r="W28" s="714"/>
      <c r="X28" s="715"/>
      <c r="Y28" s="3307"/>
      <c r="Z28" s="54"/>
      <c r="AA28" s="1738">
        <v>1</v>
      </c>
      <c r="AB28" s="1738">
        <v>1</v>
      </c>
      <c r="AC28" s="1738">
        <v>1</v>
      </c>
    </row>
    <row r="29" spans="1:29" s="72" customFormat="1" ht="15">
      <c r="A29" s="592"/>
      <c r="B29" s="1316" t="s">
        <v>2526</v>
      </c>
      <c r="C29" s="2472">
        <f>估价对象房地状况!C22</f>
        <v>0</v>
      </c>
      <c r="D29" s="393">
        <v>100</v>
      </c>
      <c r="E29" s="397"/>
      <c r="F29" s="393">
        <f>SUMIF(102:102,E30,103:103)-SUMIF(102:102,C30,103:103)+100</f>
        <v>100</v>
      </c>
      <c r="G29" s="397"/>
      <c r="H29" s="393">
        <f>SUMIF(102:102,G30,103:103)-SUMIF(102:102,C30,103:103)+100</f>
        <v>100</v>
      </c>
      <c r="I29" s="397"/>
      <c r="J29" s="393">
        <f>SUMIF(102:102,I30,103:103)-SUMIF(102:102,C30,103:103)+100</f>
        <v>100</v>
      </c>
      <c r="K29" s="616">
        <v>1</v>
      </c>
      <c r="L29" s="1078"/>
      <c r="M29" s="1079"/>
      <c r="N29" s="1079"/>
      <c r="O29" s="1080"/>
      <c r="P29" s="3307"/>
      <c r="Q29" s="1723" t="str">
        <f t="shared" ref="Q29" si="9">B29</f>
        <v>基础设施水平</v>
      </c>
      <c r="R29" s="713" t="s">
        <v>17</v>
      </c>
      <c r="S29" s="714">
        <f>F29</f>
        <v>100</v>
      </c>
      <c r="T29" s="713" t="s">
        <v>17</v>
      </c>
      <c r="U29" s="714">
        <f>H29</f>
        <v>100</v>
      </c>
      <c r="V29" s="713" t="s">
        <v>17</v>
      </c>
      <c r="W29" s="714">
        <f>J29</f>
        <v>100</v>
      </c>
      <c r="X29" s="715"/>
      <c r="Y29" s="3307"/>
      <c r="Z29" s="54" t="str">
        <f>Q29</f>
        <v>基础设施水平</v>
      </c>
      <c r="AA29" s="1738">
        <f>D29/F29</f>
        <v>1</v>
      </c>
      <c r="AB29" s="1738">
        <f>D29/H29</f>
        <v>1</v>
      </c>
      <c r="AC29" s="1738">
        <f>D29/J29</f>
        <v>1</v>
      </c>
    </row>
    <row r="30" spans="1:29" s="72" customFormat="1" ht="15">
      <c r="A30" s="592"/>
      <c r="B30" s="399"/>
      <c r="C30" s="2563" t="s">
        <v>3186</v>
      </c>
      <c r="D30" s="391"/>
      <c r="E30" s="2564" t="s">
        <v>3186</v>
      </c>
      <c r="F30" s="391"/>
      <c r="G30" s="2564" t="s">
        <v>3186</v>
      </c>
      <c r="H30" s="391"/>
      <c r="I30" s="2564" t="s">
        <v>3186</v>
      </c>
      <c r="J30" s="391"/>
      <c r="K30" s="615"/>
      <c r="L30" s="1078"/>
      <c r="M30" s="1079"/>
      <c r="N30" s="1079"/>
      <c r="O30" s="1080"/>
      <c r="P30" s="3307"/>
      <c r="Q30" s="1723"/>
      <c r="R30" s="713"/>
      <c r="S30" s="714"/>
      <c r="T30" s="713"/>
      <c r="U30" s="714"/>
      <c r="V30" s="713"/>
      <c r="W30" s="714"/>
      <c r="X30" s="715"/>
      <c r="Y30" s="3307"/>
      <c r="Z30" s="54"/>
      <c r="AA30" s="1738">
        <v>1</v>
      </c>
      <c r="AB30" s="1738">
        <v>1</v>
      </c>
      <c r="AC30" s="1738">
        <v>1</v>
      </c>
    </row>
    <row r="31" spans="1:29" ht="15" hidden="1">
      <c r="A31" s="371"/>
      <c r="B31" s="399" t="s">
        <v>2527</v>
      </c>
      <c r="C31" s="559"/>
      <c r="D31" s="378">
        <v>100</v>
      </c>
      <c r="E31" s="577"/>
      <c r="F31" s="378">
        <f>SUMIF(104:104,E31,105:105)-SUMIF(104:104,C31,105:105)+100</f>
        <v>100</v>
      </c>
      <c r="G31" s="577"/>
      <c r="H31" s="378">
        <f>SUMIF(104:104,G31,105:105)-SUMIF(104:104,C31,105:105)+100</f>
        <v>100</v>
      </c>
      <c r="I31" s="577"/>
      <c r="J31" s="378">
        <f>SUMIF(104:104,I31,105:105)-SUMIF(104:104,C31,105:105)+100</f>
        <v>100</v>
      </c>
      <c r="K31" s="616"/>
      <c r="L31" s="1086"/>
      <c r="M31" s="1077"/>
      <c r="N31" s="1077"/>
      <c r="O31" s="1085"/>
      <c r="P31" s="3307"/>
      <c r="Q31" s="1737" t="str">
        <f t="shared" si="8"/>
        <v>临街状况</v>
      </c>
      <c r="R31" s="717" t="s">
        <v>17</v>
      </c>
      <c r="S31" s="718">
        <f t="shared" ref="S31:S45" si="10">F31</f>
        <v>100</v>
      </c>
      <c r="T31" s="717" t="s">
        <v>17</v>
      </c>
      <c r="U31" s="718">
        <f t="shared" ref="U31:U45" si="11">H31</f>
        <v>100</v>
      </c>
      <c r="V31" s="717" t="s">
        <v>17</v>
      </c>
      <c r="W31" s="718">
        <f t="shared" ref="W31:W45" si="12">J31</f>
        <v>100</v>
      </c>
      <c r="X31" s="1740"/>
      <c r="Y31" s="3307"/>
      <c r="Z31" s="1741" t="str">
        <f t="shared" ref="Z31:Z45" si="13">Q31</f>
        <v>临街状况</v>
      </c>
      <c r="AA31" s="1738">
        <f t="shared" si="3"/>
        <v>1</v>
      </c>
      <c r="AB31" s="1738">
        <f t="shared" si="4"/>
        <v>1</v>
      </c>
      <c r="AC31" s="1738">
        <f t="shared" si="5"/>
        <v>1</v>
      </c>
    </row>
    <row r="32" spans="1:29" ht="27">
      <c r="A32" s="371"/>
      <c r="B32" s="1316" t="s">
        <v>2562</v>
      </c>
      <c r="C32" s="397"/>
      <c r="D32" s="393">
        <v>100</v>
      </c>
      <c r="E32" s="397"/>
      <c r="F32" s="393">
        <f>SUMIF(106:106,E33,107:107)-SUMIF(106:106,C33,107:107)+100</f>
        <v>100</v>
      </c>
      <c r="G32" s="397"/>
      <c r="H32" s="393">
        <f>SUMIF(106:106,G33,107:107)-SUMIF(106:106,C33,107:107)+100</f>
        <v>100</v>
      </c>
      <c r="I32" s="397"/>
      <c r="J32" s="393">
        <f>SUMIF(106:106,I33,107:107)-SUMIF(106:106,C33,107:107)+100</f>
        <v>100</v>
      </c>
      <c r="K32" s="616">
        <v>1</v>
      </c>
      <c r="L32" s="1086"/>
      <c r="M32" s="1077"/>
      <c r="N32" s="1077"/>
      <c r="O32" s="1085"/>
      <c r="P32" s="3307"/>
      <c r="Q32" s="1737" t="str">
        <f t="shared" si="8"/>
        <v>毗邻道路的类型与等级</v>
      </c>
      <c r="R32" s="717" t="s">
        <v>17</v>
      </c>
      <c r="S32" s="718">
        <f t="shared" si="10"/>
        <v>100</v>
      </c>
      <c r="T32" s="717" t="s">
        <v>17</v>
      </c>
      <c r="U32" s="718">
        <f t="shared" si="11"/>
        <v>100</v>
      </c>
      <c r="V32" s="717" t="s">
        <v>17</v>
      </c>
      <c r="W32" s="718">
        <f t="shared" si="12"/>
        <v>100</v>
      </c>
      <c r="X32" s="1740"/>
      <c r="Y32" s="3307"/>
      <c r="Z32" s="1741" t="str">
        <f t="shared" si="13"/>
        <v>毗邻道路的类型与等级</v>
      </c>
      <c r="AA32" s="1738">
        <f t="shared" si="3"/>
        <v>1</v>
      </c>
      <c r="AB32" s="1738">
        <f t="shared" si="4"/>
        <v>1</v>
      </c>
      <c r="AC32" s="1738">
        <f t="shared" si="5"/>
        <v>1</v>
      </c>
    </row>
    <row r="33" spans="1:29" ht="15.75" thickBot="1">
      <c r="A33" s="371"/>
      <c r="B33" s="399"/>
      <c r="C33" s="390" t="s">
        <v>3182</v>
      </c>
      <c r="D33" s="391"/>
      <c r="E33" s="390" t="s">
        <v>3182</v>
      </c>
      <c r="F33" s="391"/>
      <c r="G33" s="390" t="s">
        <v>3182</v>
      </c>
      <c r="H33" s="391"/>
      <c r="I33" s="390" t="s">
        <v>3182</v>
      </c>
      <c r="J33" s="391"/>
      <c r="K33" s="556"/>
      <c r="L33" s="1086"/>
      <c r="M33" s="1077"/>
      <c r="N33" s="1077"/>
      <c r="O33" s="1085"/>
      <c r="P33" s="3307"/>
      <c r="Q33" s="1737"/>
      <c r="R33" s="717"/>
      <c r="S33" s="718"/>
      <c r="T33" s="717"/>
      <c r="U33" s="718"/>
      <c r="V33" s="717"/>
      <c r="W33" s="718"/>
      <c r="X33" s="1740"/>
      <c r="Y33" s="3307"/>
      <c r="Z33" s="1741"/>
      <c r="AA33" s="1738">
        <v>1</v>
      </c>
      <c r="AB33" s="1738">
        <v>1</v>
      </c>
      <c r="AC33" s="1738">
        <v>1</v>
      </c>
    </row>
    <row r="34" spans="1:29" ht="15" hidden="1">
      <c r="A34" s="371"/>
      <c r="B34" s="365" t="s">
        <v>2620</v>
      </c>
      <c r="C34" s="559"/>
      <c r="D34" s="378">
        <v>100</v>
      </c>
      <c r="E34" s="577"/>
      <c r="F34" s="378">
        <f>SUMIF(108:108,E34,109:109)-SUMIF(108:108,C34,109:109)+100</f>
        <v>100</v>
      </c>
      <c r="G34" s="577"/>
      <c r="H34" s="378">
        <f>SUMIF(108:108,G34,109:109)-SUMIF(108:108,C34,109:109)+100</f>
        <v>100</v>
      </c>
      <c r="I34" s="559"/>
      <c r="J34" s="378">
        <f>SUMIF(108:108,I34,109:109)-SUMIF(108:108,C34,109:109)+100</f>
        <v>100</v>
      </c>
      <c r="K34" s="555"/>
      <c r="L34" s="1086"/>
      <c r="M34" s="1077"/>
      <c r="N34" s="1077"/>
      <c r="O34" s="1085"/>
      <c r="P34" s="3307"/>
      <c r="Q34" s="1737" t="str">
        <f t="shared" si="8"/>
        <v>土地级别</v>
      </c>
      <c r="R34" s="717" t="s">
        <v>17</v>
      </c>
      <c r="S34" s="718">
        <f t="shared" si="10"/>
        <v>100</v>
      </c>
      <c r="T34" s="717" t="s">
        <v>17</v>
      </c>
      <c r="U34" s="718">
        <f t="shared" si="11"/>
        <v>100</v>
      </c>
      <c r="V34" s="717" t="s">
        <v>17</v>
      </c>
      <c r="W34" s="718">
        <f t="shared" si="12"/>
        <v>100</v>
      </c>
      <c r="X34" s="1740"/>
      <c r="Y34" s="3307"/>
      <c r="Z34" s="1741" t="str">
        <f t="shared" si="13"/>
        <v>土地级别</v>
      </c>
      <c r="AA34" s="1738">
        <f t="shared" si="3"/>
        <v>1</v>
      </c>
      <c r="AB34" s="1738">
        <f t="shared" si="4"/>
        <v>1</v>
      </c>
      <c r="AC34" s="1738">
        <f t="shared" si="5"/>
        <v>1</v>
      </c>
    </row>
    <row r="35" spans="1:29" ht="15" hidden="1">
      <c r="A35" s="347"/>
      <c r="B35" s="1318"/>
      <c r="C35" s="617"/>
      <c r="D35" s="378">
        <v>100</v>
      </c>
      <c r="E35" s="420"/>
      <c r="F35" s="378">
        <f>SUMIF(110:110,E35,111:111)-SUMIF(110:110,C35,111:111)+100</f>
        <v>100</v>
      </c>
      <c r="G35" s="420"/>
      <c r="H35" s="378">
        <f>SUMIF(110:110,G35,111:111)-SUMIF(110:110,C35,111:111)+100</f>
        <v>100</v>
      </c>
      <c r="I35" s="617"/>
      <c r="J35" s="378">
        <f>SUMIF(110:110,I35,111:111)-SUMIF(110:110,C35,111:111)+100</f>
        <v>100</v>
      </c>
      <c r="K35" s="556"/>
      <c r="L35" s="1086"/>
      <c r="M35" s="1077"/>
      <c r="N35" s="1077"/>
      <c r="O35" s="1085"/>
      <c r="P35" s="3307"/>
      <c r="Q35" s="1737">
        <f t="shared" si="8"/>
        <v>0</v>
      </c>
      <c r="R35" s="717" t="s">
        <v>17</v>
      </c>
      <c r="S35" s="718">
        <f t="shared" si="10"/>
        <v>100</v>
      </c>
      <c r="T35" s="717" t="s">
        <v>17</v>
      </c>
      <c r="U35" s="718">
        <f t="shared" si="11"/>
        <v>100</v>
      </c>
      <c r="V35" s="717" t="s">
        <v>17</v>
      </c>
      <c r="W35" s="718">
        <f t="shared" si="12"/>
        <v>100</v>
      </c>
      <c r="X35" s="1740"/>
      <c r="Y35" s="3307"/>
      <c r="Z35" s="1741">
        <f t="shared" si="13"/>
        <v>0</v>
      </c>
      <c r="AA35" s="1738">
        <f t="shared" si="3"/>
        <v>1</v>
      </c>
      <c r="AB35" s="1738">
        <f t="shared" si="4"/>
        <v>1</v>
      </c>
      <c r="AC35" s="1738">
        <f t="shared" si="5"/>
        <v>1</v>
      </c>
    </row>
    <row r="36" spans="1:29" ht="15" hidden="1">
      <c r="A36" s="618"/>
      <c r="B36" s="1319"/>
      <c r="C36" s="617"/>
      <c r="D36" s="378">
        <v>100</v>
      </c>
      <c r="E36" s="420"/>
      <c r="F36" s="378">
        <f>SUMIF(112:112,E37,113:113)-SUMIF(112:112,C37,113:113)+100</f>
        <v>100</v>
      </c>
      <c r="G36" s="420"/>
      <c r="H36" s="378">
        <f>SUMIF(112:112,G36,113:113)-SUMIF(112:112,C36,113:113)+100</f>
        <v>100</v>
      </c>
      <c r="I36" s="617"/>
      <c r="J36" s="378">
        <f>SUMIF(112:112,I36,113:113)-SUMIF(112:112,C36,113:113)+100</f>
        <v>100</v>
      </c>
      <c r="K36" s="556"/>
      <c r="L36" s="1086"/>
      <c r="M36" s="1077"/>
      <c r="N36" s="1077"/>
      <c r="O36" s="1085"/>
      <c r="P36" s="3308" t="s">
        <v>2436</v>
      </c>
      <c r="Q36" s="1737">
        <f t="shared" si="8"/>
        <v>0</v>
      </c>
      <c r="R36" s="717" t="s">
        <v>17</v>
      </c>
      <c r="S36" s="718">
        <f t="shared" si="10"/>
        <v>100</v>
      </c>
      <c r="T36" s="717" t="s">
        <v>17</v>
      </c>
      <c r="U36" s="718">
        <f t="shared" si="11"/>
        <v>100</v>
      </c>
      <c r="V36" s="717" t="s">
        <v>17</v>
      </c>
      <c r="W36" s="718">
        <f t="shared" si="12"/>
        <v>100</v>
      </c>
      <c r="X36" s="1740"/>
      <c r="Y36" s="3309" t="s">
        <v>2436</v>
      </c>
      <c r="Z36" s="1741">
        <f t="shared" si="13"/>
        <v>0</v>
      </c>
      <c r="AA36" s="1738">
        <f t="shared" si="3"/>
        <v>1</v>
      </c>
      <c r="AB36" s="1738">
        <f t="shared" si="4"/>
        <v>1</v>
      </c>
      <c r="AC36" s="1738">
        <f t="shared" si="5"/>
        <v>1</v>
      </c>
    </row>
    <row r="37" spans="1:29" s="414" customFormat="1" ht="15.75" hidden="1" thickBot="1">
      <c r="A37" s="619"/>
      <c r="B37" s="1320"/>
      <c r="C37" s="621"/>
      <c r="D37" s="80">
        <v>100</v>
      </c>
      <c r="E37" s="644"/>
      <c r="F37" s="381">
        <f>SUMIF(114:114,E37,115:115)-SUMIF(114:114,C37,115:115)+100</f>
        <v>100</v>
      </c>
      <c r="G37" s="644"/>
      <c r="H37" s="381">
        <f>SUMIF(114:114,G37,115:115)-SUMIF(114:114,C37,115:115)+100</f>
        <v>100</v>
      </c>
      <c r="I37" s="621"/>
      <c r="J37" s="381">
        <f>SUMIF(114:114,I37,115:115)-SUMIF(114:114,C37,115:115)+100</f>
        <v>100</v>
      </c>
      <c r="K37" s="556"/>
      <c r="L37" s="1084"/>
      <c r="M37" s="1087"/>
      <c r="N37" s="1087"/>
      <c r="O37" s="1088"/>
      <c r="P37" s="3309"/>
      <c r="Q37" s="1737">
        <f t="shared" si="8"/>
        <v>0</v>
      </c>
      <c r="R37" s="720" t="s">
        <v>17</v>
      </c>
      <c r="S37" s="721">
        <f t="shared" si="10"/>
        <v>100</v>
      </c>
      <c r="T37" s="720" t="s">
        <v>17</v>
      </c>
      <c r="U37" s="721">
        <f t="shared" si="11"/>
        <v>100</v>
      </c>
      <c r="V37" s="720" t="s">
        <v>17</v>
      </c>
      <c r="W37" s="721">
        <f t="shared" si="12"/>
        <v>100</v>
      </c>
      <c r="X37" s="722"/>
      <c r="Y37" s="3309"/>
      <c r="Z37" s="723">
        <f t="shared" si="13"/>
        <v>0</v>
      </c>
      <c r="AA37" s="1738">
        <f t="shared" si="3"/>
        <v>1</v>
      </c>
      <c r="AB37" s="1738">
        <f t="shared" si="4"/>
        <v>1</v>
      </c>
      <c r="AC37" s="1738">
        <f t="shared" si="5"/>
        <v>1</v>
      </c>
    </row>
    <row r="38" spans="1:29" ht="15">
      <c r="A38" s="415" t="s">
        <v>2434</v>
      </c>
      <c r="B38" s="399" t="s">
        <v>2621</v>
      </c>
      <c r="C38" s="622">
        <f>'数据-汇总表'!D3</f>
        <v>43598.5</v>
      </c>
      <c r="D38" s="410">
        <v>100</v>
      </c>
      <c r="E38" s="622">
        <f>土地案例!H22</f>
        <v>55703.7</v>
      </c>
      <c r="F38" s="410">
        <f>LOOKUP(E38,117:117,118:118)-LOOKUP(C38,117:117,118:118)+100</f>
        <v>100</v>
      </c>
      <c r="G38" s="622">
        <f>土地案例!H33</f>
        <v>86559.9</v>
      </c>
      <c r="H38" s="410">
        <f>LOOKUP(G38,117:117,118:118)-LOOKUP(C38,117:117,118:118)+100</f>
        <v>100</v>
      </c>
      <c r="I38" s="473">
        <f>土地案例!H35</f>
        <v>32598.1</v>
      </c>
      <c r="J38" s="410">
        <f>LOOKUP(I38,117:117,118:118)-LOOKUP(C38,117:117,118:118)+100</f>
        <v>100</v>
      </c>
      <c r="K38" s="556"/>
      <c r="L38" s="1086"/>
      <c r="M38" s="1077"/>
      <c r="N38" s="1077"/>
      <c r="O38" s="1085"/>
      <c r="P38" s="3309"/>
      <c r="Q38" s="1737" t="str">
        <f>B38</f>
        <v>宗地面积</v>
      </c>
      <c r="R38" s="717" t="s">
        <v>17</v>
      </c>
      <c r="S38" s="718">
        <f t="shared" si="10"/>
        <v>100</v>
      </c>
      <c r="T38" s="717" t="s">
        <v>17</v>
      </c>
      <c r="U38" s="718">
        <f t="shared" si="11"/>
        <v>100</v>
      </c>
      <c r="V38" s="717" t="s">
        <v>17</v>
      </c>
      <c r="W38" s="718">
        <f t="shared" si="12"/>
        <v>100</v>
      </c>
      <c r="X38" s="1740"/>
      <c r="Y38" s="3309"/>
      <c r="Z38" s="1741" t="str">
        <f t="shared" si="13"/>
        <v>宗地面积</v>
      </c>
      <c r="AA38" s="1738">
        <f t="shared" si="3"/>
        <v>1</v>
      </c>
      <c r="AB38" s="1738">
        <f t="shared" si="4"/>
        <v>1</v>
      </c>
      <c r="AC38" s="1738">
        <f t="shared" si="5"/>
        <v>1</v>
      </c>
    </row>
    <row r="39" spans="1:29" ht="15">
      <c r="A39" s="415"/>
      <c r="B39" s="365" t="s">
        <v>2622</v>
      </c>
      <c r="C39" s="2478" t="s">
        <v>3171</v>
      </c>
      <c r="D39" s="378">
        <v>100</v>
      </c>
      <c r="E39" s="2478" t="s">
        <v>3171</v>
      </c>
      <c r="F39" s="378">
        <f>SUMIF(119:119,E39,120:120)-SUMIF(119:119,C39,120:120)+100</f>
        <v>100</v>
      </c>
      <c r="G39" s="2478" t="s">
        <v>3171</v>
      </c>
      <c r="H39" s="378">
        <f>SUMIF(119:119,G39,120:120)-SUMIF(119:119,C39,120:120)+100</f>
        <v>100</v>
      </c>
      <c r="I39" s="2478" t="s">
        <v>3171</v>
      </c>
      <c r="J39" s="378">
        <f>SUMIF(119:119,I39,120:120)-SUMIF(119:119,C39,120:120)+100</f>
        <v>100</v>
      </c>
      <c r="K39" s="555">
        <v>2</v>
      </c>
      <c r="L39" s="1086"/>
      <c r="M39" s="1077"/>
      <c r="N39" s="1077"/>
      <c r="O39" s="1085"/>
      <c r="P39" s="3309"/>
      <c r="Q39" s="1737" t="str">
        <f t="shared" ref="Q39:Q45" si="14">B39</f>
        <v>宗地形状</v>
      </c>
      <c r="R39" s="717" t="s">
        <v>17</v>
      </c>
      <c r="S39" s="718">
        <f t="shared" si="10"/>
        <v>100</v>
      </c>
      <c r="T39" s="717" t="s">
        <v>17</v>
      </c>
      <c r="U39" s="718">
        <f t="shared" si="11"/>
        <v>100</v>
      </c>
      <c r="V39" s="717" t="s">
        <v>17</v>
      </c>
      <c r="W39" s="718">
        <f t="shared" si="12"/>
        <v>100</v>
      </c>
      <c r="X39" s="1740"/>
      <c r="Y39" s="3309"/>
      <c r="Z39" s="1741" t="str">
        <f t="shared" si="13"/>
        <v>宗地形状</v>
      </c>
      <c r="AA39" s="1738">
        <f t="shared" si="3"/>
        <v>1</v>
      </c>
      <c r="AB39" s="1738">
        <f t="shared" si="4"/>
        <v>1</v>
      </c>
      <c r="AC39" s="1738">
        <f t="shared" si="5"/>
        <v>1</v>
      </c>
    </row>
    <row r="40" spans="1:29" ht="15" hidden="1">
      <c r="A40" s="415"/>
      <c r="B40" s="365" t="s">
        <v>2623</v>
      </c>
      <c r="C40" s="2478"/>
      <c r="D40" s="378">
        <v>100</v>
      </c>
      <c r="E40" s="2478"/>
      <c r="F40" s="378">
        <f>SUMIF(121:121,E40,122:122)-SUMIF(121:121,C40,122:122)+100</f>
        <v>100</v>
      </c>
      <c r="G40" s="2478"/>
      <c r="H40" s="378">
        <f>SUMIF(121:121,G40,122:122)-SUMIF(121:121,C40,122:122)+100</f>
        <v>100</v>
      </c>
      <c r="I40" s="2478"/>
      <c r="J40" s="378">
        <f>SUMIF(121:121,I40,122:122)-SUMIF(121:121,C40,122:122)+100</f>
        <v>100</v>
      </c>
      <c r="K40" s="555"/>
      <c r="L40" s="1086"/>
      <c r="M40" s="1077"/>
      <c r="N40" s="1077"/>
      <c r="O40" s="1085"/>
      <c r="P40" s="3309"/>
      <c r="Q40" s="1737" t="str">
        <f t="shared" si="14"/>
        <v>临街宽度及深度</v>
      </c>
      <c r="R40" s="717" t="s">
        <v>17</v>
      </c>
      <c r="S40" s="718">
        <f t="shared" si="10"/>
        <v>100</v>
      </c>
      <c r="T40" s="717" t="s">
        <v>17</v>
      </c>
      <c r="U40" s="718">
        <f t="shared" si="11"/>
        <v>100</v>
      </c>
      <c r="V40" s="717" t="s">
        <v>17</v>
      </c>
      <c r="W40" s="718">
        <f t="shared" si="12"/>
        <v>100</v>
      </c>
      <c r="X40" s="1740"/>
      <c r="Y40" s="3309"/>
      <c r="Z40" s="1741" t="str">
        <f t="shared" si="13"/>
        <v>临街宽度及深度</v>
      </c>
      <c r="AA40" s="1738">
        <f t="shared" si="3"/>
        <v>1</v>
      </c>
      <c r="AB40" s="1738">
        <f t="shared" si="4"/>
        <v>1</v>
      </c>
      <c r="AC40" s="1738">
        <f t="shared" si="5"/>
        <v>1</v>
      </c>
    </row>
    <row r="41" spans="1:29" s="72" customFormat="1" ht="15">
      <c r="A41" s="416"/>
      <c r="B41" s="365" t="s">
        <v>2624</v>
      </c>
      <c r="C41" s="2565" t="s">
        <v>3173</v>
      </c>
      <c r="D41" s="79">
        <v>100</v>
      </c>
      <c r="E41" s="2565" t="s">
        <v>3173</v>
      </c>
      <c r="F41" s="378">
        <f>SUMIF(123:123,E41,124:124)-SUMIF(123:123,C41,124:124)+100</f>
        <v>100</v>
      </c>
      <c r="G41" s="2565" t="s">
        <v>3173</v>
      </c>
      <c r="H41" s="378">
        <f>SUMIF(123:123,G41,124:124)-SUMIF(123:123,C41,124:124)+100</f>
        <v>100</v>
      </c>
      <c r="I41" s="2565" t="s">
        <v>3173</v>
      </c>
      <c r="J41" s="378">
        <f>SUMIF(123:123,I41,124:124)-SUMIF(123:123,C41,124:124)+100</f>
        <v>100</v>
      </c>
      <c r="K41" s="555">
        <v>2</v>
      </c>
      <c r="L41" s="1078"/>
      <c r="M41" s="1079"/>
      <c r="N41" s="1079"/>
      <c r="O41" s="1080"/>
      <c r="P41" s="3309"/>
      <c r="Q41" s="1737" t="str">
        <f t="shared" si="14"/>
        <v>宗地开发程度</v>
      </c>
      <c r="R41" s="713" t="s">
        <v>17</v>
      </c>
      <c r="S41" s="714">
        <f t="shared" si="10"/>
        <v>100</v>
      </c>
      <c r="T41" s="713" t="s">
        <v>17</v>
      </c>
      <c r="U41" s="714">
        <f t="shared" si="11"/>
        <v>100</v>
      </c>
      <c r="V41" s="713" t="s">
        <v>17</v>
      </c>
      <c r="W41" s="714">
        <f t="shared" si="12"/>
        <v>100</v>
      </c>
      <c r="X41" s="715"/>
      <c r="Y41" s="3309"/>
      <c r="Z41" s="54" t="str">
        <f t="shared" si="13"/>
        <v>宗地开发程度</v>
      </c>
      <c r="AA41" s="716">
        <f t="shared" si="3"/>
        <v>1</v>
      </c>
      <c r="AB41" s="716">
        <f t="shared" si="4"/>
        <v>1</v>
      </c>
      <c r="AC41" s="716">
        <f t="shared" si="5"/>
        <v>1</v>
      </c>
    </row>
    <row r="42" spans="1:29" ht="15.75" thickBot="1">
      <c r="A42" s="415"/>
      <c r="B42" s="365" t="s">
        <v>2625</v>
      </c>
      <c r="C42" s="2478" t="s">
        <v>3178</v>
      </c>
      <c r="D42" s="378">
        <v>100</v>
      </c>
      <c r="E42" s="2478" t="s">
        <v>3178</v>
      </c>
      <c r="F42" s="378">
        <f>SUMIF(125:125,E42,126:126)-SUMIF(125:125,C42,126:126)+100</f>
        <v>100</v>
      </c>
      <c r="G42" s="2478" t="s">
        <v>3178</v>
      </c>
      <c r="H42" s="378">
        <f>SUMIF(125:125,G42,126:126)-SUMIF(125:125,C42,126:126)+100</f>
        <v>100</v>
      </c>
      <c r="I42" s="2478" t="s">
        <v>3178</v>
      </c>
      <c r="J42" s="378">
        <f>SUMIF(125:125,I42,126:126)-SUMIF(125:125,C42,126:126)+100</f>
        <v>100</v>
      </c>
      <c r="K42" s="555">
        <v>2</v>
      </c>
      <c r="L42" s="1086"/>
      <c r="M42" s="1077"/>
      <c r="N42" s="1077"/>
      <c r="O42" s="1085"/>
      <c r="P42" s="3309" t="s">
        <v>2436</v>
      </c>
      <c r="Q42" s="1737" t="str">
        <f t="shared" si="14"/>
        <v>工程地质条件</v>
      </c>
      <c r="R42" s="717" t="s">
        <v>17</v>
      </c>
      <c r="S42" s="718">
        <f t="shared" si="10"/>
        <v>100</v>
      </c>
      <c r="T42" s="717" t="s">
        <v>17</v>
      </c>
      <c r="U42" s="718">
        <f t="shared" si="11"/>
        <v>100</v>
      </c>
      <c r="V42" s="717" t="s">
        <v>17</v>
      </c>
      <c r="W42" s="718">
        <f t="shared" si="12"/>
        <v>100</v>
      </c>
      <c r="X42" s="1740"/>
      <c r="Y42" s="3309" t="s">
        <v>2436</v>
      </c>
      <c r="Z42" s="1741" t="str">
        <f t="shared" si="13"/>
        <v>工程地质条件</v>
      </c>
      <c r="AA42" s="1738">
        <f t="shared" si="3"/>
        <v>1</v>
      </c>
      <c r="AB42" s="1738">
        <f t="shared" si="4"/>
        <v>1</v>
      </c>
      <c r="AC42" s="1738">
        <f t="shared" si="5"/>
        <v>1</v>
      </c>
    </row>
    <row r="43" spans="1:29" ht="15" hidden="1">
      <c r="A43" s="415"/>
      <c r="B43" s="1319"/>
      <c r="C43" s="617"/>
      <c r="D43" s="378">
        <v>100</v>
      </c>
      <c r="E43" s="617"/>
      <c r="F43" s="378">
        <f>SUMIF(127:127,E43,128:128)-SUMIF(127:127,C43,128:128)+100</f>
        <v>100</v>
      </c>
      <c r="G43" s="617"/>
      <c r="H43" s="378">
        <f>SUMIF(127:127,G43,128:128)-SUMIF(127:127,C43,128:128)+100</f>
        <v>100</v>
      </c>
      <c r="I43" s="492"/>
      <c r="J43" s="378">
        <f>SUMIF(127:127,I43,128:128)-SUMIF(127:127,C43,128:128)+100</f>
        <v>100</v>
      </c>
      <c r="K43" s="556"/>
      <c r="L43" s="1086"/>
      <c r="M43" s="1077"/>
      <c r="N43" s="1077"/>
      <c r="O43" s="1085"/>
      <c r="P43" s="3309"/>
      <c r="Q43" s="1737">
        <f t="shared" si="14"/>
        <v>0</v>
      </c>
      <c r="R43" s="717" t="s">
        <v>17</v>
      </c>
      <c r="S43" s="718">
        <f t="shared" si="10"/>
        <v>100</v>
      </c>
      <c r="T43" s="717" t="s">
        <v>17</v>
      </c>
      <c r="U43" s="718">
        <f t="shared" si="11"/>
        <v>100</v>
      </c>
      <c r="V43" s="717" t="s">
        <v>17</v>
      </c>
      <c r="W43" s="718">
        <f t="shared" si="12"/>
        <v>100</v>
      </c>
      <c r="X43" s="1740"/>
      <c r="Y43" s="3309"/>
      <c r="Z43" s="1741">
        <f t="shared" si="13"/>
        <v>0</v>
      </c>
      <c r="AA43" s="1738">
        <f t="shared" si="3"/>
        <v>1</v>
      </c>
      <c r="AB43" s="1738">
        <f t="shared" si="4"/>
        <v>1</v>
      </c>
      <c r="AC43" s="1738">
        <f t="shared" si="5"/>
        <v>1</v>
      </c>
    </row>
    <row r="44" spans="1:29" ht="15" hidden="1">
      <c r="A44" s="415"/>
      <c r="B44" s="1319"/>
      <c r="C44" s="617"/>
      <c r="D44" s="378">
        <v>100</v>
      </c>
      <c r="E44" s="617"/>
      <c r="F44" s="378">
        <f>SUMIF(129:129,E44,130:130)-SUMIF(129:129,C44,130:130)+100</f>
        <v>100</v>
      </c>
      <c r="G44" s="617"/>
      <c r="H44" s="378">
        <f>SUMIF(129:129,G44,130:130)-SUMIF(129:129,C44,130:130)+100</f>
        <v>100</v>
      </c>
      <c r="I44" s="492"/>
      <c r="J44" s="378">
        <f>SUMIF(129:129,I44,130:130)-SUMIF(129:129,C44,130:130)+100</f>
        <v>100</v>
      </c>
      <c r="K44" s="556"/>
      <c r="L44" s="1086"/>
      <c r="M44" s="1077"/>
      <c r="N44" s="1077"/>
      <c r="O44" s="1085"/>
      <c r="P44" s="3309"/>
      <c r="Q44" s="1737">
        <f t="shared" si="14"/>
        <v>0</v>
      </c>
      <c r="R44" s="717" t="s">
        <v>17</v>
      </c>
      <c r="S44" s="718">
        <f t="shared" si="10"/>
        <v>100</v>
      </c>
      <c r="T44" s="717" t="s">
        <v>17</v>
      </c>
      <c r="U44" s="718">
        <f t="shared" si="11"/>
        <v>100</v>
      </c>
      <c r="V44" s="717" t="s">
        <v>17</v>
      </c>
      <c r="W44" s="718">
        <f t="shared" si="12"/>
        <v>100</v>
      </c>
      <c r="X44" s="1740"/>
      <c r="Y44" s="3309"/>
      <c r="Z44" s="1741">
        <f t="shared" si="13"/>
        <v>0</v>
      </c>
      <c r="AA44" s="1738">
        <f t="shared" si="3"/>
        <v>1</v>
      </c>
      <c r="AB44" s="1738">
        <f t="shared" si="4"/>
        <v>1</v>
      </c>
      <c r="AC44" s="1738">
        <f t="shared" si="5"/>
        <v>1</v>
      </c>
    </row>
    <row r="45" spans="1:29" s="414" customFormat="1" ht="15.75" hidden="1" thickBot="1">
      <c r="A45" s="411"/>
      <c r="B45" s="1319"/>
      <c r="C45" s="2566"/>
      <c r="D45" s="623">
        <v>100</v>
      </c>
      <c r="E45" s="617"/>
      <c r="F45" s="381">
        <f>SUMIF(131:131,E45,132:132)-SUMIF(131:131,C45,132:132)+100</f>
        <v>100</v>
      </c>
      <c r="G45" s="617"/>
      <c r="H45" s="381">
        <f>SUMIF(131:131,G45,132:132)-SUMIF(131:131,C45,132:132)+100</f>
        <v>100</v>
      </c>
      <c r="I45" s="617"/>
      <c r="J45" s="381">
        <f>SUMIF(131:131,I45,132:132)-SUMIF(131:131,C45,132:132)+100</f>
        <v>100</v>
      </c>
      <c r="K45" s="624"/>
      <c r="L45" s="1084"/>
      <c r="M45" s="1087"/>
      <c r="N45" s="1087"/>
      <c r="O45" s="1088"/>
      <c r="P45" s="3309"/>
      <c r="Q45" s="1737">
        <f t="shared" si="14"/>
        <v>0</v>
      </c>
      <c r="R45" s="720" t="s">
        <v>17</v>
      </c>
      <c r="S45" s="721">
        <f t="shared" si="10"/>
        <v>100</v>
      </c>
      <c r="T45" s="720" t="s">
        <v>17</v>
      </c>
      <c r="U45" s="721">
        <f t="shared" si="11"/>
        <v>100</v>
      </c>
      <c r="V45" s="720" t="s">
        <v>17</v>
      </c>
      <c r="W45" s="721">
        <f t="shared" si="12"/>
        <v>100</v>
      </c>
      <c r="X45" s="722"/>
      <c r="Y45" s="3309"/>
      <c r="Z45" s="723">
        <f t="shared" si="13"/>
        <v>0</v>
      </c>
      <c r="AA45" s="1738">
        <f t="shared" si="3"/>
        <v>1</v>
      </c>
      <c r="AB45" s="1738">
        <f t="shared" si="4"/>
        <v>1</v>
      </c>
      <c r="AC45" s="1738">
        <f t="shared" si="5"/>
        <v>1</v>
      </c>
    </row>
    <row r="46" spans="1:29" ht="15">
      <c r="A46" s="422" t="s">
        <v>2591</v>
      </c>
      <c r="B46" s="2567" t="s">
        <v>2626</v>
      </c>
      <c r="C46" s="625" t="s">
        <v>1</v>
      </c>
      <c r="D46" s="424"/>
      <c r="E46" s="425">
        <f>土地案例!P22</f>
        <v>30892.61</v>
      </c>
      <c r="F46" s="426"/>
      <c r="G46" s="427">
        <f>土地案例!P33</f>
        <v>39072.839999999997</v>
      </c>
      <c r="H46" s="428"/>
      <c r="I46" s="425">
        <f>土地案例!P35</f>
        <v>37674.730000000003</v>
      </c>
      <c r="J46" s="428"/>
      <c r="K46" s="726"/>
      <c r="L46" s="1089"/>
      <c r="M46" s="1090"/>
      <c r="N46" s="1077"/>
      <c r="O46" s="1090"/>
      <c r="P46" s="3291" t="str">
        <f>A46</f>
        <v>成交单价</v>
      </c>
      <c r="Q46" s="3291"/>
      <c r="R46" s="3304">
        <f>E46</f>
        <v>30892.61</v>
      </c>
      <c r="S46" s="3304"/>
      <c r="T46" s="3304">
        <f>G46</f>
        <v>39072.839999999997</v>
      </c>
      <c r="U46" s="3304"/>
      <c r="V46" s="3304">
        <f>I46</f>
        <v>37674.730000000003</v>
      </c>
      <c r="W46" s="3304"/>
      <c r="X46" s="702"/>
      <c r="Y46" s="724"/>
      <c r="Z46" s="702"/>
      <c r="AA46" s="702"/>
      <c r="AB46" s="702"/>
      <c r="AC46" s="702"/>
    </row>
    <row r="47" spans="1:29" ht="15.75" thickBot="1">
      <c r="A47" s="429" t="s">
        <v>2540</v>
      </c>
      <c r="B47" s="626"/>
      <c r="C47" s="433">
        <f>R48</f>
        <v>35394</v>
      </c>
      <c r="D47" s="432"/>
      <c r="E47" s="433">
        <f>R47</f>
        <v>32054</v>
      </c>
      <c r="F47" s="434"/>
      <c r="G47" s="431">
        <f>T47</f>
        <v>36207</v>
      </c>
      <c r="H47" s="432"/>
      <c r="I47" s="433">
        <f>V47</f>
        <v>37922</v>
      </c>
      <c r="J47" s="432"/>
      <c r="K47" s="727"/>
      <c r="L47" s="1089"/>
      <c r="M47" s="1090"/>
      <c r="N47" s="1090"/>
      <c r="O47" s="1090"/>
      <c r="P47" s="3291" t="str">
        <f>A47</f>
        <v>比较价值（元/平方米）</v>
      </c>
      <c r="Q47" s="3291"/>
      <c r="R47" s="3310">
        <f>ROUND(PRODUCT(R46,AA7:AA45),0)</f>
        <v>32054</v>
      </c>
      <c r="S47" s="3310"/>
      <c r="T47" s="3310">
        <f>ROUND(PRODUCT(T46,AB7:AB45),0)</f>
        <v>36207</v>
      </c>
      <c r="U47" s="3310"/>
      <c r="V47" s="3310">
        <f>ROUND(PRODUCT(V46,AC7:AC45),0)</f>
        <v>37922</v>
      </c>
      <c r="W47" s="3310"/>
      <c r="X47" s="702"/>
      <c r="Y47" s="702"/>
      <c r="Z47" s="702"/>
      <c r="AA47" s="702"/>
      <c r="AB47" s="702"/>
      <c r="AC47" s="702"/>
    </row>
    <row r="48" spans="1:29" ht="15.75" thickBot="1">
      <c r="A48" s="435" t="s">
        <v>2627</v>
      </c>
      <c r="B48" s="436"/>
      <c r="C48" s="437">
        <f>R48</f>
        <v>35394</v>
      </c>
      <c r="D48" s="437"/>
      <c r="E48" s="437"/>
      <c r="F48" s="437"/>
      <c r="G48" s="437"/>
      <c r="H48" s="437"/>
      <c r="I48" s="437"/>
      <c r="J48" s="437"/>
      <c r="K48" s="728"/>
      <c r="L48" s="1089"/>
      <c r="M48" s="1090"/>
      <c r="N48" s="1090"/>
      <c r="O48" s="1090"/>
      <c r="P48" s="3311" t="str">
        <f>A48</f>
        <v>估价对象XX用房的比较价值（楼面单价，元/平方米）</v>
      </c>
      <c r="Q48" s="3312"/>
      <c r="R48" s="3313">
        <f>ROUND(AVERAGE(R47:V47),0)</f>
        <v>35394</v>
      </c>
      <c r="S48" s="3313"/>
      <c r="T48" s="3313"/>
      <c r="U48" s="3313"/>
      <c r="V48" s="3313"/>
      <c r="W48" s="3313"/>
      <c r="X48" s="702"/>
      <c r="Y48" s="702"/>
      <c r="Z48" s="702"/>
      <c r="AA48" s="702"/>
      <c r="AB48" s="702"/>
      <c r="AC48" s="702"/>
    </row>
    <row r="49" spans="1:15">
      <c r="A49" s="1090"/>
      <c r="B49" s="1090"/>
      <c r="C49" s="1090"/>
      <c r="D49" s="1090"/>
      <c r="E49" s="1090"/>
      <c r="F49" s="1090"/>
      <c r="G49" s="1093"/>
      <c r="H49" s="1090"/>
      <c r="I49" s="1090"/>
      <c r="J49" s="1090"/>
      <c r="K49" s="1051"/>
      <c r="L49" s="1052"/>
      <c r="M49" s="1090"/>
      <c r="N49" s="1090"/>
      <c r="O49" s="1090"/>
    </row>
    <row r="50" spans="1:15">
      <c r="A50" s="1090"/>
      <c r="B50" s="1090"/>
      <c r="C50" s="1090"/>
      <c r="D50" s="1090"/>
      <c r="E50" s="1090"/>
      <c r="F50" s="1090"/>
      <c r="G50" s="1090"/>
      <c r="H50" s="1090"/>
      <c r="I50" s="1090"/>
      <c r="J50" s="1090"/>
      <c r="K50" s="1051"/>
      <c r="L50" s="1052"/>
      <c r="M50" s="1090"/>
      <c r="N50" s="1090"/>
      <c r="O50" s="1090"/>
    </row>
    <row r="51" spans="1:15" ht="13.5" customHeight="1">
      <c r="A51" s="1090"/>
      <c r="B51" s="1090"/>
      <c r="C51" s="440" t="s">
        <v>2542</v>
      </c>
      <c r="D51" s="441"/>
      <c r="E51" s="442">
        <f>IF(E46&lt;E47,E47/E46-1,E46/E47-1)</f>
        <v>3.7594427923053342E-2</v>
      </c>
      <c r="F51" s="443" t="str">
        <f>IF(OR(E51&gt;=0.3,E51&lt;=-0.3),"超过30%","")</f>
        <v/>
      </c>
      <c r="G51" s="442">
        <f>IF(G46&lt;G47,G47/G46-1,G46/G47-1)</f>
        <v>7.9151545281299196E-2</v>
      </c>
      <c r="H51" s="443" t="str">
        <f>IF(OR(G51&gt;=0.3,G51&lt;=-0.3),"超过30%","")</f>
        <v/>
      </c>
      <c r="I51" s="442">
        <f>IF(I46&lt;I47,I47/I46-1,I46/I47-1)</f>
        <v>6.5632852577841572E-3</v>
      </c>
      <c r="J51" s="443" t="str">
        <f>IF(OR(I51&gt;=0.3,I51&lt;=-0.3),"超过30%","")</f>
        <v/>
      </c>
      <c r="K51" s="1051"/>
      <c r="L51" s="1052"/>
      <c r="M51" s="1090"/>
      <c r="N51" s="1090"/>
      <c r="O51" s="1090"/>
    </row>
    <row r="52" spans="1:15" ht="13.5" customHeight="1">
      <c r="A52" s="1090"/>
      <c r="B52" s="1090"/>
      <c r="C52" s="440" t="s">
        <v>2543</v>
      </c>
      <c r="D52" s="444"/>
      <c r="E52" s="442">
        <f>IF(E47&lt;G47,G47/E47-1,E47/G47-1)</f>
        <v>0.12956261309040995</v>
      </c>
      <c r="F52" s="443" t="str">
        <f>IF(OR(E52&gt;=0.2,E52&lt;=-0.2),"超过20%","")</f>
        <v/>
      </c>
      <c r="G52" s="442">
        <f>IF(G47&lt;I47,I47/G47-1,G47/I47-1)</f>
        <v>4.736653133371993E-2</v>
      </c>
      <c r="H52" s="443" t="str">
        <f>IF(OR(G52&gt;=0.2,G52&lt;=-0.2),"超过20%","")</f>
        <v/>
      </c>
      <c r="I52" s="442">
        <f>IF(I47&lt;E47,E47/I47-1,I47/E47-1)</f>
        <v>0.18306607599675551</v>
      </c>
      <c r="J52" s="443" t="str">
        <f>IF(OR(I52&gt;=0.2,I52&lt;=-0.2),"超过20%","")</f>
        <v/>
      </c>
      <c r="K52" s="1051"/>
      <c r="L52" s="1052"/>
      <c r="M52" s="1090"/>
      <c r="N52" s="1090"/>
      <c r="O52" s="1090"/>
    </row>
    <row r="53" spans="1:15" s="445" customFormat="1" ht="13.5" customHeight="1">
      <c r="A53" s="1091"/>
      <c r="B53" s="1091"/>
      <c r="C53" s="440" t="s">
        <v>2544</v>
      </c>
      <c r="D53" s="444"/>
      <c r="E53" s="442">
        <f>IF(E46&lt;G46,G46/E46-1,E46/G46-1)</f>
        <v>0.26479569061986008</v>
      </c>
      <c r="F53" s="443" t="str">
        <f>IF(OR(E53&gt;=0.3,E53&lt;=-0.3),"超过30%","")</f>
        <v/>
      </c>
      <c r="G53" s="442">
        <f>IF(G46&lt;I46,I46/G46-1,G46/I46-1)</f>
        <v>3.7110020430139556E-2</v>
      </c>
      <c r="H53" s="443" t="str">
        <f>IF(OR(G53&gt;=0.3,G53&lt;=-0.3),"超过30%","")</f>
        <v/>
      </c>
      <c r="I53" s="442">
        <f>IF(I46&lt;E46,E46/I46-1,I46/E46-1)</f>
        <v>0.21953858867865161</v>
      </c>
      <c r="J53" s="443" t="str">
        <f>IF(OR(I53&gt;=0.3,I53&lt;=-0.3),"超过30%","")</f>
        <v/>
      </c>
      <c r="K53" s="1094"/>
      <c r="L53" s="1095"/>
      <c r="M53" s="1091"/>
      <c r="N53" s="1091"/>
      <c r="O53" s="1091"/>
    </row>
    <row r="54" spans="1:15" s="445" customFormat="1" ht="15" thickBot="1">
      <c r="A54" s="1091"/>
      <c r="B54" s="1092"/>
      <c r="C54" s="705"/>
      <c r="D54" s="703"/>
      <c r="E54" s="703"/>
      <c r="F54" s="703"/>
      <c r="G54" s="703"/>
      <c r="H54" s="703"/>
      <c r="I54" s="703"/>
      <c r="J54" s="703"/>
      <c r="K54" s="1094"/>
      <c r="L54" s="1095"/>
      <c r="M54" s="1091"/>
      <c r="N54" s="1091"/>
      <c r="O54" s="1091"/>
    </row>
    <row r="55" spans="1:15" ht="27" customHeight="1">
      <c r="A55" s="627" t="s">
        <v>2628</v>
      </c>
      <c r="B55" s="628" t="s">
        <v>2629</v>
      </c>
      <c r="C55" s="2568" t="s">
        <v>3577</v>
      </c>
      <c r="D55" s="2569" t="s">
        <v>2631</v>
      </c>
      <c r="E55" s="629" t="s">
        <v>2632</v>
      </c>
      <c r="F55" s="1053" t="s">
        <v>2633</v>
      </c>
      <c r="G55" s="3292" t="s">
        <v>2634</v>
      </c>
      <c r="H55" s="3314"/>
      <c r="I55" s="87" t="s">
        <v>2635</v>
      </c>
      <c r="J55" s="2570" t="str">
        <f>项目基本情况!F35</f>
        <v>上海市</v>
      </c>
      <c r="K55" s="2571" t="s">
        <v>2636</v>
      </c>
      <c r="L55" s="1052"/>
      <c r="M55" s="1090"/>
      <c r="N55" s="1090"/>
      <c r="O55" s="1090"/>
    </row>
    <row r="56" spans="1:15" s="635" customFormat="1">
      <c r="A56" s="631" t="s">
        <v>2637</v>
      </c>
      <c r="B56" s="632">
        <f>C48</f>
        <v>35394</v>
      </c>
      <c r="C56" s="633">
        <v>1</v>
      </c>
      <c r="D56" s="1109">
        <v>1</v>
      </c>
      <c r="E56" s="633">
        <f>'数据-汇总表'!E8+'数据-汇总表'!E9</f>
        <v>80721.099999999991</v>
      </c>
      <c r="F56" s="1049">
        <f t="shared" ref="F56:F65" si="15">ROUND(B56*E56/10000,0)</f>
        <v>285704</v>
      </c>
      <c r="G56" s="3315"/>
      <c r="H56" s="3291"/>
      <c r="I56" s="1054">
        <v>1</v>
      </c>
      <c r="J56" s="1057">
        <v>1</v>
      </c>
      <c r="K56" s="1091"/>
      <c r="L56" s="887"/>
      <c r="M56" s="887"/>
      <c r="N56" s="887"/>
      <c r="O56" s="887"/>
    </row>
    <row r="57" spans="1:15" s="635" customFormat="1">
      <c r="A57" s="636" t="s">
        <v>2638</v>
      </c>
      <c r="B57" s="205">
        <f>ROUND($C$48*C57*D57,0)</f>
        <v>0</v>
      </c>
      <c r="C57" s="143">
        <f t="shared" ref="C57:C65" si="16">IF($C$55="北京市系数",I57,J57)</f>
        <v>0</v>
      </c>
      <c r="D57" s="1110">
        <v>0.25</v>
      </c>
      <c r="E57" s="637"/>
      <c r="F57" s="1049">
        <f t="shared" si="15"/>
        <v>0</v>
      </c>
      <c r="G57" s="3316" t="s">
        <v>2639</v>
      </c>
      <c r="H57" s="1050" t="str">
        <f>项目基本情况!B37</f>
        <v>八级</v>
      </c>
      <c r="I57" s="1054">
        <f>SUMIF(修正!A45:A56,H57,修正!B45:B56)</f>
        <v>0.6</v>
      </c>
      <c r="J57" s="1058"/>
      <c r="K57" s="1090"/>
      <c r="L57" s="887"/>
      <c r="M57" s="887"/>
      <c r="N57" s="887"/>
      <c r="O57" s="887"/>
    </row>
    <row r="58" spans="1:15" s="635" customFormat="1">
      <c r="A58" s="636" t="s">
        <v>2640</v>
      </c>
      <c r="B58" s="205">
        <f t="shared" ref="B58:B65" si="17">ROUND($C$48*C58*D58,0)</f>
        <v>0</v>
      </c>
      <c r="C58" s="143">
        <f t="shared" si="16"/>
        <v>0</v>
      </c>
      <c r="D58" s="1110">
        <v>0.25</v>
      </c>
      <c r="E58" s="637"/>
      <c r="F58" s="1049">
        <f t="shared" si="15"/>
        <v>0</v>
      </c>
      <c r="G58" s="3316"/>
      <c r="H58" s="1050" t="str">
        <f>项目基本情况!B37</f>
        <v>八级</v>
      </c>
      <c r="I58" s="1054">
        <f>SUMIF(修正!A45:A56,H58,修正!C45:C56)</f>
        <v>0.3</v>
      </c>
      <c r="J58" s="1058"/>
      <c r="K58" s="1091"/>
      <c r="L58" s="887"/>
      <c r="M58" s="887"/>
      <c r="N58" s="887"/>
      <c r="O58" s="887"/>
    </row>
    <row r="59" spans="1:15" s="635" customFormat="1">
      <c r="A59" s="636" t="s">
        <v>2641</v>
      </c>
      <c r="B59" s="205">
        <f t="shared" si="17"/>
        <v>0</v>
      </c>
      <c r="C59" s="143">
        <f t="shared" si="16"/>
        <v>0</v>
      </c>
      <c r="D59" s="1110">
        <v>0.25</v>
      </c>
      <c r="E59" s="637"/>
      <c r="F59" s="1049">
        <f t="shared" si="15"/>
        <v>0</v>
      </c>
      <c r="G59" s="3316"/>
      <c r="H59" s="1050" t="str">
        <f>项目基本情况!B37</f>
        <v>八级</v>
      </c>
      <c r="I59" s="1054">
        <f>SUMIF(修正!A45:A56,H59,修正!D45:D56)</f>
        <v>0.2</v>
      </c>
      <c r="J59" s="1058"/>
      <c r="K59" s="1090"/>
      <c r="L59" s="887"/>
      <c r="M59" s="887"/>
      <c r="N59" s="887"/>
      <c r="O59" s="887"/>
    </row>
    <row r="60" spans="1:15" s="635" customFormat="1">
      <c r="A60" s="636" t="s">
        <v>2642</v>
      </c>
      <c r="B60" s="205">
        <f t="shared" si="17"/>
        <v>0</v>
      </c>
      <c r="C60" s="143">
        <f t="shared" si="16"/>
        <v>0</v>
      </c>
      <c r="D60" s="1110">
        <v>0.25</v>
      </c>
      <c r="E60" s="637"/>
      <c r="F60" s="1049">
        <f t="shared" si="15"/>
        <v>0</v>
      </c>
      <c r="G60" s="3316"/>
      <c r="H60" s="1050" t="str">
        <f>项目基本情况!B37</f>
        <v>八级</v>
      </c>
      <c r="I60" s="1054">
        <f>SUMIF(修正!A45:A56,H60,修正!E45:E56)</f>
        <v>0.2</v>
      </c>
      <c r="J60" s="1058"/>
      <c r="K60" s="1091"/>
      <c r="L60" s="887"/>
      <c r="M60" s="887"/>
      <c r="N60" s="887"/>
      <c r="O60" s="887"/>
    </row>
    <row r="61" spans="1:15" s="635" customFormat="1">
      <c r="A61" s="636" t="s">
        <v>2643</v>
      </c>
      <c r="B61" s="205">
        <f t="shared" si="17"/>
        <v>0</v>
      </c>
      <c r="C61" s="143">
        <f t="shared" si="16"/>
        <v>0</v>
      </c>
      <c r="D61" s="1110">
        <v>0.25</v>
      </c>
      <c r="E61" s="204">
        <f>'数据-汇总表'!E11</f>
        <v>0</v>
      </c>
      <c r="F61" s="1049">
        <f t="shared" si="15"/>
        <v>0</v>
      </c>
      <c r="G61" s="2572" t="s">
        <v>2644</v>
      </c>
      <c r="H61" s="1050">
        <f>项目基本情况!C37</f>
        <v>0</v>
      </c>
      <c r="I61" s="1054">
        <f>SUMIF(修正!A45:A56,H61,修正!F45:F56)</f>
        <v>0</v>
      </c>
      <c r="J61" s="1058"/>
      <c r="K61" s="1090"/>
      <c r="L61" s="887"/>
      <c r="M61" s="887"/>
      <c r="N61" s="887"/>
      <c r="O61" s="887"/>
    </row>
    <row r="62" spans="1:15" s="635" customFormat="1">
      <c r="A62" s="636" t="s">
        <v>2645</v>
      </c>
      <c r="B62" s="205">
        <f t="shared" si="17"/>
        <v>0</v>
      </c>
      <c r="C62" s="143">
        <f t="shared" si="16"/>
        <v>0</v>
      </c>
      <c r="D62" s="1110">
        <v>0.25</v>
      </c>
      <c r="E62" s="204">
        <f>'数据-汇总表'!E12</f>
        <v>0</v>
      </c>
      <c r="F62" s="1049">
        <f t="shared" si="15"/>
        <v>0</v>
      </c>
      <c r="G62" s="1055" t="s">
        <v>2646</v>
      </c>
      <c r="H62" s="1050">
        <f>IF(G62="商业",项目基本情况!B37,IF(G62="办公",项目基本情况!C37,IF(G62="住宅",项目基本情况!D37,项目基本情况!E37)))</f>
        <v>0</v>
      </c>
      <c r="I62" s="1054">
        <f>SUMIF(修正!A45:A56,H62,修正!G45:G56)</f>
        <v>0</v>
      </c>
      <c r="J62" s="1058"/>
      <c r="K62" s="1091"/>
      <c r="L62" s="887"/>
      <c r="M62" s="887"/>
      <c r="N62" s="887"/>
      <c r="O62" s="887"/>
    </row>
    <row r="63" spans="1:15" s="635" customFormat="1">
      <c r="A63" s="636" t="s">
        <v>2647</v>
      </c>
      <c r="B63" s="205">
        <f t="shared" si="17"/>
        <v>0</v>
      </c>
      <c r="C63" s="143">
        <f t="shared" si="16"/>
        <v>0</v>
      </c>
      <c r="D63" s="1110">
        <v>0.25</v>
      </c>
      <c r="E63" s="204">
        <f>'数据-汇总表'!E13</f>
        <v>30155.269999999997</v>
      </c>
      <c r="F63" s="1049">
        <f t="shared" si="15"/>
        <v>0</v>
      </c>
      <c r="G63" s="1055" t="s">
        <v>2648</v>
      </c>
      <c r="H63" s="1050" t="str">
        <f>IF(G63="商业",项目基本情况!B37,IF(G63="办公",项目基本情况!C37,IF(G63="住宅",项目基本情况!D37,项目基本情况!E37)))</f>
        <v>八级</v>
      </c>
      <c r="I63" s="1054">
        <f>SUMIF(修正!A45:A56,H63,修正!H45:H56)</f>
        <v>0.15</v>
      </c>
      <c r="J63" s="1058"/>
      <c r="K63" s="1090"/>
      <c r="L63" s="887"/>
      <c r="M63" s="887"/>
      <c r="N63" s="887"/>
      <c r="O63" s="887"/>
    </row>
    <row r="64" spans="1:15" s="635" customFormat="1">
      <c r="A64" s="636" t="s">
        <v>2649</v>
      </c>
      <c r="B64" s="205">
        <f t="shared" si="17"/>
        <v>0</v>
      </c>
      <c r="C64" s="143">
        <f t="shared" si="16"/>
        <v>0</v>
      </c>
      <c r="D64" s="1110">
        <v>0.25</v>
      </c>
      <c r="E64" s="204">
        <f>'数据-汇总表'!E14</f>
        <v>0</v>
      </c>
      <c r="F64" s="1049">
        <f t="shared" si="15"/>
        <v>0</v>
      </c>
      <c r="G64" s="2572" t="s">
        <v>2639</v>
      </c>
      <c r="H64" s="1050" t="str">
        <f>项目基本情况!B37</f>
        <v>八级</v>
      </c>
      <c r="I64" s="1054">
        <f>SUMIF(修正!A45:A56,H64,修正!H45:H56)</f>
        <v>0.15</v>
      </c>
      <c r="J64" s="1058"/>
      <c r="K64" s="1091"/>
      <c r="L64" s="887"/>
      <c r="M64" s="887"/>
      <c r="N64" s="887"/>
      <c r="O64" s="887"/>
    </row>
    <row r="65" spans="1:17" s="635" customFormat="1" ht="15" thickBot="1">
      <c r="A65" s="636" t="s">
        <v>2650</v>
      </c>
      <c r="B65" s="205">
        <f t="shared" si="17"/>
        <v>0</v>
      </c>
      <c r="C65" s="143">
        <f t="shared" si="16"/>
        <v>0</v>
      </c>
      <c r="D65" s="1110">
        <v>0.25</v>
      </c>
      <c r="E65" s="204">
        <f>'数据-汇总表'!E15</f>
        <v>0</v>
      </c>
      <c r="F65" s="1049">
        <f t="shared" si="15"/>
        <v>0</v>
      </c>
      <c r="G65" s="2573" t="s">
        <v>2644</v>
      </c>
      <c r="H65" s="1060">
        <f>项目基本情况!C37</f>
        <v>0</v>
      </c>
      <c r="I65" s="1056">
        <f>SUMIF(修正!A45:A56,H65,修正!H45:H56)</f>
        <v>0</v>
      </c>
      <c r="J65" s="1059"/>
      <c r="K65" s="1090"/>
      <c r="L65" s="887"/>
      <c r="M65" s="887"/>
      <c r="N65" s="887"/>
      <c r="O65" s="887"/>
    </row>
    <row r="66" spans="1:17" s="635" customFormat="1" ht="13.5" thickBot="1">
      <c r="A66" s="638" t="s">
        <v>2651</v>
      </c>
      <c r="B66" s="639" t="s">
        <v>28</v>
      </c>
      <c r="C66" s="639" t="s">
        <v>29</v>
      </c>
      <c r="D66" s="639" t="s">
        <v>1029</v>
      </c>
      <c r="E66" s="639">
        <f>IF(B46="楼面地价",SUM(E56:E65),'数据-汇总表'!D3)</f>
        <v>110876.37</v>
      </c>
      <c r="F66" s="640">
        <f>IF(B46="楼面地价",SUM(F56:F65),ROUND(C48*E66/10000,0))</f>
        <v>285704</v>
      </c>
      <c r="G66" s="730"/>
      <c r="H66" s="730"/>
      <c r="I66" s="730"/>
      <c r="J66" s="730"/>
      <c r="K66" s="1104"/>
      <c r="L66" s="887"/>
      <c r="M66" s="887"/>
      <c r="N66" s="887"/>
      <c r="O66" s="887"/>
    </row>
    <row r="67" spans="1:17">
      <c r="A67" s="702"/>
      <c r="B67" s="704"/>
      <c r="C67" s="705"/>
      <c r="D67" s="702"/>
      <c r="E67" s="702"/>
      <c r="F67" s="702"/>
      <c r="G67" s="702"/>
      <c r="H67" s="702"/>
      <c r="I67" s="702"/>
      <c r="J67" s="1090"/>
      <c r="K67" s="1051"/>
      <c r="L67" s="1052"/>
      <c r="M67" s="1090"/>
      <c r="N67" s="1090"/>
      <c r="O67" s="1090"/>
    </row>
    <row r="68" spans="1:17">
      <c r="A68" s="702"/>
      <c r="B68" s="704"/>
      <c r="C68" s="704" t="str">
        <f>YEAR(C7)&amp;"-"&amp;MONTH(C7)&amp;"-1"</f>
        <v>2018-7-1</v>
      </c>
      <c r="D68" s="704">
        <f>EDATE(C68,-3)</f>
        <v>43191</v>
      </c>
      <c r="E68" s="704">
        <f>EDATE(D68,-3)</f>
        <v>43101</v>
      </c>
      <c r="F68" s="704">
        <f t="shared" ref="F68:O68" si="18">EDATE(E68,-3)</f>
        <v>43009</v>
      </c>
      <c r="G68" s="704">
        <f t="shared" si="18"/>
        <v>42917</v>
      </c>
      <c r="H68" s="704">
        <f t="shared" si="18"/>
        <v>42826</v>
      </c>
      <c r="I68" s="704">
        <f t="shared" si="18"/>
        <v>42736</v>
      </c>
      <c r="J68" s="704">
        <f t="shared" si="18"/>
        <v>42644</v>
      </c>
      <c r="K68" s="704">
        <f t="shared" si="18"/>
        <v>42552</v>
      </c>
      <c r="L68" s="704">
        <f t="shared" si="18"/>
        <v>42461</v>
      </c>
      <c r="M68" s="704">
        <f t="shared" si="18"/>
        <v>42370</v>
      </c>
      <c r="N68" s="704">
        <f t="shared" si="18"/>
        <v>42278</v>
      </c>
      <c r="O68" s="704">
        <f t="shared" si="18"/>
        <v>42186</v>
      </c>
    </row>
    <row r="69" spans="1:17" ht="21.75" thickBot="1">
      <c r="A69" s="706" t="s">
        <v>2545</v>
      </c>
      <c r="B69" s="702"/>
      <c r="C69" s="707"/>
      <c r="D69" s="707"/>
      <c r="E69" s="707"/>
      <c r="F69" s="708"/>
      <c r="G69" s="708"/>
      <c r="H69" s="707"/>
      <c r="I69" s="707"/>
      <c r="J69" s="1105"/>
      <c r="K69" s="1106"/>
      <c r="L69" s="1107"/>
      <c r="M69" s="1105"/>
      <c r="N69" s="1105"/>
      <c r="O69" s="1105"/>
      <c r="P69" s="446"/>
      <c r="Q69" s="447"/>
    </row>
    <row r="70" spans="1:17" s="451" customFormat="1" ht="15">
      <c r="A70" s="2574" t="s">
        <v>2652</v>
      </c>
      <c r="B70" s="1291"/>
      <c r="C70" s="1502" t="str">
        <f>YEAR(C68)&amp;"-"&amp;ROUNDUP(MONTH(C68)/3,0)</f>
        <v>2018-3</v>
      </c>
      <c r="D70" s="1502" t="str">
        <f>YEAR(D68)&amp;"-"&amp;ROUNDUP(MONTH(D68)/3,0)</f>
        <v>2018-2</v>
      </c>
      <c r="E70" s="1502" t="str">
        <f t="shared" ref="E70:O70" si="19">YEAR(E68)&amp;"-"&amp;ROUNDUP(MONTH(E68)/3,0)</f>
        <v>2018-1</v>
      </c>
      <c r="F70" s="1502" t="str">
        <f t="shared" si="19"/>
        <v>2017-4</v>
      </c>
      <c r="G70" s="1502" t="str">
        <f t="shared" si="19"/>
        <v>2017-3</v>
      </c>
      <c r="H70" s="1502" t="str">
        <f t="shared" si="19"/>
        <v>2017-2</v>
      </c>
      <c r="I70" s="1502" t="str">
        <f t="shared" si="19"/>
        <v>2017-1</v>
      </c>
      <c r="J70" s="1502" t="str">
        <f t="shared" si="19"/>
        <v>2016-4</v>
      </c>
      <c r="K70" s="1502" t="str">
        <f t="shared" si="19"/>
        <v>2016-3</v>
      </c>
      <c r="L70" s="1502" t="str">
        <f t="shared" si="19"/>
        <v>2016-2</v>
      </c>
      <c r="M70" s="1502" t="str">
        <f t="shared" si="19"/>
        <v>2016-1</v>
      </c>
      <c r="N70" s="1502" t="str">
        <f t="shared" si="19"/>
        <v>2015-4</v>
      </c>
      <c r="O70" s="1502" t="str">
        <f t="shared" si="19"/>
        <v>2015-3</v>
      </c>
      <c r="P70" s="450"/>
    </row>
    <row r="71" spans="1:17" s="72" customFormat="1" ht="30" customHeight="1">
      <c r="A71" s="2575" t="s">
        <v>2653</v>
      </c>
      <c r="B71" s="275" t="str">
        <f>"北京市平均增长率"&amp;TEXT(SUMIF(基准地价修正!N21:N25,A71,基准地价修正!P21:P25),"0.00%")</f>
        <v>北京市平均增长率2.37%</v>
      </c>
      <c r="C71" s="546">
        <v>100</v>
      </c>
      <c r="D71" s="538">
        <f>C71-$C$72</f>
        <v>99.5</v>
      </c>
      <c r="E71" s="538">
        <f t="shared" ref="E71:O71" si="20">D71-$C$72</f>
        <v>99</v>
      </c>
      <c r="F71" s="538">
        <f t="shared" si="20"/>
        <v>98.5</v>
      </c>
      <c r="G71" s="538">
        <f t="shared" si="20"/>
        <v>98</v>
      </c>
      <c r="H71" s="538">
        <f t="shared" si="20"/>
        <v>97.5</v>
      </c>
      <c r="I71" s="538">
        <f t="shared" si="20"/>
        <v>97</v>
      </c>
      <c r="J71" s="538">
        <f t="shared" si="20"/>
        <v>96.5</v>
      </c>
      <c r="K71" s="538">
        <f t="shared" si="20"/>
        <v>96</v>
      </c>
      <c r="L71" s="538">
        <f t="shared" si="20"/>
        <v>95.5</v>
      </c>
      <c r="M71" s="538">
        <f t="shared" si="20"/>
        <v>95</v>
      </c>
      <c r="N71" s="538">
        <f t="shared" si="20"/>
        <v>94.5</v>
      </c>
      <c r="O71" s="538">
        <f t="shared" si="20"/>
        <v>94</v>
      </c>
      <c r="P71" s="447"/>
    </row>
    <row r="72" spans="1:17" s="72" customFormat="1" ht="15.75" thickBot="1">
      <c r="A72" s="458" t="s">
        <v>2456</v>
      </c>
      <c r="B72" s="459"/>
      <c r="C72" s="460">
        <v>0.5</v>
      </c>
      <c r="D72" s="461"/>
      <c r="E72" s="461"/>
      <c r="F72" s="461"/>
      <c r="G72" s="461"/>
      <c r="H72" s="461"/>
      <c r="I72" s="461"/>
      <c r="J72" s="461"/>
      <c r="K72" s="461"/>
      <c r="L72" s="461"/>
      <c r="M72" s="462"/>
      <c r="N72" s="461"/>
      <c r="O72" s="1108"/>
      <c r="P72" s="447"/>
      <c r="Q72" s="447"/>
    </row>
    <row r="73" spans="1:17" s="72" customFormat="1" ht="15">
      <c r="A73" s="464" t="s">
        <v>2421</v>
      </c>
      <c r="B73" s="453"/>
      <c r="C73" s="465" t="s">
        <v>2523</v>
      </c>
      <c r="D73" s="466"/>
      <c r="E73" s="466"/>
      <c r="F73" s="466"/>
      <c r="G73" s="466"/>
      <c r="H73" s="466"/>
      <c r="I73" s="466"/>
      <c r="J73" s="466"/>
      <c r="K73" s="466"/>
      <c r="L73" s="467"/>
      <c r="M73" s="468"/>
      <c r="N73" s="1097"/>
      <c r="O73" s="1097"/>
      <c r="P73" s="469"/>
      <c r="Q73" s="447"/>
    </row>
    <row r="74" spans="1:17" s="72" customFormat="1" ht="15.75" thickBot="1">
      <c r="A74" s="464"/>
      <c r="B74" s="453"/>
      <c r="C74" s="582">
        <v>100</v>
      </c>
      <c r="D74" s="455"/>
      <c r="E74" s="455"/>
      <c r="F74" s="455"/>
      <c r="G74" s="455"/>
      <c r="H74" s="455"/>
      <c r="I74" s="455"/>
      <c r="J74" s="455"/>
      <c r="K74" s="455"/>
      <c r="L74" s="455"/>
      <c r="M74" s="457"/>
      <c r="N74" s="1097"/>
      <c r="O74" s="1097"/>
      <c r="P74" s="447"/>
      <c r="Q74" s="447"/>
    </row>
    <row r="75" spans="1:17">
      <c r="A75" s="470" t="s">
        <v>2459</v>
      </c>
      <c r="B75" s="471" t="s">
        <v>2425</v>
      </c>
      <c r="C75" s="2832" t="s">
        <v>3317</v>
      </c>
      <c r="D75" s="473" t="str">
        <f>土地案例!G22</f>
        <v>居住用地</v>
      </c>
      <c r="E75" s="473"/>
      <c r="F75" s="473"/>
      <c r="G75" s="473"/>
      <c r="H75" s="473"/>
      <c r="I75" s="473"/>
      <c r="J75" s="473"/>
      <c r="K75" s="474"/>
      <c r="L75" s="475"/>
      <c r="M75" s="476"/>
      <c r="N75" s="1098"/>
      <c r="O75" s="1098"/>
      <c r="P75" s="45"/>
      <c r="Q75" s="447"/>
    </row>
    <row r="76" spans="1:17" ht="15.75" thickBot="1">
      <c r="A76" s="477"/>
      <c r="B76" s="478"/>
      <c r="C76" s="479">
        <v>100</v>
      </c>
      <c r="D76" s="479">
        <v>100</v>
      </c>
      <c r="E76" s="479"/>
      <c r="F76" s="479"/>
      <c r="G76" s="479"/>
      <c r="H76" s="479"/>
      <c r="I76" s="479"/>
      <c r="J76" s="479"/>
      <c r="K76" s="479"/>
      <c r="L76" s="479"/>
      <c r="M76" s="480"/>
      <c r="N76" s="1099"/>
      <c r="O76" s="1099"/>
      <c r="P76" s="45"/>
      <c r="Q76" s="447"/>
    </row>
    <row r="77" spans="1:17" ht="27.75" thickTop="1">
      <c r="A77" s="477"/>
      <c r="B77" s="481" t="s">
        <v>2428</v>
      </c>
      <c r="C77" s="482"/>
      <c r="D77" s="482"/>
      <c r="E77" s="482"/>
      <c r="F77" s="482"/>
      <c r="G77" s="482"/>
      <c r="H77" s="482"/>
      <c r="I77" s="482"/>
      <c r="J77" s="482"/>
      <c r="K77" s="483"/>
      <c r="L77" s="484"/>
      <c r="M77" s="485"/>
      <c r="N77" s="1098"/>
      <c r="O77" s="1098"/>
      <c r="P77" s="45"/>
      <c r="Q77" s="447"/>
    </row>
    <row r="78" spans="1:17" ht="15.75" thickBot="1">
      <c r="A78" s="477"/>
      <c r="B78" s="486"/>
      <c r="C78" s="487"/>
      <c r="D78" s="487"/>
      <c r="E78" s="487"/>
      <c r="F78" s="487"/>
      <c r="G78" s="487"/>
      <c r="H78" s="487"/>
      <c r="I78" s="487"/>
      <c r="J78" s="487"/>
      <c r="K78" s="487"/>
      <c r="L78" s="487"/>
      <c r="M78" s="488"/>
      <c r="N78" s="1099"/>
      <c r="O78" s="1099"/>
      <c r="P78" s="45"/>
      <c r="Q78" s="447"/>
    </row>
    <row r="79" spans="1:17" ht="15.75" thickTop="1">
      <c r="A79" s="477"/>
      <c r="B79" s="489" t="s">
        <v>2429</v>
      </c>
      <c r="C79" s="490" t="str">
        <f>C80&amp;"（含）"&amp;"-"&amp;D80</f>
        <v>1（含）-1.2</v>
      </c>
      <c r="D79" s="490" t="str">
        <f t="shared" ref="D79:L79" si="21">D80&amp;"（含）"&amp;"-"&amp;E80</f>
        <v>1.2（含）-1.4</v>
      </c>
      <c r="E79" s="490" t="str">
        <f t="shared" si="21"/>
        <v>1.4（含）-1.6</v>
      </c>
      <c r="F79" s="490" t="str">
        <f t="shared" si="21"/>
        <v>1.6（含）-1.8</v>
      </c>
      <c r="G79" s="490" t="str">
        <f t="shared" si="21"/>
        <v>1.8（含）-2</v>
      </c>
      <c r="H79" s="490" t="str">
        <f t="shared" si="21"/>
        <v>2（含）-2.2</v>
      </c>
      <c r="I79" s="490" t="str">
        <f t="shared" si="21"/>
        <v>2.2（含）-2.4</v>
      </c>
      <c r="J79" s="490" t="str">
        <f t="shared" si="21"/>
        <v>2.4（含）-2.6</v>
      </c>
      <c r="K79" s="490" t="str">
        <f t="shared" si="21"/>
        <v>2.6（含）-2.8</v>
      </c>
      <c r="L79" s="490" t="str">
        <f t="shared" si="21"/>
        <v>2.8（含）-3</v>
      </c>
      <c r="M79" s="391" t="str">
        <f>M80&amp;"（含）"&amp;"-"&amp;P80</f>
        <v>3（含）-</v>
      </c>
      <c r="N79" s="1099"/>
      <c r="O79" s="1099"/>
      <c r="P79" s="45"/>
      <c r="Q79" s="447"/>
    </row>
    <row r="80" spans="1:17" ht="15">
      <c r="A80" s="477"/>
      <c r="B80" s="491"/>
      <c r="C80" s="492">
        <v>1</v>
      </c>
      <c r="D80" s="492">
        <v>1.2</v>
      </c>
      <c r="E80" s="492">
        <v>1.4</v>
      </c>
      <c r="F80" s="492">
        <v>1.6</v>
      </c>
      <c r="G80" s="492">
        <v>1.8</v>
      </c>
      <c r="H80" s="492">
        <v>2</v>
      </c>
      <c r="I80" s="492">
        <v>2.2000000000000002</v>
      </c>
      <c r="J80" s="492">
        <v>2.4</v>
      </c>
      <c r="K80" s="493">
        <v>2.6</v>
      </c>
      <c r="L80" s="494">
        <v>2.8</v>
      </c>
      <c r="M80" s="495">
        <v>3</v>
      </c>
      <c r="N80" s="1098"/>
      <c r="O80" s="1098"/>
      <c r="P80" s="45"/>
      <c r="Q80" s="447"/>
    </row>
    <row r="81" spans="1:17" ht="15.75" thickBot="1">
      <c r="A81" s="477"/>
      <c r="B81" s="478"/>
      <c r="C81" s="487">
        <v>100</v>
      </c>
      <c r="D81" s="487">
        <f t="shared" ref="D81:M81" si="22">IF($B$46="单位面积地价",C81+$K11,C81-$K11)</f>
        <v>97</v>
      </c>
      <c r="E81" s="487">
        <f t="shared" si="22"/>
        <v>94</v>
      </c>
      <c r="F81" s="487">
        <f t="shared" si="22"/>
        <v>91</v>
      </c>
      <c r="G81" s="487">
        <f t="shared" si="22"/>
        <v>88</v>
      </c>
      <c r="H81" s="487">
        <f t="shared" si="22"/>
        <v>85</v>
      </c>
      <c r="I81" s="487">
        <f t="shared" si="22"/>
        <v>82</v>
      </c>
      <c r="J81" s="487">
        <f t="shared" si="22"/>
        <v>79</v>
      </c>
      <c r="K81" s="487">
        <f t="shared" si="22"/>
        <v>76</v>
      </c>
      <c r="L81" s="487">
        <f t="shared" si="22"/>
        <v>73</v>
      </c>
      <c r="M81" s="487">
        <f t="shared" si="22"/>
        <v>70</v>
      </c>
      <c r="N81" s="1099"/>
      <c r="O81" s="1099"/>
      <c r="P81" s="45"/>
      <c r="Q81" s="447"/>
    </row>
    <row r="82" spans="1:17" s="414" customFormat="1" ht="15.75" thickTop="1">
      <c r="A82" s="496"/>
      <c r="B82" s="481">
        <f>B12</f>
        <v>0</v>
      </c>
      <c r="C82" s="497"/>
      <c r="D82" s="497"/>
      <c r="E82" s="497"/>
      <c r="F82" s="497"/>
      <c r="G82" s="497"/>
      <c r="H82" s="498"/>
      <c r="I82" s="498"/>
      <c r="J82" s="498"/>
      <c r="K82" s="498"/>
      <c r="L82" s="499"/>
      <c r="M82" s="500"/>
      <c r="N82" s="1100"/>
      <c r="O82" s="1100"/>
      <c r="P82" s="501"/>
      <c r="Q82" s="502"/>
    </row>
    <row r="83" spans="1:17" s="414" customFormat="1" ht="15.75" thickBot="1">
      <c r="A83" s="496"/>
      <c r="B83" s="486"/>
      <c r="C83" s="503"/>
      <c r="D83" s="479"/>
      <c r="E83" s="479"/>
      <c r="F83" s="479"/>
      <c r="G83" s="479"/>
      <c r="H83" s="479"/>
      <c r="I83" s="479"/>
      <c r="J83" s="479"/>
      <c r="K83" s="479"/>
      <c r="L83" s="479"/>
      <c r="M83" s="480"/>
      <c r="N83" s="1099"/>
      <c r="O83" s="1099"/>
      <c r="P83" s="501"/>
      <c r="Q83" s="502"/>
    </row>
    <row r="84" spans="1:17" s="414" customFormat="1" ht="15.75" hidden="1" thickTop="1">
      <c r="A84" s="496"/>
      <c r="B84" s="481">
        <f>B13</f>
        <v>0</v>
      </c>
      <c r="C84" s="497"/>
      <c r="D84" s="497"/>
      <c r="E84" s="497"/>
      <c r="F84" s="497"/>
      <c r="G84" s="497"/>
      <c r="H84" s="498"/>
      <c r="I84" s="498"/>
      <c r="J84" s="498"/>
      <c r="K84" s="498"/>
      <c r="L84" s="499"/>
      <c r="M84" s="500"/>
      <c r="N84" s="1100"/>
      <c r="O84" s="1100"/>
      <c r="P84" s="413"/>
      <c r="Q84" s="504"/>
    </row>
    <row r="85" spans="1:17" s="414" customFormat="1" ht="15.75" hidden="1" thickBot="1">
      <c r="A85" s="496"/>
      <c r="B85" s="486"/>
      <c r="C85" s="503"/>
      <c r="D85" s="503"/>
      <c r="E85" s="503"/>
      <c r="F85" s="503"/>
      <c r="G85" s="503"/>
      <c r="H85" s="505"/>
      <c r="I85" s="505"/>
      <c r="J85" s="505"/>
      <c r="K85" s="505"/>
      <c r="L85" s="505"/>
      <c r="M85" s="506"/>
      <c r="N85" s="1100"/>
      <c r="O85" s="1100"/>
      <c r="P85" s="501"/>
      <c r="Q85" s="502"/>
    </row>
    <row r="86" spans="1:17" s="414" customFormat="1" ht="15.75" hidden="1" thickTop="1">
      <c r="A86" s="496"/>
      <c r="B86" s="489">
        <f>B14</f>
        <v>0</v>
      </c>
      <c r="C86" s="466"/>
      <c r="D86" s="466"/>
      <c r="E86" s="466"/>
      <c r="F86" s="466"/>
      <c r="G86" s="466"/>
      <c r="H86" s="507"/>
      <c r="I86" s="507"/>
      <c r="J86" s="507"/>
      <c r="K86" s="507"/>
      <c r="L86" s="508"/>
      <c r="M86" s="509"/>
      <c r="N86" s="1100"/>
      <c r="O86" s="1100"/>
      <c r="P86" s="510"/>
      <c r="Q86" s="502"/>
    </row>
    <row r="87" spans="1:17" s="414" customFormat="1" ht="15.75" hidden="1" thickBot="1">
      <c r="A87" s="511"/>
      <c r="B87" s="512"/>
      <c r="C87" s="513"/>
      <c r="D87" s="513"/>
      <c r="E87" s="513"/>
      <c r="F87" s="513"/>
      <c r="G87" s="513"/>
      <c r="H87" s="514"/>
      <c r="I87" s="514"/>
      <c r="J87" s="514"/>
      <c r="K87" s="514"/>
      <c r="L87" s="514"/>
      <c r="M87" s="515"/>
      <c r="N87" s="1100"/>
      <c r="O87" s="1100"/>
      <c r="P87" s="501"/>
      <c r="Q87" s="502"/>
    </row>
    <row r="88" spans="1:17" ht="15" thickTop="1">
      <c r="A88" s="470" t="s">
        <v>2430</v>
      </c>
      <c r="B88" s="471" t="s">
        <v>2467</v>
      </c>
      <c r="C88" s="516" t="s">
        <v>2468</v>
      </c>
      <c r="D88" s="516" t="s">
        <v>2469</v>
      </c>
      <c r="E88" s="516" t="s">
        <v>2470</v>
      </c>
      <c r="F88" s="516" t="s">
        <v>2471</v>
      </c>
      <c r="G88" s="516" t="s">
        <v>2472</v>
      </c>
      <c r="H88" s="472"/>
      <c r="I88" s="472"/>
      <c r="J88" s="472"/>
      <c r="K88" s="517"/>
      <c r="L88" s="518"/>
      <c r="M88" s="519"/>
      <c r="N88" s="1098"/>
      <c r="O88" s="1098"/>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9"/>
      <c r="O89" s="1099"/>
      <c r="P89" s="45"/>
      <c r="Q89" s="447"/>
    </row>
    <row r="90" spans="1:17" ht="15.75" thickTop="1">
      <c r="A90" s="477"/>
      <c r="B90" s="481" t="s">
        <v>2654</v>
      </c>
      <c r="C90" s="521" t="s">
        <v>2468</v>
      </c>
      <c r="D90" s="521" t="s">
        <v>2469</v>
      </c>
      <c r="E90" s="521" t="s">
        <v>2470</v>
      </c>
      <c r="F90" s="521" t="s">
        <v>2471</v>
      </c>
      <c r="G90" s="521" t="s">
        <v>2472</v>
      </c>
      <c r="H90" s="482"/>
      <c r="I90" s="482"/>
      <c r="J90" s="482"/>
      <c r="K90" s="483"/>
      <c r="L90" s="484"/>
      <c r="M90" s="485"/>
      <c r="N90" s="1098"/>
      <c r="O90" s="1098"/>
      <c r="P90" s="45"/>
      <c r="Q90" s="447"/>
    </row>
    <row r="91" spans="1:17" ht="15.75" thickBot="1">
      <c r="A91" s="477"/>
      <c r="B91" s="486"/>
      <c r="C91" s="487">
        <v>100</v>
      </c>
      <c r="D91" s="487">
        <f>C91-$K17</f>
        <v>100</v>
      </c>
      <c r="E91" s="487">
        <f>D91-$K17</f>
        <v>100</v>
      </c>
      <c r="F91" s="487">
        <f>E91-$K17</f>
        <v>100</v>
      </c>
      <c r="G91" s="487">
        <f>F91-$K17</f>
        <v>100</v>
      </c>
      <c r="H91" s="487"/>
      <c r="I91" s="487"/>
      <c r="J91" s="487"/>
      <c r="K91" s="487"/>
      <c r="L91" s="487"/>
      <c r="M91" s="488"/>
      <c r="N91" s="1099"/>
      <c r="O91" s="1099"/>
      <c r="P91" s="45"/>
      <c r="Q91" s="447"/>
    </row>
    <row r="92" spans="1:17" ht="15.75" hidden="1" thickTop="1">
      <c r="A92" s="477"/>
      <c r="B92" s="481" t="s">
        <v>2568</v>
      </c>
      <c r="C92" s="521" t="s">
        <v>2468</v>
      </c>
      <c r="D92" s="521" t="s">
        <v>2469</v>
      </c>
      <c r="E92" s="521" t="s">
        <v>2470</v>
      </c>
      <c r="F92" s="521" t="s">
        <v>2471</v>
      </c>
      <c r="G92" s="521" t="s">
        <v>2472</v>
      </c>
      <c r="H92" s="482"/>
      <c r="I92" s="482"/>
      <c r="J92" s="482"/>
      <c r="K92" s="483"/>
      <c r="L92" s="484"/>
      <c r="M92" s="485"/>
      <c r="N92" s="1098"/>
      <c r="O92" s="1098"/>
      <c r="P92" s="45"/>
      <c r="Q92" s="447"/>
    </row>
    <row r="93" spans="1:17" ht="15.75" hidden="1" thickBot="1">
      <c r="A93" s="477"/>
      <c r="B93" s="486"/>
      <c r="C93" s="487">
        <v>100</v>
      </c>
      <c r="D93" s="487">
        <f>C93-$K19</f>
        <v>100</v>
      </c>
      <c r="E93" s="487">
        <f>D93-$K19</f>
        <v>100</v>
      </c>
      <c r="F93" s="487">
        <f>E93-$K19</f>
        <v>100</v>
      </c>
      <c r="G93" s="487">
        <f>F93-$K19</f>
        <v>100</v>
      </c>
      <c r="H93" s="487"/>
      <c r="I93" s="487"/>
      <c r="J93" s="487"/>
      <c r="K93" s="487"/>
      <c r="L93" s="487"/>
      <c r="M93" s="488"/>
      <c r="N93" s="1099"/>
      <c r="O93" s="1099"/>
      <c r="P93" s="45"/>
      <c r="Q93" s="447"/>
    </row>
    <row r="94" spans="1:17" ht="15.75" thickTop="1">
      <c r="A94" s="477"/>
      <c r="B94" s="481" t="s">
        <v>2473</v>
      </c>
      <c r="C94" s="521" t="s">
        <v>2468</v>
      </c>
      <c r="D94" s="521" t="s">
        <v>2469</v>
      </c>
      <c r="E94" s="521" t="s">
        <v>2470</v>
      </c>
      <c r="F94" s="521" t="s">
        <v>2471</v>
      </c>
      <c r="G94" s="521" t="s">
        <v>2472</v>
      </c>
      <c r="H94" s="482"/>
      <c r="I94" s="482"/>
      <c r="J94" s="482"/>
      <c r="K94" s="483"/>
      <c r="L94" s="484"/>
      <c r="M94" s="485"/>
      <c r="N94" s="1098"/>
      <c r="O94" s="1098"/>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9"/>
      <c r="O95" s="1099"/>
      <c r="P95" s="45"/>
      <c r="Q95" s="447"/>
    </row>
    <row r="96" spans="1:17" s="72" customFormat="1" ht="15.75" thickTop="1">
      <c r="A96" s="522"/>
      <c r="B96" s="481" t="s">
        <v>2655</v>
      </c>
      <c r="C96" s="521" t="s">
        <v>2468</v>
      </c>
      <c r="D96" s="521" t="s">
        <v>2469</v>
      </c>
      <c r="E96" s="521" t="s">
        <v>2470</v>
      </c>
      <c r="F96" s="521" t="s">
        <v>2471</v>
      </c>
      <c r="G96" s="521" t="s">
        <v>2472</v>
      </c>
      <c r="H96" s="521"/>
      <c r="I96" s="521"/>
      <c r="J96" s="521"/>
      <c r="K96" s="521"/>
      <c r="L96" s="641"/>
      <c r="M96" s="565"/>
      <c r="N96" s="1097"/>
      <c r="O96" s="1097"/>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9"/>
      <c r="O97" s="1099"/>
      <c r="P97" s="45"/>
      <c r="Q97" s="447"/>
    </row>
    <row r="98" spans="1:17" s="72" customFormat="1" ht="27.75" thickTop="1">
      <c r="A98" s="522"/>
      <c r="B98" s="481" t="s">
        <v>2656</v>
      </c>
      <c r="C98" s="516" t="s">
        <v>2468</v>
      </c>
      <c r="D98" s="516" t="s">
        <v>2469</v>
      </c>
      <c r="E98" s="516" t="s">
        <v>2470</v>
      </c>
      <c r="F98" s="516" t="s">
        <v>2471</v>
      </c>
      <c r="G98" s="516" t="s">
        <v>2472</v>
      </c>
      <c r="H98" s="521"/>
      <c r="I98" s="521"/>
      <c r="J98" s="521"/>
      <c r="K98" s="521"/>
      <c r="L98" s="521"/>
      <c r="M98" s="565"/>
      <c r="N98" s="1097"/>
      <c r="O98" s="1097"/>
      <c r="P98" s="45"/>
      <c r="Q98" s="447"/>
    </row>
    <row r="99" spans="1:17" s="72" customFormat="1" ht="15.75" thickBot="1">
      <c r="A99" s="522"/>
      <c r="B99" s="486"/>
      <c r="C99" s="487">
        <v>100</v>
      </c>
      <c r="D99" s="487">
        <f>C99-$K25</f>
        <v>95</v>
      </c>
      <c r="E99" s="487">
        <f>D99-$K25</f>
        <v>90</v>
      </c>
      <c r="F99" s="487">
        <f>E99-$K25</f>
        <v>85</v>
      </c>
      <c r="G99" s="487">
        <f>F99-$K25</f>
        <v>80</v>
      </c>
      <c r="H99" s="487"/>
      <c r="I99" s="487"/>
      <c r="J99" s="487"/>
      <c r="K99" s="487"/>
      <c r="L99" s="487"/>
      <c r="M99" s="488"/>
      <c r="N99" s="1099"/>
      <c r="O99" s="1099"/>
      <c r="P99" s="45"/>
      <c r="Q99" s="447"/>
    </row>
    <row r="100" spans="1:17" s="414" customFormat="1" ht="15.75" thickTop="1">
      <c r="A100" s="496"/>
      <c r="B100" s="481" t="s">
        <v>2525</v>
      </c>
      <c r="C100" s="516" t="s">
        <v>2468</v>
      </c>
      <c r="D100" s="516" t="s">
        <v>2469</v>
      </c>
      <c r="E100" s="516" t="s">
        <v>2470</v>
      </c>
      <c r="F100" s="516" t="s">
        <v>2471</v>
      </c>
      <c r="G100" s="516" t="s">
        <v>2472</v>
      </c>
      <c r="H100" s="543"/>
      <c r="I100" s="543"/>
      <c r="J100" s="543"/>
      <c r="K100" s="543"/>
      <c r="L100" s="544"/>
      <c r="M100" s="545"/>
      <c r="N100" s="1100"/>
      <c r="O100" s="1100"/>
      <c r="P100" s="501"/>
      <c r="Q100" s="502"/>
    </row>
    <row r="101" spans="1:17" s="414" customFormat="1" ht="15.75" thickBot="1">
      <c r="A101" s="496"/>
      <c r="B101" s="486"/>
      <c r="C101" s="487">
        <v>100</v>
      </c>
      <c r="D101" s="487">
        <f>C101-$K27</f>
        <v>95</v>
      </c>
      <c r="E101" s="487">
        <f>D101-$K27</f>
        <v>90</v>
      </c>
      <c r="F101" s="487">
        <f>E101-$K27</f>
        <v>85</v>
      </c>
      <c r="G101" s="487">
        <f>F101-$K27</f>
        <v>80</v>
      </c>
      <c r="H101" s="550"/>
      <c r="I101" s="550"/>
      <c r="J101" s="550"/>
      <c r="K101" s="550"/>
      <c r="L101" s="550"/>
      <c r="M101" s="551"/>
      <c r="N101" s="1100"/>
      <c r="O101" s="1100"/>
      <c r="P101" s="501"/>
      <c r="Q101" s="502"/>
    </row>
    <row r="102" spans="1:17" s="414" customFormat="1" ht="15.75" thickTop="1">
      <c r="A102" s="496"/>
      <c r="B102" s="489" t="s">
        <v>2526</v>
      </c>
      <c r="C102" s="603" t="s">
        <v>2546</v>
      </c>
      <c r="D102" s="603" t="s">
        <v>2547</v>
      </c>
      <c r="E102" s="603" t="s">
        <v>2548</v>
      </c>
      <c r="F102" s="603" t="s">
        <v>2549</v>
      </c>
      <c r="G102" s="603" t="s">
        <v>2550</v>
      </c>
      <c r="H102" s="543"/>
      <c r="I102" s="543"/>
      <c r="J102" s="543"/>
      <c r="K102" s="543"/>
      <c r="L102" s="543"/>
      <c r="M102" s="1317"/>
      <c r="N102" s="1100"/>
      <c r="O102" s="1100"/>
      <c r="P102" s="501"/>
      <c r="Q102" s="502"/>
    </row>
    <row r="103" spans="1:17" s="414" customFormat="1" ht="15.75" thickBot="1">
      <c r="A103" s="496"/>
      <c r="B103" s="489"/>
      <c r="C103" s="487">
        <v>100</v>
      </c>
      <c r="D103" s="487">
        <f>C103-$K29</f>
        <v>99</v>
      </c>
      <c r="E103" s="487">
        <f>D103-$K29</f>
        <v>98</v>
      </c>
      <c r="F103" s="487">
        <f>E103-$K29</f>
        <v>97</v>
      </c>
      <c r="G103" s="487">
        <f>F103-$K29</f>
        <v>96</v>
      </c>
      <c r="H103" s="491"/>
      <c r="I103" s="491"/>
      <c r="J103" s="491"/>
      <c r="K103" s="491"/>
      <c r="L103" s="491"/>
      <c r="M103" s="1317"/>
      <c r="N103" s="1100"/>
      <c r="O103" s="1100"/>
      <c r="P103" s="501"/>
      <c r="Q103" s="502"/>
    </row>
    <row r="104" spans="1:17" ht="15.75" hidden="1" thickTop="1">
      <c r="A104" s="477"/>
      <c r="B104" s="481" t="str">
        <f>B31</f>
        <v>临街状况</v>
      </c>
      <c r="C104" s="482" t="s">
        <v>2657</v>
      </c>
      <c r="D104" s="482" t="s">
        <v>2658</v>
      </c>
      <c r="E104" s="482" t="s">
        <v>2659</v>
      </c>
      <c r="F104" s="482" t="s">
        <v>2660</v>
      </c>
      <c r="G104" s="482"/>
      <c r="H104" s="482"/>
      <c r="I104" s="482"/>
      <c r="J104" s="482"/>
      <c r="K104" s="483"/>
      <c r="L104" s="484"/>
      <c r="M104" s="485"/>
      <c r="N104" s="1098"/>
      <c r="O104" s="1098"/>
      <c r="P104" s="45"/>
      <c r="Q104" s="447"/>
    </row>
    <row r="105" spans="1:17" ht="15.75" hidden="1" thickBot="1">
      <c r="A105" s="477"/>
      <c r="B105" s="486"/>
      <c r="C105" s="487">
        <v>100</v>
      </c>
      <c r="D105" s="487">
        <f>C105-$K31</f>
        <v>100</v>
      </c>
      <c r="E105" s="487">
        <f t="shared" ref="E105:M105" si="23">D105-$K31</f>
        <v>100</v>
      </c>
      <c r="F105" s="487">
        <f t="shared" si="23"/>
        <v>100</v>
      </c>
      <c r="G105" s="487">
        <f t="shared" si="23"/>
        <v>100</v>
      </c>
      <c r="H105" s="487">
        <f t="shared" si="23"/>
        <v>100</v>
      </c>
      <c r="I105" s="487">
        <f t="shared" si="23"/>
        <v>100</v>
      </c>
      <c r="J105" s="487">
        <f t="shared" si="23"/>
        <v>100</v>
      </c>
      <c r="K105" s="487">
        <f t="shared" si="23"/>
        <v>100</v>
      </c>
      <c r="L105" s="487">
        <f t="shared" si="23"/>
        <v>100</v>
      </c>
      <c r="M105" s="487">
        <f t="shared" si="23"/>
        <v>100</v>
      </c>
      <c r="N105" s="1099"/>
      <c r="O105" s="1099"/>
      <c r="P105" s="45"/>
      <c r="Q105" s="447"/>
    </row>
    <row r="106" spans="1:17" ht="27.75" thickTop="1">
      <c r="A106" s="477"/>
      <c r="B106" s="481" t="s">
        <v>2562</v>
      </c>
      <c r="C106" s="2824" t="s">
        <v>3180</v>
      </c>
      <c r="D106" s="2824" t="s">
        <v>3181</v>
      </c>
      <c r="E106" s="2824" t="s">
        <v>3183</v>
      </c>
      <c r="F106" s="2824" t="s">
        <v>3184</v>
      </c>
      <c r="G106" s="497"/>
      <c r="H106" s="526"/>
      <c r="I106" s="526"/>
      <c r="J106" s="526"/>
      <c r="K106" s="527"/>
      <c r="L106" s="528"/>
      <c r="M106" s="529"/>
      <c r="N106" s="1098"/>
      <c r="O106" s="1098"/>
      <c r="P106" s="45"/>
      <c r="Q106" s="447"/>
    </row>
    <row r="107" spans="1:17" ht="15.75" thickBot="1">
      <c r="A107" s="477"/>
      <c r="B107" s="486"/>
      <c r="C107" s="487">
        <v>100</v>
      </c>
      <c r="D107" s="487">
        <f>C107-$K32</f>
        <v>99</v>
      </c>
      <c r="E107" s="487">
        <f t="shared" ref="E107:M107" si="24">D107-$K32</f>
        <v>98</v>
      </c>
      <c r="F107" s="487">
        <f t="shared" si="24"/>
        <v>97</v>
      </c>
      <c r="G107" s="487">
        <f t="shared" si="24"/>
        <v>96</v>
      </c>
      <c r="H107" s="487">
        <f t="shared" si="24"/>
        <v>95</v>
      </c>
      <c r="I107" s="487">
        <f t="shared" si="24"/>
        <v>94</v>
      </c>
      <c r="J107" s="487">
        <f t="shared" si="24"/>
        <v>93</v>
      </c>
      <c r="K107" s="487">
        <f t="shared" si="24"/>
        <v>92</v>
      </c>
      <c r="L107" s="487">
        <f t="shared" si="24"/>
        <v>91</v>
      </c>
      <c r="M107" s="487">
        <f t="shared" si="24"/>
        <v>90</v>
      </c>
      <c r="N107" s="1099"/>
      <c r="O107" s="1099"/>
      <c r="P107" s="45"/>
      <c r="Q107" s="447"/>
    </row>
    <row r="108" spans="1:17" ht="15.75" hidden="1" thickTop="1">
      <c r="A108" s="477"/>
      <c r="B108" s="481" t="s">
        <v>2620</v>
      </c>
      <c r="C108" s="526"/>
      <c r="D108" s="526"/>
      <c r="E108" s="526"/>
      <c r="F108" s="526"/>
      <c r="G108" s="526"/>
      <c r="H108" s="526"/>
      <c r="I108" s="526"/>
      <c r="J108" s="526"/>
      <c r="K108" s="527"/>
      <c r="L108" s="528"/>
      <c r="M108" s="529"/>
      <c r="N108" s="1098"/>
      <c r="O108" s="1098"/>
      <c r="P108" s="45"/>
      <c r="Q108" s="447"/>
    </row>
    <row r="109" spans="1:17" ht="15.75" hidden="1" thickBot="1">
      <c r="A109" s="477"/>
      <c r="B109" s="486"/>
      <c r="C109" s="487">
        <v>100</v>
      </c>
      <c r="D109" s="487">
        <f>C109-$K34</f>
        <v>100</v>
      </c>
      <c r="E109" s="487">
        <f t="shared" ref="E109:M109" si="25">D109-$K34</f>
        <v>100</v>
      </c>
      <c r="F109" s="487">
        <f t="shared" si="25"/>
        <v>100</v>
      </c>
      <c r="G109" s="487">
        <f t="shared" si="25"/>
        <v>100</v>
      </c>
      <c r="H109" s="487">
        <f t="shared" si="25"/>
        <v>100</v>
      </c>
      <c r="I109" s="487">
        <f t="shared" si="25"/>
        <v>100</v>
      </c>
      <c r="J109" s="487">
        <f t="shared" si="25"/>
        <v>100</v>
      </c>
      <c r="K109" s="487">
        <f t="shared" si="25"/>
        <v>100</v>
      </c>
      <c r="L109" s="487">
        <f t="shared" si="25"/>
        <v>100</v>
      </c>
      <c r="M109" s="487">
        <f t="shared" si="25"/>
        <v>100</v>
      </c>
      <c r="N109" s="1099"/>
      <c r="O109" s="1099"/>
      <c r="P109" s="45"/>
      <c r="Q109" s="447"/>
    </row>
    <row r="110" spans="1:17" ht="15.75" hidden="1" thickTop="1">
      <c r="A110" s="477"/>
      <c r="B110" s="489">
        <f>B35</f>
        <v>0</v>
      </c>
      <c r="C110" s="497"/>
      <c r="D110" s="497"/>
      <c r="E110" s="497"/>
      <c r="F110" s="497"/>
      <c r="G110" s="530"/>
      <c r="H110" s="530"/>
      <c r="I110" s="530"/>
      <c r="J110" s="530"/>
      <c r="K110" s="531"/>
      <c r="L110" s="532"/>
      <c r="M110" s="533"/>
      <c r="N110" s="1098"/>
      <c r="O110" s="1098"/>
      <c r="P110" s="45"/>
      <c r="Q110" s="447"/>
    </row>
    <row r="111" spans="1:17" ht="15.75" hidden="1" thickBot="1">
      <c r="A111" s="477"/>
      <c r="B111" s="512"/>
      <c r="C111" s="503"/>
      <c r="D111" s="503"/>
      <c r="E111" s="503"/>
      <c r="F111" s="503"/>
      <c r="G111" s="534"/>
      <c r="H111" s="534"/>
      <c r="I111" s="534"/>
      <c r="J111" s="534"/>
      <c r="K111" s="534"/>
      <c r="L111" s="534"/>
      <c r="M111" s="535"/>
      <c r="N111" s="1099"/>
      <c r="O111" s="1099"/>
      <c r="P111" s="45"/>
      <c r="Q111" s="447"/>
    </row>
    <row r="112" spans="1:17" ht="15" hidden="1" thickTop="1">
      <c r="A112" s="618"/>
      <c r="B112" s="481">
        <f>B36</f>
        <v>0</v>
      </c>
      <c r="C112" s="466"/>
      <c r="D112" s="466"/>
      <c r="E112" s="466"/>
      <c r="F112" s="466"/>
      <c r="G112" s="526"/>
      <c r="H112" s="526"/>
      <c r="I112" s="526"/>
      <c r="J112" s="526"/>
      <c r="K112" s="527"/>
      <c r="L112" s="528"/>
      <c r="M112" s="529"/>
      <c r="N112" s="1098"/>
      <c r="O112" s="1098"/>
      <c r="P112" s="45"/>
      <c r="Q112" s="447"/>
    </row>
    <row r="113" spans="1:17" ht="15.75" hidden="1" thickBot="1">
      <c r="A113" s="477"/>
      <c r="B113" s="486"/>
      <c r="C113" s="513"/>
      <c r="D113" s="513"/>
      <c r="E113" s="513"/>
      <c r="F113" s="513"/>
      <c r="G113" s="479"/>
      <c r="H113" s="479"/>
      <c r="I113" s="479"/>
      <c r="J113" s="479"/>
      <c r="K113" s="479"/>
      <c r="L113" s="479"/>
      <c r="M113" s="480"/>
      <c r="N113" s="1099"/>
      <c r="O113" s="1099"/>
      <c r="P113" s="45"/>
      <c r="Q113" s="447"/>
    </row>
    <row r="114" spans="1:17" s="414" customFormat="1" ht="15" hidden="1" thickTop="1">
      <c r="A114" s="536"/>
      <c r="B114" s="537">
        <f>B37</f>
        <v>0</v>
      </c>
      <c r="C114" s="538"/>
      <c r="D114" s="538"/>
      <c r="E114" s="538"/>
      <c r="F114" s="538"/>
      <c r="G114" s="538"/>
      <c r="H114" s="538"/>
      <c r="I114" s="538"/>
      <c r="J114" s="539"/>
      <c r="K114" s="539"/>
      <c r="L114" s="540"/>
      <c r="M114" s="541"/>
      <c r="N114" s="1100"/>
      <c r="O114" s="1100"/>
      <c r="P114" s="501"/>
      <c r="Q114" s="502"/>
    </row>
    <row r="115" spans="1:17" s="414" customFormat="1" ht="15.75" hidden="1" thickBot="1">
      <c r="A115" s="496"/>
      <c r="B115" s="489"/>
      <c r="C115" s="455"/>
      <c r="D115" s="620"/>
      <c r="E115" s="620"/>
      <c r="F115" s="620"/>
      <c r="G115" s="620"/>
      <c r="H115" s="620"/>
      <c r="I115" s="620"/>
      <c r="J115" s="620"/>
      <c r="K115" s="620"/>
      <c r="L115" s="620"/>
      <c r="M115" s="642"/>
      <c r="N115" s="1099"/>
      <c r="O115" s="1099"/>
      <c r="P115" s="501"/>
      <c r="Q115" s="502"/>
    </row>
    <row r="116" spans="1:17" ht="15" thickTop="1">
      <c r="A116" s="470" t="s">
        <v>2434</v>
      </c>
      <c r="B116" s="471" t="s">
        <v>2661</v>
      </c>
      <c r="C116" s="472" t="str">
        <f>C117&amp;"(含)"&amp;"-"&amp;D117</f>
        <v>0(含)-100000</v>
      </c>
      <c r="D116" s="472" t="str">
        <f t="shared" ref="D116:M116" si="26">D117&amp;"(含)"&amp;"-"&amp;E117</f>
        <v>100000(含)-</v>
      </c>
      <c r="E116" s="472" t="str">
        <f t="shared" si="26"/>
        <v>(含)-</v>
      </c>
      <c r="F116" s="472" t="str">
        <f t="shared" si="26"/>
        <v>(含)-</v>
      </c>
      <c r="G116" s="472" t="str">
        <f t="shared" si="26"/>
        <v>(含)-</v>
      </c>
      <c r="H116" s="472" t="str">
        <f t="shared" si="26"/>
        <v>(含)-</v>
      </c>
      <c r="I116" s="472" t="str">
        <f t="shared" si="26"/>
        <v>(含)-</v>
      </c>
      <c r="J116" s="472" t="str">
        <f t="shared" si="26"/>
        <v>(含)-</v>
      </c>
      <c r="K116" s="472" t="str">
        <f t="shared" si="26"/>
        <v>(含)-</v>
      </c>
      <c r="L116" s="472" t="str">
        <f t="shared" si="26"/>
        <v>(含)-</v>
      </c>
      <c r="M116" s="472" t="str">
        <f t="shared" si="26"/>
        <v>(含)-</v>
      </c>
      <c r="N116" s="1098"/>
      <c r="O116" s="1098"/>
      <c r="P116" s="45"/>
      <c r="Q116" s="447"/>
    </row>
    <row r="117" spans="1:17" ht="15">
      <c r="A117" s="477"/>
      <c r="B117" s="489"/>
      <c r="C117" s="538">
        <v>0</v>
      </c>
      <c r="D117" s="538">
        <v>100000</v>
      </c>
      <c r="E117" s="538"/>
      <c r="F117" s="538"/>
      <c r="G117" s="538"/>
      <c r="H117" s="538"/>
      <c r="I117" s="538"/>
      <c r="J117" s="539"/>
      <c r="K117" s="539"/>
      <c r="L117" s="540"/>
      <c r="M117" s="541"/>
      <c r="N117" s="1098"/>
      <c r="O117" s="1098"/>
      <c r="P117" s="45"/>
      <c r="Q117" s="447"/>
    </row>
    <row r="118" spans="1:17" ht="15.75" thickBot="1">
      <c r="A118" s="477"/>
      <c r="B118" s="486"/>
      <c r="C118" s="513">
        <v>100</v>
      </c>
      <c r="D118" s="534">
        <v>101</v>
      </c>
      <c r="E118" s="534"/>
      <c r="F118" s="534"/>
      <c r="G118" s="534"/>
      <c r="H118" s="534"/>
      <c r="I118" s="534"/>
      <c r="J118" s="534"/>
      <c r="K118" s="534"/>
      <c r="L118" s="534"/>
      <c r="M118" s="535"/>
      <c r="N118" s="1099"/>
      <c r="O118" s="1099"/>
      <c r="P118" s="45"/>
      <c r="Q118" s="447"/>
    </row>
    <row r="119" spans="1:17" ht="15" thickTop="1">
      <c r="A119" s="542"/>
      <c r="B119" s="481" t="s">
        <v>2662</v>
      </c>
      <c r="C119" s="2823" t="s">
        <v>3172</v>
      </c>
      <c r="D119" s="526"/>
      <c r="E119" s="526"/>
      <c r="F119" s="526"/>
      <c r="G119" s="526"/>
      <c r="H119" s="526"/>
      <c r="I119" s="526"/>
      <c r="J119" s="526"/>
      <c r="K119" s="527"/>
      <c r="L119" s="528"/>
      <c r="M119" s="529"/>
      <c r="N119" s="1098"/>
      <c r="O119" s="1098"/>
      <c r="P119" s="45"/>
      <c r="Q119" s="447"/>
    </row>
    <row r="120" spans="1:17" ht="15.75" thickBot="1">
      <c r="A120" s="477"/>
      <c r="B120" s="486"/>
      <c r="C120" s="487">
        <v>100</v>
      </c>
      <c r="D120" s="487">
        <f t="shared" ref="D120:M120" si="27">C120-$K39</f>
        <v>98</v>
      </c>
      <c r="E120" s="487">
        <f t="shared" si="27"/>
        <v>96</v>
      </c>
      <c r="F120" s="487">
        <f t="shared" si="27"/>
        <v>94</v>
      </c>
      <c r="G120" s="487">
        <f t="shared" si="27"/>
        <v>92</v>
      </c>
      <c r="H120" s="487">
        <f t="shared" si="27"/>
        <v>90</v>
      </c>
      <c r="I120" s="487">
        <f t="shared" si="27"/>
        <v>88</v>
      </c>
      <c r="J120" s="487">
        <f t="shared" si="27"/>
        <v>86</v>
      </c>
      <c r="K120" s="487">
        <f t="shared" si="27"/>
        <v>84</v>
      </c>
      <c r="L120" s="487">
        <f t="shared" si="27"/>
        <v>82</v>
      </c>
      <c r="M120" s="488">
        <f t="shared" si="27"/>
        <v>80</v>
      </c>
      <c r="N120" s="1099"/>
      <c r="O120" s="1099"/>
      <c r="P120" s="45"/>
      <c r="Q120" s="447"/>
    </row>
    <row r="121" spans="1:17" ht="15" hidden="1" thickTop="1">
      <c r="A121" s="542"/>
      <c r="B121" s="481" t="s">
        <v>2663</v>
      </c>
      <c r="C121" s="497"/>
      <c r="D121" s="497"/>
      <c r="E121" s="497"/>
      <c r="F121" s="526"/>
      <c r="G121" s="526"/>
      <c r="H121" s="526"/>
      <c r="I121" s="526"/>
      <c r="J121" s="526"/>
      <c r="K121" s="527"/>
      <c r="L121" s="528"/>
      <c r="M121" s="529"/>
      <c r="N121" s="1098"/>
      <c r="O121" s="1098"/>
      <c r="P121" s="45"/>
      <c r="Q121" s="447"/>
    </row>
    <row r="122" spans="1:17" ht="15.75" hidden="1" thickBot="1">
      <c r="A122" s="477"/>
      <c r="B122" s="486"/>
      <c r="C122" s="487">
        <v>100</v>
      </c>
      <c r="D122" s="487">
        <f t="shared" ref="D122:M122" si="28">C122-$K40</f>
        <v>100</v>
      </c>
      <c r="E122" s="487">
        <f t="shared" si="28"/>
        <v>100</v>
      </c>
      <c r="F122" s="487">
        <f t="shared" si="28"/>
        <v>100</v>
      </c>
      <c r="G122" s="487">
        <f t="shared" si="28"/>
        <v>100</v>
      </c>
      <c r="H122" s="487">
        <f t="shared" si="28"/>
        <v>100</v>
      </c>
      <c r="I122" s="487">
        <f t="shared" si="28"/>
        <v>100</v>
      </c>
      <c r="J122" s="487">
        <f t="shared" si="28"/>
        <v>100</v>
      </c>
      <c r="K122" s="487">
        <f t="shared" si="28"/>
        <v>100</v>
      </c>
      <c r="L122" s="487">
        <f t="shared" si="28"/>
        <v>100</v>
      </c>
      <c r="M122" s="488">
        <f t="shared" si="28"/>
        <v>100</v>
      </c>
      <c r="N122" s="1099"/>
      <c r="O122" s="1099"/>
      <c r="P122" s="45"/>
      <c r="Q122" s="447"/>
    </row>
    <row r="123" spans="1:17" s="414" customFormat="1" ht="15" thickTop="1">
      <c r="A123" s="536"/>
      <c r="B123" s="481" t="s">
        <v>2664</v>
      </c>
      <c r="C123" s="2824" t="s">
        <v>3174</v>
      </c>
      <c r="D123" s="2824" t="s">
        <v>3175</v>
      </c>
      <c r="E123" s="2824" t="s">
        <v>3176</v>
      </c>
      <c r="F123" s="2824" t="s">
        <v>3177</v>
      </c>
      <c r="G123" s="497"/>
      <c r="H123" s="526"/>
      <c r="I123" s="526"/>
      <c r="J123" s="526"/>
      <c r="K123" s="527"/>
      <c r="L123" s="528"/>
      <c r="M123" s="529"/>
      <c r="N123" s="1100"/>
      <c r="O123" s="1100"/>
      <c r="P123" s="501"/>
      <c r="Q123" s="502"/>
    </row>
    <row r="124" spans="1:17" s="414" customFormat="1" ht="15.75" thickBot="1">
      <c r="A124" s="496"/>
      <c r="B124" s="486"/>
      <c r="C124" s="487">
        <v>100</v>
      </c>
      <c r="D124" s="487">
        <f>C124-$K41</f>
        <v>98</v>
      </c>
      <c r="E124" s="487">
        <f t="shared" ref="E124:M124" si="29">D124-$K41</f>
        <v>96</v>
      </c>
      <c r="F124" s="487">
        <f t="shared" si="29"/>
        <v>94</v>
      </c>
      <c r="G124" s="487">
        <f t="shared" si="29"/>
        <v>92</v>
      </c>
      <c r="H124" s="487">
        <f t="shared" si="29"/>
        <v>90</v>
      </c>
      <c r="I124" s="487">
        <f t="shared" si="29"/>
        <v>88</v>
      </c>
      <c r="J124" s="487">
        <f t="shared" si="29"/>
        <v>86</v>
      </c>
      <c r="K124" s="487">
        <f t="shared" si="29"/>
        <v>84</v>
      </c>
      <c r="L124" s="487">
        <f t="shared" si="29"/>
        <v>82</v>
      </c>
      <c r="M124" s="488">
        <f t="shared" si="29"/>
        <v>80</v>
      </c>
      <c r="N124" s="1100"/>
      <c r="O124" s="1100"/>
      <c r="P124" s="501"/>
      <c r="Q124" s="502"/>
    </row>
    <row r="125" spans="1:17" ht="15" thickTop="1">
      <c r="A125" s="542"/>
      <c r="B125" s="481" t="s">
        <v>2665</v>
      </c>
      <c r="C125" s="2824" t="s">
        <v>3179</v>
      </c>
      <c r="D125" s="497"/>
      <c r="E125" s="526"/>
      <c r="F125" s="526"/>
      <c r="G125" s="526"/>
      <c r="H125" s="526"/>
      <c r="I125" s="526"/>
      <c r="J125" s="526"/>
      <c r="K125" s="527"/>
      <c r="L125" s="528"/>
      <c r="M125" s="529"/>
      <c r="N125" s="1098"/>
      <c r="O125" s="1098"/>
      <c r="P125" s="45"/>
      <c r="Q125" s="447"/>
    </row>
    <row r="126" spans="1:17" ht="15.75" thickBot="1">
      <c r="A126" s="477"/>
      <c r="B126" s="486"/>
      <c r="C126" s="487">
        <v>100</v>
      </c>
      <c r="D126" s="487">
        <f t="shared" ref="D126:M126" si="30">C126-$K42</f>
        <v>98</v>
      </c>
      <c r="E126" s="487">
        <f t="shared" si="30"/>
        <v>96</v>
      </c>
      <c r="F126" s="487">
        <f t="shared" si="30"/>
        <v>94</v>
      </c>
      <c r="G126" s="487">
        <f t="shared" si="30"/>
        <v>92</v>
      </c>
      <c r="H126" s="487">
        <f t="shared" si="30"/>
        <v>90</v>
      </c>
      <c r="I126" s="487">
        <f t="shared" si="30"/>
        <v>88</v>
      </c>
      <c r="J126" s="487">
        <f t="shared" si="30"/>
        <v>86</v>
      </c>
      <c r="K126" s="487">
        <f t="shared" si="30"/>
        <v>84</v>
      </c>
      <c r="L126" s="487">
        <f t="shared" si="30"/>
        <v>82</v>
      </c>
      <c r="M126" s="488">
        <f t="shared" si="30"/>
        <v>80</v>
      </c>
      <c r="N126" s="1099"/>
      <c r="O126" s="1099"/>
      <c r="P126" s="45"/>
      <c r="Q126" s="447"/>
    </row>
    <row r="127" spans="1:17" ht="15" thickTop="1">
      <c r="A127" s="542"/>
      <c r="B127" s="481">
        <f>B43</f>
        <v>0</v>
      </c>
      <c r="C127" s="497"/>
      <c r="D127" s="497"/>
      <c r="E127" s="497"/>
      <c r="F127" s="497"/>
      <c r="G127" s="497"/>
      <c r="H127" s="526"/>
      <c r="I127" s="526"/>
      <c r="J127" s="526"/>
      <c r="K127" s="527"/>
      <c r="L127" s="528"/>
      <c r="M127" s="529"/>
      <c r="N127" s="1098"/>
      <c r="O127" s="1098"/>
      <c r="P127" s="45"/>
      <c r="Q127" s="447"/>
    </row>
    <row r="128" spans="1:17" ht="15.75" thickBot="1">
      <c r="A128" s="477"/>
      <c r="B128" s="486"/>
      <c r="C128" s="503"/>
      <c r="D128" s="503"/>
      <c r="E128" s="503"/>
      <c r="F128" s="503"/>
      <c r="G128" s="479"/>
      <c r="H128" s="479"/>
      <c r="I128" s="479"/>
      <c r="J128" s="479"/>
      <c r="K128" s="479"/>
      <c r="L128" s="479"/>
      <c r="M128" s="480"/>
      <c r="N128" s="1099"/>
      <c r="O128" s="1099"/>
      <c r="P128" s="45"/>
      <c r="Q128" s="447"/>
    </row>
    <row r="129" spans="1:17" ht="15" thickTop="1">
      <c r="A129" s="542"/>
      <c r="B129" s="481">
        <f>B44</f>
        <v>0</v>
      </c>
      <c r="C129" s="466"/>
      <c r="D129" s="466"/>
      <c r="E129" s="466"/>
      <c r="F129" s="466"/>
      <c r="G129" s="526"/>
      <c r="H129" s="526"/>
      <c r="I129" s="526"/>
      <c r="J129" s="526"/>
      <c r="K129" s="527"/>
      <c r="L129" s="528"/>
      <c r="M129" s="529"/>
      <c r="N129" s="1098"/>
      <c r="O129" s="1098"/>
      <c r="P129" s="45"/>
      <c r="Q129" s="447"/>
    </row>
    <row r="130" spans="1:17" ht="15.75" thickBot="1">
      <c r="A130" s="477"/>
      <c r="B130" s="486"/>
      <c r="C130" s="513"/>
      <c r="D130" s="513"/>
      <c r="E130" s="513"/>
      <c r="F130" s="513"/>
      <c r="G130" s="479"/>
      <c r="H130" s="479"/>
      <c r="I130" s="479"/>
      <c r="J130" s="479"/>
      <c r="K130" s="479"/>
      <c r="L130" s="479"/>
      <c r="M130" s="480"/>
      <c r="N130" s="1099"/>
      <c r="O130" s="1099"/>
      <c r="P130" s="45"/>
      <c r="Q130" s="447"/>
    </row>
    <row r="131" spans="1:17" s="414" customFormat="1" ht="15" thickTop="1">
      <c r="A131" s="536"/>
      <c r="B131" s="481">
        <f>B45</f>
        <v>0</v>
      </c>
      <c r="C131" s="466"/>
      <c r="D131" s="466"/>
      <c r="E131" s="466"/>
      <c r="F131" s="466"/>
      <c r="G131" s="498"/>
      <c r="H131" s="498"/>
      <c r="I131" s="498"/>
      <c r="J131" s="498"/>
      <c r="K131" s="498"/>
      <c r="L131" s="499"/>
      <c r="M131" s="500"/>
      <c r="N131" s="1100"/>
      <c r="O131" s="1100"/>
      <c r="P131" s="501"/>
      <c r="Q131" s="502"/>
    </row>
    <row r="132" spans="1:17" s="414" customFormat="1" ht="15.75" thickBot="1">
      <c r="A132" s="511"/>
      <c r="B132" s="643"/>
      <c r="C132" s="513"/>
      <c r="D132" s="513"/>
      <c r="E132" s="513"/>
      <c r="F132" s="513"/>
      <c r="G132" s="534"/>
      <c r="H132" s="534"/>
      <c r="I132" s="534"/>
      <c r="J132" s="534"/>
      <c r="K132" s="534"/>
      <c r="L132" s="534"/>
      <c r="M132" s="535"/>
      <c r="N132" s="1100"/>
      <c r="O132" s="1100"/>
      <c r="P132" s="501"/>
      <c r="Q132" s="5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1"/>
  <sheetViews>
    <sheetView workbookViewId="0">
      <selection activeCell="D40" sqref="D40"/>
    </sheetView>
  </sheetViews>
  <sheetFormatPr defaultRowHeight="12.75"/>
  <cols>
    <col min="1" max="1" width="58" style="2826" customWidth="1"/>
    <col min="2" max="2" width="9.75" style="2826" hidden="1" customWidth="1"/>
    <col min="3" max="3" width="13.875" style="2826" hidden="1" customWidth="1"/>
    <col min="4" max="4" width="52.5" style="2826" customWidth="1"/>
    <col min="5" max="5" width="7.875" style="2826" hidden="1" customWidth="1"/>
    <col min="6" max="6" width="8.875" style="2826" customWidth="1"/>
    <col min="7" max="7" width="16.25" style="2826" customWidth="1"/>
    <col min="8" max="9" width="13.875" style="2826" customWidth="1"/>
    <col min="10" max="10" width="14.25" style="2826" customWidth="1"/>
    <col min="11" max="11" width="16.375" style="2826" customWidth="1"/>
    <col min="12" max="12" width="17.75" style="2826" customWidth="1"/>
    <col min="13" max="13" width="34.625" style="2826" customWidth="1"/>
    <col min="14" max="14" width="10.625" style="2826" customWidth="1"/>
    <col min="15" max="15" width="16" style="2826" customWidth="1"/>
    <col min="16" max="16" width="14.375" style="2826" customWidth="1"/>
    <col min="17" max="17" width="21.875" style="2826" customWidth="1"/>
    <col min="18" max="18" width="6.25" style="2826" customWidth="1"/>
    <col min="19" max="19" width="16.125" style="2826" customWidth="1"/>
    <col min="20" max="256" width="9" style="2805"/>
    <col min="257" max="257" width="58" style="2805" customWidth="1"/>
    <col min="258" max="258" width="6.25" style="2805" customWidth="1"/>
    <col min="259" max="259" width="13.875" style="2805" customWidth="1"/>
    <col min="260" max="260" width="52.5" style="2805" customWidth="1"/>
    <col min="261" max="261" width="7.875" style="2805" customWidth="1"/>
    <col min="262" max="262" width="8.875" style="2805" customWidth="1"/>
    <col min="263" max="263" width="67" style="2805" customWidth="1"/>
    <col min="264" max="265" width="13.875" style="2805" customWidth="1"/>
    <col min="266" max="266" width="57.25" style="2805" customWidth="1"/>
    <col min="267" max="267" width="9" style="2805" customWidth="1"/>
    <col min="268" max="268" width="17.75" style="2805" customWidth="1"/>
    <col min="269" max="269" width="63.375" style="2805" customWidth="1"/>
    <col min="270" max="270" width="10.625" style="2805" customWidth="1"/>
    <col min="271" max="271" width="16" style="2805" customWidth="1"/>
    <col min="272" max="272" width="14.375" style="2805" customWidth="1"/>
    <col min="273" max="273" width="21.875" style="2805" customWidth="1"/>
    <col min="274" max="274" width="6.25" style="2805" customWidth="1"/>
    <col min="275" max="275" width="16.125" style="2805" customWidth="1"/>
    <col min="276" max="512" width="9" style="2805"/>
    <col min="513" max="513" width="58" style="2805" customWidth="1"/>
    <col min="514" max="514" width="6.25" style="2805" customWidth="1"/>
    <col min="515" max="515" width="13.875" style="2805" customWidth="1"/>
    <col min="516" max="516" width="52.5" style="2805" customWidth="1"/>
    <col min="517" max="517" width="7.875" style="2805" customWidth="1"/>
    <col min="518" max="518" width="8.875" style="2805" customWidth="1"/>
    <col min="519" max="519" width="67" style="2805" customWidth="1"/>
    <col min="520" max="521" width="13.875" style="2805" customWidth="1"/>
    <col min="522" max="522" width="57.25" style="2805" customWidth="1"/>
    <col min="523" max="523" width="9" style="2805" customWidth="1"/>
    <col min="524" max="524" width="17.75" style="2805" customWidth="1"/>
    <col min="525" max="525" width="63.375" style="2805" customWidth="1"/>
    <col min="526" max="526" width="10.625" style="2805" customWidth="1"/>
    <col min="527" max="527" width="16" style="2805" customWidth="1"/>
    <col min="528" max="528" width="14.375" style="2805" customWidth="1"/>
    <col min="529" max="529" width="21.875" style="2805" customWidth="1"/>
    <col min="530" max="530" width="6.25" style="2805" customWidth="1"/>
    <col min="531" max="531" width="16.125" style="2805" customWidth="1"/>
    <col min="532" max="768" width="9" style="2805"/>
    <col min="769" max="769" width="58" style="2805" customWidth="1"/>
    <col min="770" max="770" width="6.25" style="2805" customWidth="1"/>
    <col min="771" max="771" width="13.875" style="2805" customWidth="1"/>
    <col min="772" max="772" width="52.5" style="2805" customWidth="1"/>
    <col min="773" max="773" width="7.875" style="2805" customWidth="1"/>
    <col min="774" max="774" width="8.875" style="2805" customWidth="1"/>
    <col min="775" max="775" width="67" style="2805" customWidth="1"/>
    <col min="776" max="777" width="13.875" style="2805" customWidth="1"/>
    <col min="778" max="778" width="57.25" style="2805" customWidth="1"/>
    <col min="779" max="779" width="9" style="2805" customWidth="1"/>
    <col min="780" max="780" width="17.75" style="2805" customWidth="1"/>
    <col min="781" max="781" width="63.375" style="2805" customWidth="1"/>
    <col min="782" max="782" width="10.625" style="2805" customWidth="1"/>
    <col min="783" max="783" width="16" style="2805" customWidth="1"/>
    <col min="784" max="784" width="14.375" style="2805" customWidth="1"/>
    <col min="785" max="785" width="21.875" style="2805" customWidth="1"/>
    <col min="786" max="786" width="6.25" style="2805" customWidth="1"/>
    <col min="787" max="787" width="16.125" style="2805" customWidth="1"/>
    <col min="788" max="1024" width="9" style="2805"/>
    <col min="1025" max="1025" width="58" style="2805" customWidth="1"/>
    <col min="1026" max="1026" width="6.25" style="2805" customWidth="1"/>
    <col min="1027" max="1027" width="13.875" style="2805" customWidth="1"/>
    <col min="1028" max="1028" width="52.5" style="2805" customWidth="1"/>
    <col min="1029" max="1029" width="7.875" style="2805" customWidth="1"/>
    <col min="1030" max="1030" width="8.875" style="2805" customWidth="1"/>
    <col min="1031" max="1031" width="67" style="2805" customWidth="1"/>
    <col min="1032" max="1033" width="13.875" style="2805" customWidth="1"/>
    <col min="1034" max="1034" width="57.25" style="2805" customWidth="1"/>
    <col min="1035" max="1035" width="9" style="2805" customWidth="1"/>
    <col min="1036" max="1036" width="17.75" style="2805" customWidth="1"/>
    <col min="1037" max="1037" width="63.375" style="2805" customWidth="1"/>
    <col min="1038" max="1038" width="10.625" style="2805" customWidth="1"/>
    <col min="1039" max="1039" width="16" style="2805" customWidth="1"/>
    <col min="1040" max="1040" width="14.375" style="2805" customWidth="1"/>
    <col min="1041" max="1041" width="21.875" style="2805" customWidth="1"/>
    <col min="1042" max="1042" width="6.25" style="2805" customWidth="1"/>
    <col min="1043" max="1043" width="16.125" style="2805" customWidth="1"/>
    <col min="1044" max="1280" width="9" style="2805"/>
    <col min="1281" max="1281" width="58" style="2805" customWidth="1"/>
    <col min="1282" max="1282" width="6.25" style="2805" customWidth="1"/>
    <col min="1283" max="1283" width="13.875" style="2805" customWidth="1"/>
    <col min="1284" max="1284" width="52.5" style="2805" customWidth="1"/>
    <col min="1285" max="1285" width="7.875" style="2805" customWidth="1"/>
    <col min="1286" max="1286" width="8.875" style="2805" customWidth="1"/>
    <col min="1287" max="1287" width="67" style="2805" customWidth="1"/>
    <col min="1288" max="1289" width="13.875" style="2805" customWidth="1"/>
    <col min="1290" max="1290" width="57.25" style="2805" customWidth="1"/>
    <col min="1291" max="1291" width="9" style="2805" customWidth="1"/>
    <col min="1292" max="1292" width="17.75" style="2805" customWidth="1"/>
    <col min="1293" max="1293" width="63.375" style="2805" customWidth="1"/>
    <col min="1294" max="1294" width="10.625" style="2805" customWidth="1"/>
    <col min="1295" max="1295" width="16" style="2805" customWidth="1"/>
    <col min="1296" max="1296" width="14.375" style="2805" customWidth="1"/>
    <col min="1297" max="1297" width="21.875" style="2805" customWidth="1"/>
    <col min="1298" max="1298" width="6.25" style="2805" customWidth="1"/>
    <col min="1299" max="1299" width="16.125" style="2805" customWidth="1"/>
    <col min="1300" max="1536" width="9" style="2805"/>
    <col min="1537" max="1537" width="58" style="2805" customWidth="1"/>
    <col min="1538" max="1538" width="6.25" style="2805" customWidth="1"/>
    <col min="1539" max="1539" width="13.875" style="2805" customWidth="1"/>
    <col min="1540" max="1540" width="52.5" style="2805" customWidth="1"/>
    <col min="1541" max="1541" width="7.875" style="2805" customWidth="1"/>
    <col min="1542" max="1542" width="8.875" style="2805" customWidth="1"/>
    <col min="1543" max="1543" width="67" style="2805" customWidth="1"/>
    <col min="1544" max="1545" width="13.875" style="2805" customWidth="1"/>
    <col min="1546" max="1546" width="57.25" style="2805" customWidth="1"/>
    <col min="1547" max="1547" width="9" style="2805" customWidth="1"/>
    <col min="1548" max="1548" width="17.75" style="2805" customWidth="1"/>
    <col min="1549" max="1549" width="63.375" style="2805" customWidth="1"/>
    <col min="1550" max="1550" width="10.625" style="2805" customWidth="1"/>
    <col min="1551" max="1551" width="16" style="2805" customWidth="1"/>
    <col min="1552" max="1552" width="14.375" style="2805" customWidth="1"/>
    <col min="1553" max="1553" width="21.875" style="2805" customWidth="1"/>
    <col min="1554" max="1554" width="6.25" style="2805" customWidth="1"/>
    <col min="1555" max="1555" width="16.125" style="2805" customWidth="1"/>
    <col min="1556" max="1792" width="9" style="2805"/>
    <col min="1793" max="1793" width="58" style="2805" customWidth="1"/>
    <col min="1794" max="1794" width="6.25" style="2805" customWidth="1"/>
    <col min="1795" max="1795" width="13.875" style="2805" customWidth="1"/>
    <col min="1796" max="1796" width="52.5" style="2805" customWidth="1"/>
    <col min="1797" max="1797" width="7.875" style="2805" customWidth="1"/>
    <col min="1798" max="1798" width="8.875" style="2805" customWidth="1"/>
    <col min="1799" max="1799" width="67" style="2805" customWidth="1"/>
    <col min="1800" max="1801" width="13.875" style="2805" customWidth="1"/>
    <col min="1802" max="1802" width="57.25" style="2805" customWidth="1"/>
    <col min="1803" max="1803" width="9" style="2805" customWidth="1"/>
    <col min="1804" max="1804" width="17.75" style="2805" customWidth="1"/>
    <col min="1805" max="1805" width="63.375" style="2805" customWidth="1"/>
    <col min="1806" max="1806" width="10.625" style="2805" customWidth="1"/>
    <col min="1807" max="1807" width="16" style="2805" customWidth="1"/>
    <col min="1808" max="1808" width="14.375" style="2805" customWidth="1"/>
    <col min="1809" max="1809" width="21.875" style="2805" customWidth="1"/>
    <col min="1810" max="1810" width="6.25" style="2805" customWidth="1"/>
    <col min="1811" max="1811" width="16.125" style="2805" customWidth="1"/>
    <col min="1812" max="2048" width="9" style="2805"/>
    <col min="2049" max="2049" width="58" style="2805" customWidth="1"/>
    <col min="2050" max="2050" width="6.25" style="2805" customWidth="1"/>
    <col min="2051" max="2051" width="13.875" style="2805" customWidth="1"/>
    <col min="2052" max="2052" width="52.5" style="2805" customWidth="1"/>
    <col min="2053" max="2053" width="7.875" style="2805" customWidth="1"/>
    <col min="2054" max="2054" width="8.875" style="2805" customWidth="1"/>
    <col min="2055" max="2055" width="67" style="2805" customWidth="1"/>
    <col min="2056" max="2057" width="13.875" style="2805" customWidth="1"/>
    <col min="2058" max="2058" width="57.25" style="2805" customWidth="1"/>
    <col min="2059" max="2059" width="9" style="2805" customWidth="1"/>
    <col min="2060" max="2060" width="17.75" style="2805" customWidth="1"/>
    <col min="2061" max="2061" width="63.375" style="2805" customWidth="1"/>
    <col min="2062" max="2062" width="10.625" style="2805" customWidth="1"/>
    <col min="2063" max="2063" width="16" style="2805" customWidth="1"/>
    <col min="2064" max="2064" width="14.375" style="2805" customWidth="1"/>
    <col min="2065" max="2065" width="21.875" style="2805" customWidth="1"/>
    <col min="2066" max="2066" width="6.25" style="2805" customWidth="1"/>
    <col min="2067" max="2067" width="16.125" style="2805" customWidth="1"/>
    <col min="2068" max="2304" width="9" style="2805"/>
    <col min="2305" max="2305" width="58" style="2805" customWidth="1"/>
    <col min="2306" max="2306" width="6.25" style="2805" customWidth="1"/>
    <col min="2307" max="2307" width="13.875" style="2805" customWidth="1"/>
    <col min="2308" max="2308" width="52.5" style="2805" customWidth="1"/>
    <col min="2309" max="2309" width="7.875" style="2805" customWidth="1"/>
    <col min="2310" max="2310" width="8.875" style="2805" customWidth="1"/>
    <col min="2311" max="2311" width="67" style="2805" customWidth="1"/>
    <col min="2312" max="2313" width="13.875" style="2805" customWidth="1"/>
    <col min="2314" max="2314" width="57.25" style="2805" customWidth="1"/>
    <col min="2315" max="2315" width="9" style="2805" customWidth="1"/>
    <col min="2316" max="2316" width="17.75" style="2805" customWidth="1"/>
    <col min="2317" max="2317" width="63.375" style="2805" customWidth="1"/>
    <col min="2318" max="2318" width="10.625" style="2805" customWidth="1"/>
    <col min="2319" max="2319" width="16" style="2805" customWidth="1"/>
    <col min="2320" max="2320" width="14.375" style="2805" customWidth="1"/>
    <col min="2321" max="2321" width="21.875" style="2805" customWidth="1"/>
    <col min="2322" max="2322" width="6.25" style="2805" customWidth="1"/>
    <col min="2323" max="2323" width="16.125" style="2805" customWidth="1"/>
    <col min="2324" max="2560" width="9" style="2805"/>
    <col min="2561" max="2561" width="58" style="2805" customWidth="1"/>
    <col min="2562" max="2562" width="6.25" style="2805" customWidth="1"/>
    <col min="2563" max="2563" width="13.875" style="2805" customWidth="1"/>
    <col min="2564" max="2564" width="52.5" style="2805" customWidth="1"/>
    <col min="2565" max="2565" width="7.875" style="2805" customWidth="1"/>
    <col min="2566" max="2566" width="8.875" style="2805" customWidth="1"/>
    <col min="2567" max="2567" width="67" style="2805" customWidth="1"/>
    <col min="2568" max="2569" width="13.875" style="2805" customWidth="1"/>
    <col min="2570" max="2570" width="57.25" style="2805" customWidth="1"/>
    <col min="2571" max="2571" width="9" style="2805" customWidth="1"/>
    <col min="2572" max="2572" width="17.75" style="2805" customWidth="1"/>
    <col min="2573" max="2573" width="63.375" style="2805" customWidth="1"/>
    <col min="2574" max="2574" width="10.625" style="2805" customWidth="1"/>
    <col min="2575" max="2575" width="16" style="2805" customWidth="1"/>
    <col min="2576" max="2576" width="14.375" style="2805" customWidth="1"/>
    <col min="2577" max="2577" width="21.875" style="2805" customWidth="1"/>
    <col min="2578" max="2578" width="6.25" style="2805" customWidth="1"/>
    <col min="2579" max="2579" width="16.125" style="2805" customWidth="1"/>
    <col min="2580" max="2816" width="9" style="2805"/>
    <col min="2817" max="2817" width="58" style="2805" customWidth="1"/>
    <col min="2818" max="2818" width="6.25" style="2805" customWidth="1"/>
    <col min="2819" max="2819" width="13.875" style="2805" customWidth="1"/>
    <col min="2820" max="2820" width="52.5" style="2805" customWidth="1"/>
    <col min="2821" max="2821" width="7.875" style="2805" customWidth="1"/>
    <col min="2822" max="2822" width="8.875" style="2805" customWidth="1"/>
    <col min="2823" max="2823" width="67" style="2805" customWidth="1"/>
    <col min="2824" max="2825" width="13.875" style="2805" customWidth="1"/>
    <col min="2826" max="2826" width="57.25" style="2805" customWidth="1"/>
    <col min="2827" max="2827" width="9" style="2805" customWidth="1"/>
    <col min="2828" max="2828" width="17.75" style="2805" customWidth="1"/>
    <col min="2829" max="2829" width="63.375" style="2805" customWidth="1"/>
    <col min="2830" max="2830" width="10.625" style="2805" customWidth="1"/>
    <col min="2831" max="2831" width="16" style="2805" customWidth="1"/>
    <col min="2832" max="2832" width="14.375" style="2805" customWidth="1"/>
    <col min="2833" max="2833" width="21.875" style="2805" customWidth="1"/>
    <col min="2834" max="2834" width="6.25" style="2805" customWidth="1"/>
    <col min="2835" max="2835" width="16.125" style="2805" customWidth="1"/>
    <col min="2836" max="3072" width="9" style="2805"/>
    <col min="3073" max="3073" width="58" style="2805" customWidth="1"/>
    <col min="3074" max="3074" width="6.25" style="2805" customWidth="1"/>
    <col min="3075" max="3075" width="13.875" style="2805" customWidth="1"/>
    <col min="3076" max="3076" width="52.5" style="2805" customWidth="1"/>
    <col min="3077" max="3077" width="7.875" style="2805" customWidth="1"/>
    <col min="3078" max="3078" width="8.875" style="2805" customWidth="1"/>
    <col min="3079" max="3079" width="67" style="2805" customWidth="1"/>
    <col min="3080" max="3081" width="13.875" style="2805" customWidth="1"/>
    <col min="3082" max="3082" width="57.25" style="2805" customWidth="1"/>
    <col min="3083" max="3083" width="9" style="2805" customWidth="1"/>
    <col min="3084" max="3084" width="17.75" style="2805" customWidth="1"/>
    <col min="3085" max="3085" width="63.375" style="2805" customWidth="1"/>
    <col min="3086" max="3086" width="10.625" style="2805" customWidth="1"/>
    <col min="3087" max="3087" width="16" style="2805" customWidth="1"/>
    <col min="3088" max="3088" width="14.375" style="2805" customWidth="1"/>
    <col min="3089" max="3089" width="21.875" style="2805" customWidth="1"/>
    <col min="3090" max="3090" width="6.25" style="2805" customWidth="1"/>
    <col min="3091" max="3091" width="16.125" style="2805" customWidth="1"/>
    <col min="3092" max="3328" width="9" style="2805"/>
    <col min="3329" max="3329" width="58" style="2805" customWidth="1"/>
    <col min="3330" max="3330" width="6.25" style="2805" customWidth="1"/>
    <col min="3331" max="3331" width="13.875" style="2805" customWidth="1"/>
    <col min="3332" max="3332" width="52.5" style="2805" customWidth="1"/>
    <col min="3333" max="3333" width="7.875" style="2805" customWidth="1"/>
    <col min="3334" max="3334" width="8.875" style="2805" customWidth="1"/>
    <col min="3335" max="3335" width="67" style="2805" customWidth="1"/>
    <col min="3336" max="3337" width="13.875" style="2805" customWidth="1"/>
    <col min="3338" max="3338" width="57.25" style="2805" customWidth="1"/>
    <col min="3339" max="3339" width="9" style="2805" customWidth="1"/>
    <col min="3340" max="3340" width="17.75" style="2805" customWidth="1"/>
    <col min="3341" max="3341" width="63.375" style="2805" customWidth="1"/>
    <col min="3342" max="3342" width="10.625" style="2805" customWidth="1"/>
    <col min="3343" max="3343" width="16" style="2805" customWidth="1"/>
    <col min="3344" max="3344" width="14.375" style="2805" customWidth="1"/>
    <col min="3345" max="3345" width="21.875" style="2805" customWidth="1"/>
    <col min="3346" max="3346" width="6.25" style="2805" customWidth="1"/>
    <col min="3347" max="3347" width="16.125" style="2805" customWidth="1"/>
    <col min="3348" max="3584" width="9" style="2805"/>
    <col min="3585" max="3585" width="58" style="2805" customWidth="1"/>
    <col min="3586" max="3586" width="6.25" style="2805" customWidth="1"/>
    <col min="3587" max="3587" width="13.875" style="2805" customWidth="1"/>
    <col min="3588" max="3588" width="52.5" style="2805" customWidth="1"/>
    <col min="3589" max="3589" width="7.875" style="2805" customWidth="1"/>
    <col min="3590" max="3590" width="8.875" style="2805" customWidth="1"/>
    <col min="3591" max="3591" width="67" style="2805" customWidth="1"/>
    <col min="3592" max="3593" width="13.875" style="2805" customWidth="1"/>
    <col min="3594" max="3594" width="57.25" style="2805" customWidth="1"/>
    <col min="3595" max="3595" width="9" style="2805" customWidth="1"/>
    <col min="3596" max="3596" width="17.75" style="2805" customWidth="1"/>
    <col min="3597" max="3597" width="63.375" style="2805" customWidth="1"/>
    <col min="3598" max="3598" width="10.625" style="2805" customWidth="1"/>
    <col min="3599" max="3599" width="16" style="2805" customWidth="1"/>
    <col min="3600" max="3600" width="14.375" style="2805" customWidth="1"/>
    <col min="3601" max="3601" width="21.875" style="2805" customWidth="1"/>
    <col min="3602" max="3602" width="6.25" style="2805" customWidth="1"/>
    <col min="3603" max="3603" width="16.125" style="2805" customWidth="1"/>
    <col min="3604" max="3840" width="9" style="2805"/>
    <col min="3841" max="3841" width="58" style="2805" customWidth="1"/>
    <col min="3842" max="3842" width="6.25" style="2805" customWidth="1"/>
    <col min="3843" max="3843" width="13.875" style="2805" customWidth="1"/>
    <col min="3844" max="3844" width="52.5" style="2805" customWidth="1"/>
    <col min="3845" max="3845" width="7.875" style="2805" customWidth="1"/>
    <col min="3846" max="3846" width="8.875" style="2805" customWidth="1"/>
    <col min="3847" max="3847" width="67" style="2805" customWidth="1"/>
    <col min="3848" max="3849" width="13.875" style="2805" customWidth="1"/>
    <col min="3850" max="3850" width="57.25" style="2805" customWidth="1"/>
    <col min="3851" max="3851" width="9" style="2805" customWidth="1"/>
    <col min="3852" max="3852" width="17.75" style="2805" customWidth="1"/>
    <col min="3853" max="3853" width="63.375" style="2805" customWidth="1"/>
    <col min="3854" max="3854" width="10.625" style="2805" customWidth="1"/>
    <col min="3855" max="3855" width="16" style="2805" customWidth="1"/>
    <col min="3856" max="3856" width="14.375" style="2805" customWidth="1"/>
    <col min="3857" max="3857" width="21.875" style="2805" customWidth="1"/>
    <col min="3858" max="3858" width="6.25" style="2805" customWidth="1"/>
    <col min="3859" max="3859" width="16.125" style="2805" customWidth="1"/>
    <col min="3860" max="4096" width="9" style="2805"/>
    <col min="4097" max="4097" width="58" style="2805" customWidth="1"/>
    <col min="4098" max="4098" width="6.25" style="2805" customWidth="1"/>
    <col min="4099" max="4099" width="13.875" style="2805" customWidth="1"/>
    <col min="4100" max="4100" width="52.5" style="2805" customWidth="1"/>
    <col min="4101" max="4101" width="7.875" style="2805" customWidth="1"/>
    <col min="4102" max="4102" width="8.875" style="2805" customWidth="1"/>
    <col min="4103" max="4103" width="67" style="2805" customWidth="1"/>
    <col min="4104" max="4105" width="13.875" style="2805" customWidth="1"/>
    <col min="4106" max="4106" width="57.25" style="2805" customWidth="1"/>
    <col min="4107" max="4107" width="9" style="2805" customWidth="1"/>
    <col min="4108" max="4108" width="17.75" style="2805" customWidth="1"/>
    <col min="4109" max="4109" width="63.375" style="2805" customWidth="1"/>
    <col min="4110" max="4110" width="10.625" style="2805" customWidth="1"/>
    <col min="4111" max="4111" width="16" style="2805" customWidth="1"/>
    <col min="4112" max="4112" width="14.375" style="2805" customWidth="1"/>
    <col min="4113" max="4113" width="21.875" style="2805" customWidth="1"/>
    <col min="4114" max="4114" width="6.25" style="2805" customWidth="1"/>
    <col min="4115" max="4115" width="16.125" style="2805" customWidth="1"/>
    <col min="4116" max="4352" width="9" style="2805"/>
    <col min="4353" max="4353" width="58" style="2805" customWidth="1"/>
    <col min="4354" max="4354" width="6.25" style="2805" customWidth="1"/>
    <col min="4355" max="4355" width="13.875" style="2805" customWidth="1"/>
    <col min="4356" max="4356" width="52.5" style="2805" customWidth="1"/>
    <col min="4357" max="4357" width="7.875" style="2805" customWidth="1"/>
    <col min="4358" max="4358" width="8.875" style="2805" customWidth="1"/>
    <col min="4359" max="4359" width="67" style="2805" customWidth="1"/>
    <col min="4360" max="4361" width="13.875" style="2805" customWidth="1"/>
    <col min="4362" max="4362" width="57.25" style="2805" customWidth="1"/>
    <col min="4363" max="4363" width="9" style="2805" customWidth="1"/>
    <col min="4364" max="4364" width="17.75" style="2805" customWidth="1"/>
    <col min="4365" max="4365" width="63.375" style="2805" customWidth="1"/>
    <col min="4366" max="4366" width="10.625" style="2805" customWidth="1"/>
    <col min="4367" max="4367" width="16" style="2805" customWidth="1"/>
    <col min="4368" max="4368" width="14.375" style="2805" customWidth="1"/>
    <col min="4369" max="4369" width="21.875" style="2805" customWidth="1"/>
    <col min="4370" max="4370" width="6.25" style="2805" customWidth="1"/>
    <col min="4371" max="4371" width="16.125" style="2805" customWidth="1"/>
    <col min="4372" max="4608" width="9" style="2805"/>
    <col min="4609" max="4609" width="58" style="2805" customWidth="1"/>
    <col min="4610" max="4610" width="6.25" style="2805" customWidth="1"/>
    <col min="4611" max="4611" width="13.875" style="2805" customWidth="1"/>
    <col min="4612" max="4612" width="52.5" style="2805" customWidth="1"/>
    <col min="4613" max="4613" width="7.875" style="2805" customWidth="1"/>
    <col min="4614" max="4614" width="8.875" style="2805" customWidth="1"/>
    <col min="4615" max="4615" width="67" style="2805" customWidth="1"/>
    <col min="4616" max="4617" width="13.875" style="2805" customWidth="1"/>
    <col min="4618" max="4618" width="57.25" style="2805" customWidth="1"/>
    <col min="4619" max="4619" width="9" style="2805" customWidth="1"/>
    <col min="4620" max="4620" width="17.75" style="2805" customWidth="1"/>
    <col min="4621" max="4621" width="63.375" style="2805" customWidth="1"/>
    <col min="4622" max="4622" width="10.625" style="2805" customWidth="1"/>
    <col min="4623" max="4623" width="16" style="2805" customWidth="1"/>
    <col min="4624" max="4624" width="14.375" style="2805" customWidth="1"/>
    <col min="4625" max="4625" width="21.875" style="2805" customWidth="1"/>
    <col min="4626" max="4626" width="6.25" style="2805" customWidth="1"/>
    <col min="4627" max="4627" width="16.125" style="2805" customWidth="1"/>
    <col min="4628" max="4864" width="9" style="2805"/>
    <col min="4865" max="4865" width="58" style="2805" customWidth="1"/>
    <col min="4866" max="4866" width="6.25" style="2805" customWidth="1"/>
    <col min="4867" max="4867" width="13.875" style="2805" customWidth="1"/>
    <col min="4868" max="4868" width="52.5" style="2805" customWidth="1"/>
    <col min="4869" max="4869" width="7.875" style="2805" customWidth="1"/>
    <col min="4870" max="4870" width="8.875" style="2805" customWidth="1"/>
    <col min="4871" max="4871" width="67" style="2805" customWidth="1"/>
    <col min="4872" max="4873" width="13.875" style="2805" customWidth="1"/>
    <col min="4874" max="4874" width="57.25" style="2805" customWidth="1"/>
    <col min="4875" max="4875" width="9" style="2805" customWidth="1"/>
    <col min="4876" max="4876" width="17.75" style="2805" customWidth="1"/>
    <col min="4877" max="4877" width="63.375" style="2805" customWidth="1"/>
    <col min="4878" max="4878" width="10.625" style="2805" customWidth="1"/>
    <col min="4879" max="4879" width="16" style="2805" customWidth="1"/>
    <col min="4880" max="4880" width="14.375" style="2805" customWidth="1"/>
    <col min="4881" max="4881" width="21.875" style="2805" customWidth="1"/>
    <col min="4882" max="4882" width="6.25" style="2805" customWidth="1"/>
    <col min="4883" max="4883" width="16.125" style="2805" customWidth="1"/>
    <col min="4884" max="5120" width="9" style="2805"/>
    <col min="5121" max="5121" width="58" style="2805" customWidth="1"/>
    <col min="5122" max="5122" width="6.25" style="2805" customWidth="1"/>
    <col min="5123" max="5123" width="13.875" style="2805" customWidth="1"/>
    <col min="5124" max="5124" width="52.5" style="2805" customWidth="1"/>
    <col min="5125" max="5125" width="7.875" style="2805" customWidth="1"/>
    <col min="5126" max="5126" width="8.875" style="2805" customWidth="1"/>
    <col min="5127" max="5127" width="67" style="2805" customWidth="1"/>
    <col min="5128" max="5129" width="13.875" style="2805" customWidth="1"/>
    <col min="5130" max="5130" width="57.25" style="2805" customWidth="1"/>
    <col min="5131" max="5131" width="9" style="2805" customWidth="1"/>
    <col min="5132" max="5132" width="17.75" style="2805" customWidth="1"/>
    <col min="5133" max="5133" width="63.375" style="2805" customWidth="1"/>
    <col min="5134" max="5134" width="10.625" style="2805" customWidth="1"/>
    <col min="5135" max="5135" width="16" style="2805" customWidth="1"/>
    <col min="5136" max="5136" width="14.375" style="2805" customWidth="1"/>
    <col min="5137" max="5137" width="21.875" style="2805" customWidth="1"/>
    <col min="5138" max="5138" width="6.25" style="2805" customWidth="1"/>
    <col min="5139" max="5139" width="16.125" style="2805" customWidth="1"/>
    <col min="5140" max="5376" width="9" style="2805"/>
    <col min="5377" max="5377" width="58" style="2805" customWidth="1"/>
    <col min="5378" max="5378" width="6.25" style="2805" customWidth="1"/>
    <col min="5379" max="5379" width="13.875" style="2805" customWidth="1"/>
    <col min="5380" max="5380" width="52.5" style="2805" customWidth="1"/>
    <col min="5381" max="5381" width="7.875" style="2805" customWidth="1"/>
    <col min="5382" max="5382" width="8.875" style="2805" customWidth="1"/>
    <col min="5383" max="5383" width="67" style="2805" customWidth="1"/>
    <col min="5384" max="5385" width="13.875" style="2805" customWidth="1"/>
    <col min="5386" max="5386" width="57.25" style="2805" customWidth="1"/>
    <col min="5387" max="5387" width="9" style="2805" customWidth="1"/>
    <col min="5388" max="5388" width="17.75" style="2805" customWidth="1"/>
    <col min="5389" max="5389" width="63.375" style="2805" customWidth="1"/>
    <col min="5390" max="5390" width="10.625" style="2805" customWidth="1"/>
    <col min="5391" max="5391" width="16" style="2805" customWidth="1"/>
    <col min="5392" max="5392" width="14.375" style="2805" customWidth="1"/>
    <col min="5393" max="5393" width="21.875" style="2805" customWidth="1"/>
    <col min="5394" max="5394" width="6.25" style="2805" customWidth="1"/>
    <col min="5395" max="5395" width="16.125" style="2805" customWidth="1"/>
    <col min="5396" max="5632" width="9" style="2805"/>
    <col min="5633" max="5633" width="58" style="2805" customWidth="1"/>
    <col min="5634" max="5634" width="6.25" style="2805" customWidth="1"/>
    <col min="5635" max="5635" width="13.875" style="2805" customWidth="1"/>
    <col min="5636" max="5636" width="52.5" style="2805" customWidth="1"/>
    <col min="5637" max="5637" width="7.875" style="2805" customWidth="1"/>
    <col min="5638" max="5638" width="8.875" style="2805" customWidth="1"/>
    <col min="5639" max="5639" width="67" style="2805" customWidth="1"/>
    <col min="5640" max="5641" width="13.875" style="2805" customWidth="1"/>
    <col min="5642" max="5642" width="57.25" style="2805" customWidth="1"/>
    <col min="5643" max="5643" width="9" style="2805" customWidth="1"/>
    <col min="5644" max="5644" width="17.75" style="2805" customWidth="1"/>
    <col min="5645" max="5645" width="63.375" style="2805" customWidth="1"/>
    <col min="5646" max="5646" width="10.625" style="2805" customWidth="1"/>
    <col min="5647" max="5647" width="16" style="2805" customWidth="1"/>
    <col min="5648" max="5648" width="14.375" style="2805" customWidth="1"/>
    <col min="5649" max="5649" width="21.875" style="2805" customWidth="1"/>
    <col min="5650" max="5650" width="6.25" style="2805" customWidth="1"/>
    <col min="5651" max="5651" width="16.125" style="2805" customWidth="1"/>
    <col min="5652" max="5888" width="9" style="2805"/>
    <col min="5889" max="5889" width="58" style="2805" customWidth="1"/>
    <col min="5890" max="5890" width="6.25" style="2805" customWidth="1"/>
    <col min="5891" max="5891" width="13.875" style="2805" customWidth="1"/>
    <col min="5892" max="5892" width="52.5" style="2805" customWidth="1"/>
    <col min="5893" max="5893" width="7.875" style="2805" customWidth="1"/>
    <col min="5894" max="5894" width="8.875" style="2805" customWidth="1"/>
    <col min="5895" max="5895" width="67" style="2805" customWidth="1"/>
    <col min="5896" max="5897" width="13.875" style="2805" customWidth="1"/>
    <col min="5898" max="5898" width="57.25" style="2805" customWidth="1"/>
    <col min="5899" max="5899" width="9" style="2805" customWidth="1"/>
    <col min="5900" max="5900" width="17.75" style="2805" customWidth="1"/>
    <col min="5901" max="5901" width="63.375" style="2805" customWidth="1"/>
    <col min="5902" max="5902" width="10.625" style="2805" customWidth="1"/>
    <col min="5903" max="5903" width="16" style="2805" customWidth="1"/>
    <col min="5904" max="5904" width="14.375" style="2805" customWidth="1"/>
    <col min="5905" max="5905" width="21.875" style="2805" customWidth="1"/>
    <col min="5906" max="5906" width="6.25" style="2805" customWidth="1"/>
    <col min="5907" max="5907" width="16.125" style="2805" customWidth="1"/>
    <col min="5908" max="6144" width="9" style="2805"/>
    <col min="6145" max="6145" width="58" style="2805" customWidth="1"/>
    <col min="6146" max="6146" width="6.25" style="2805" customWidth="1"/>
    <col min="6147" max="6147" width="13.875" style="2805" customWidth="1"/>
    <col min="6148" max="6148" width="52.5" style="2805" customWidth="1"/>
    <col min="6149" max="6149" width="7.875" style="2805" customWidth="1"/>
    <col min="6150" max="6150" width="8.875" style="2805" customWidth="1"/>
    <col min="6151" max="6151" width="67" style="2805" customWidth="1"/>
    <col min="6152" max="6153" width="13.875" style="2805" customWidth="1"/>
    <col min="6154" max="6154" width="57.25" style="2805" customWidth="1"/>
    <col min="6155" max="6155" width="9" style="2805" customWidth="1"/>
    <col min="6156" max="6156" width="17.75" style="2805" customWidth="1"/>
    <col min="6157" max="6157" width="63.375" style="2805" customWidth="1"/>
    <col min="6158" max="6158" width="10.625" style="2805" customWidth="1"/>
    <col min="6159" max="6159" width="16" style="2805" customWidth="1"/>
    <col min="6160" max="6160" width="14.375" style="2805" customWidth="1"/>
    <col min="6161" max="6161" width="21.875" style="2805" customWidth="1"/>
    <col min="6162" max="6162" width="6.25" style="2805" customWidth="1"/>
    <col min="6163" max="6163" width="16.125" style="2805" customWidth="1"/>
    <col min="6164" max="6400" width="9" style="2805"/>
    <col min="6401" max="6401" width="58" style="2805" customWidth="1"/>
    <col min="6402" max="6402" width="6.25" style="2805" customWidth="1"/>
    <col min="6403" max="6403" width="13.875" style="2805" customWidth="1"/>
    <col min="6404" max="6404" width="52.5" style="2805" customWidth="1"/>
    <col min="6405" max="6405" width="7.875" style="2805" customWidth="1"/>
    <col min="6406" max="6406" width="8.875" style="2805" customWidth="1"/>
    <col min="6407" max="6407" width="67" style="2805" customWidth="1"/>
    <col min="6408" max="6409" width="13.875" style="2805" customWidth="1"/>
    <col min="6410" max="6410" width="57.25" style="2805" customWidth="1"/>
    <col min="6411" max="6411" width="9" style="2805" customWidth="1"/>
    <col min="6412" max="6412" width="17.75" style="2805" customWidth="1"/>
    <col min="6413" max="6413" width="63.375" style="2805" customWidth="1"/>
    <col min="6414" max="6414" width="10.625" style="2805" customWidth="1"/>
    <col min="6415" max="6415" width="16" style="2805" customWidth="1"/>
    <col min="6416" max="6416" width="14.375" style="2805" customWidth="1"/>
    <col min="6417" max="6417" width="21.875" style="2805" customWidth="1"/>
    <col min="6418" max="6418" width="6.25" style="2805" customWidth="1"/>
    <col min="6419" max="6419" width="16.125" style="2805" customWidth="1"/>
    <col min="6420" max="6656" width="9" style="2805"/>
    <col min="6657" max="6657" width="58" style="2805" customWidth="1"/>
    <col min="6658" max="6658" width="6.25" style="2805" customWidth="1"/>
    <col min="6659" max="6659" width="13.875" style="2805" customWidth="1"/>
    <col min="6660" max="6660" width="52.5" style="2805" customWidth="1"/>
    <col min="6661" max="6661" width="7.875" style="2805" customWidth="1"/>
    <col min="6662" max="6662" width="8.875" style="2805" customWidth="1"/>
    <col min="6663" max="6663" width="67" style="2805" customWidth="1"/>
    <col min="6664" max="6665" width="13.875" style="2805" customWidth="1"/>
    <col min="6666" max="6666" width="57.25" style="2805" customWidth="1"/>
    <col min="6667" max="6667" width="9" style="2805" customWidth="1"/>
    <col min="6668" max="6668" width="17.75" style="2805" customWidth="1"/>
    <col min="6669" max="6669" width="63.375" style="2805" customWidth="1"/>
    <col min="6670" max="6670" width="10.625" style="2805" customWidth="1"/>
    <col min="6671" max="6671" width="16" style="2805" customWidth="1"/>
    <col min="6672" max="6672" width="14.375" style="2805" customWidth="1"/>
    <col min="6673" max="6673" width="21.875" style="2805" customWidth="1"/>
    <col min="6674" max="6674" width="6.25" style="2805" customWidth="1"/>
    <col min="6675" max="6675" width="16.125" style="2805" customWidth="1"/>
    <col min="6676" max="6912" width="9" style="2805"/>
    <col min="6913" max="6913" width="58" style="2805" customWidth="1"/>
    <col min="6914" max="6914" width="6.25" style="2805" customWidth="1"/>
    <col min="6915" max="6915" width="13.875" style="2805" customWidth="1"/>
    <col min="6916" max="6916" width="52.5" style="2805" customWidth="1"/>
    <col min="6917" max="6917" width="7.875" style="2805" customWidth="1"/>
    <col min="6918" max="6918" width="8.875" style="2805" customWidth="1"/>
    <col min="6919" max="6919" width="67" style="2805" customWidth="1"/>
    <col min="6920" max="6921" width="13.875" style="2805" customWidth="1"/>
    <col min="6922" max="6922" width="57.25" style="2805" customWidth="1"/>
    <col min="6923" max="6923" width="9" style="2805" customWidth="1"/>
    <col min="6924" max="6924" width="17.75" style="2805" customWidth="1"/>
    <col min="6925" max="6925" width="63.375" style="2805" customWidth="1"/>
    <col min="6926" max="6926" width="10.625" style="2805" customWidth="1"/>
    <col min="6927" max="6927" width="16" style="2805" customWidth="1"/>
    <col min="6928" max="6928" width="14.375" style="2805" customWidth="1"/>
    <col min="6929" max="6929" width="21.875" style="2805" customWidth="1"/>
    <col min="6930" max="6930" width="6.25" style="2805" customWidth="1"/>
    <col min="6931" max="6931" width="16.125" style="2805" customWidth="1"/>
    <col min="6932" max="7168" width="9" style="2805"/>
    <col min="7169" max="7169" width="58" style="2805" customWidth="1"/>
    <col min="7170" max="7170" width="6.25" style="2805" customWidth="1"/>
    <col min="7171" max="7171" width="13.875" style="2805" customWidth="1"/>
    <col min="7172" max="7172" width="52.5" style="2805" customWidth="1"/>
    <col min="7173" max="7173" width="7.875" style="2805" customWidth="1"/>
    <col min="7174" max="7174" width="8.875" style="2805" customWidth="1"/>
    <col min="7175" max="7175" width="67" style="2805" customWidth="1"/>
    <col min="7176" max="7177" width="13.875" style="2805" customWidth="1"/>
    <col min="7178" max="7178" width="57.25" style="2805" customWidth="1"/>
    <col min="7179" max="7179" width="9" style="2805" customWidth="1"/>
    <col min="7180" max="7180" width="17.75" style="2805" customWidth="1"/>
    <col min="7181" max="7181" width="63.375" style="2805" customWidth="1"/>
    <col min="7182" max="7182" width="10.625" style="2805" customWidth="1"/>
    <col min="7183" max="7183" width="16" style="2805" customWidth="1"/>
    <col min="7184" max="7184" width="14.375" style="2805" customWidth="1"/>
    <col min="7185" max="7185" width="21.875" style="2805" customWidth="1"/>
    <col min="7186" max="7186" width="6.25" style="2805" customWidth="1"/>
    <col min="7187" max="7187" width="16.125" style="2805" customWidth="1"/>
    <col min="7188" max="7424" width="9" style="2805"/>
    <col min="7425" max="7425" width="58" style="2805" customWidth="1"/>
    <col min="7426" max="7426" width="6.25" style="2805" customWidth="1"/>
    <col min="7427" max="7427" width="13.875" style="2805" customWidth="1"/>
    <col min="7428" max="7428" width="52.5" style="2805" customWidth="1"/>
    <col min="7429" max="7429" width="7.875" style="2805" customWidth="1"/>
    <col min="7430" max="7430" width="8.875" style="2805" customWidth="1"/>
    <col min="7431" max="7431" width="67" style="2805" customWidth="1"/>
    <col min="7432" max="7433" width="13.875" style="2805" customWidth="1"/>
    <col min="7434" max="7434" width="57.25" style="2805" customWidth="1"/>
    <col min="7435" max="7435" width="9" style="2805" customWidth="1"/>
    <col min="7436" max="7436" width="17.75" style="2805" customWidth="1"/>
    <col min="7437" max="7437" width="63.375" style="2805" customWidth="1"/>
    <col min="7438" max="7438" width="10.625" style="2805" customWidth="1"/>
    <col min="7439" max="7439" width="16" style="2805" customWidth="1"/>
    <col min="7440" max="7440" width="14.375" style="2805" customWidth="1"/>
    <col min="7441" max="7441" width="21.875" style="2805" customWidth="1"/>
    <col min="7442" max="7442" width="6.25" style="2805" customWidth="1"/>
    <col min="7443" max="7443" width="16.125" style="2805" customWidth="1"/>
    <col min="7444" max="7680" width="9" style="2805"/>
    <col min="7681" max="7681" width="58" style="2805" customWidth="1"/>
    <col min="7682" max="7682" width="6.25" style="2805" customWidth="1"/>
    <col min="7683" max="7683" width="13.875" style="2805" customWidth="1"/>
    <col min="7684" max="7684" width="52.5" style="2805" customWidth="1"/>
    <col min="7685" max="7685" width="7.875" style="2805" customWidth="1"/>
    <col min="7686" max="7686" width="8.875" style="2805" customWidth="1"/>
    <col min="7687" max="7687" width="67" style="2805" customWidth="1"/>
    <col min="7688" max="7689" width="13.875" style="2805" customWidth="1"/>
    <col min="7690" max="7690" width="57.25" style="2805" customWidth="1"/>
    <col min="7691" max="7691" width="9" style="2805" customWidth="1"/>
    <col min="7692" max="7692" width="17.75" style="2805" customWidth="1"/>
    <col min="7693" max="7693" width="63.375" style="2805" customWidth="1"/>
    <col min="7694" max="7694" width="10.625" style="2805" customWidth="1"/>
    <col min="7695" max="7695" width="16" style="2805" customWidth="1"/>
    <col min="7696" max="7696" width="14.375" style="2805" customWidth="1"/>
    <col min="7697" max="7697" width="21.875" style="2805" customWidth="1"/>
    <col min="7698" max="7698" width="6.25" style="2805" customWidth="1"/>
    <col min="7699" max="7699" width="16.125" style="2805" customWidth="1"/>
    <col min="7700" max="7936" width="9" style="2805"/>
    <col min="7937" max="7937" width="58" style="2805" customWidth="1"/>
    <col min="7938" max="7938" width="6.25" style="2805" customWidth="1"/>
    <col min="7939" max="7939" width="13.875" style="2805" customWidth="1"/>
    <col min="7940" max="7940" width="52.5" style="2805" customWidth="1"/>
    <col min="7941" max="7941" width="7.875" style="2805" customWidth="1"/>
    <col min="7942" max="7942" width="8.875" style="2805" customWidth="1"/>
    <col min="7943" max="7943" width="67" style="2805" customWidth="1"/>
    <col min="7944" max="7945" width="13.875" style="2805" customWidth="1"/>
    <col min="7946" max="7946" width="57.25" style="2805" customWidth="1"/>
    <col min="7947" max="7947" width="9" style="2805" customWidth="1"/>
    <col min="7948" max="7948" width="17.75" style="2805" customWidth="1"/>
    <col min="7949" max="7949" width="63.375" style="2805" customWidth="1"/>
    <col min="7950" max="7950" width="10.625" style="2805" customWidth="1"/>
    <col min="7951" max="7951" width="16" style="2805" customWidth="1"/>
    <col min="7952" max="7952" width="14.375" style="2805" customWidth="1"/>
    <col min="7953" max="7953" width="21.875" style="2805" customWidth="1"/>
    <col min="7954" max="7954" width="6.25" style="2805" customWidth="1"/>
    <col min="7955" max="7955" width="16.125" style="2805" customWidth="1"/>
    <col min="7956" max="8192" width="9" style="2805"/>
    <col min="8193" max="8193" width="58" style="2805" customWidth="1"/>
    <col min="8194" max="8194" width="6.25" style="2805" customWidth="1"/>
    <col min="8195" max="8195" width="13.875" style="2805" customWidth="1"/>
    <col min="8196" max="8196" width="52.5" style="2805" customWidth="1"/>
    <col min="8197" max="8197" width="7.875" style="2805" customWidth="1"/>
    <col min="8198" max="8198" width="8.875" style="2805" customWidth="1"/>
    <col min="8199" max="8199" width="67" style="2805" customWidth="1"/>
    <col min="8200" max="8201" width="13.875" style="2805" customWidth="1"/>
    <col min="8202" max="8202" width="57.25" style="2805" customWidth="1"/>
    <col min="8203" max="8203" width="9" style="2805" customWidth="1"/>
    <col min="8204" max="8204" width="17.75" style="2805" customWidth="1"/>
    <col min="8205" max="8205" width="63.375" style="2805" customWidth="1"/>
    <col min="8206" max="8206" width="10.625" style="2805" customWidth="1"/>
    <col min="8207" max="8207" width="16" style="2805" customWidth="1"/>
    <col min="8208" max="8208" width="14.375" style="2805" customWidth="1"/>
    <col min="8209" max="8209" width="21.875" style="2805" customWidth="1"/>
    <col min="8210" max="8210" width="6.25" style="2805" customWidth="1"/>
    <col min="8211" max="8211" width="16.125" style="2805" customWidth="1"/>
    <col min="8212" max="8448" width="9" style="2805"/>
    <col min="8449" max="8449" width="58" style="2805" customWidth="1"/>
    <col min="8450" max="8450" width="6.25" style="2805" customWidth="1"/>
    <col min="8451" max="8451" width="13.875" style="2805" customWidth="1"/>
    <col min="8452" max="8452" width="52.5" style="2805" customWidth="1"/>
    <col min="8453" max="8453" width="7.875" style="2805" customWidth="1"/>
    <col min="8454" max="8454" width="8.875" style="2805" customWidth="1"/>
    <col min="8455" max="8455" width="67" style="2805" customWidth="1"/>
    <col min="8456" max="8457" width="13.875" style="2805" customWidth="1"/>
    <col min="8458" max="8458" width="57.25" style="2805" customWidth="1"/>
    <col min="8459" max="8459" width="9" style="2805" customWidth="1"/>
    <col min="8460" max="8460" width="17.75" style="2805" customWidth="1"/>
    <col min="8461" max="8461" width="63.375" style="2805" customWidth="1"/>
    <col min="8462" max="8462" width="10.625" style="2805" customWidth="1"/>
    <col min="8463" max="8463" width="16" style="2805" customWidth="1"/>
    <col min="8464" max="8464" width="14.375" style="2805" customWidth="1"/>
    <col min="8465" max="8465" width="21.875" style="2805" customWidth="1"/>
    <col min="8466" max="8466" width="6.25" style="2805" customWidth="1"/>
    <col min="8467" max="8467" width="16.125" style="2805" customWidth="1"/>
    <col min="8468" max="8704" width="9" style="2805"/>
    <col min="8705" max="8705" width="58" style="2805" customWidth="1"/>
    <col min="8706" max="8706" width="6.25" style="2805" customWidth="1"/>
    <col min="8707" max="8707" width="13.875" style="2805" customWidth="1"/>
    <col min="8708" max="8708" width="52.5" style="2805" customWidth="1"/>
    <col min="8709" max="8709" width="7.875" style="2805" customWidth="1"/>
    <col min="8710" max="8710" width="8.875" style="2805" customWidth="1"/>
    <col min="8711" max="8711" width="67" style="2805" customWidth="1"/>
    <col min="8712" max="8713" width="13.875" style="2805" customWidth="1"/>
    <col min="8714" max="8714" width="57.25" style="2805" customWidth="1"/>
    <col min="8715" max="8715" width="9" style="2805" customWidth="1"/>
    <col min="8716" max="8716" width="17.75" style="2805" customWidth="1"/>
    <col min="8717" max="8717" width="63.375" style="2805" customWidth="1"/>
    <col min="8718" max="8718" width="10.625" style="2805" customWidth="1"/>
    <col min="8719" max="8719" width="16" style="2805" customWidth="1"/>
    <col min="8720" max="8720" width="14.375" style="2805" customWidth="1"/>
    <col min="8721" max="8721" width="21.875" style="2805" customWidth="1"/>
    <col min="8722" max="8722" width="6.25" style="2805" customWidth="1"/>
    <col min="8723" max="8723" width="16.125" style="2805" customWidth="1"/>
    <col min="8724" max="8960" width="9" style="2805"/>
    <col min="8961" max="8961" width="58" style="2805" customWidth="1"/>
    <col min="8962" max="8962" width="6.25" style="2805" customWidth="1"/>
    <col min="8963" max="8963" width="13.875" style="2805" customWidth="1"/>
    <col min="8964" max="8964" width="52.5" style="2805" customWidth="1"/>
    <col min="8965" max="8965" width="7.875" style="2805" customWidth="1"/>
    <col min="8966" max="8966" width="8.875" style="2805" customWidth="1"/>
    <col min="8967" max="8967" width="67" style="2805" customWidth="1"/>
    <col min="8968" max="8969" width="13.875" style="2805" customWidth="1"/>
    <col min="8970" max="8970" width="57.25" style="2805" customWidth="1"/>
    <col min="8971" max="8971" width="9" style="2805" customWidth="1"/>
    <col min="8972" max="8972" width="17.75" style="2805" customWidth="1"/>
    <col min="8973" max="8973" width="63.375" style="2805" customWidth="1"/>
    <col min="8974" max="8974" width="10.625" style="2805" customWidth="1"/>
    <col min="8975" max="8975" width="16" style="2805" customWidth="1"/>
    <col min="8976" max="8976" width="14.375" style="2805" customWidth="1"/>
    <col min="8977" max="8977" width="21.875" style="2805" customWidth="1"/>
    <col min="8978" max="8978" width="6.25" style="2805" customWidth="1"/>
    <col min="8979" max="8979" width="16.125" style="2805" customWidth="1"/>
    <col min="8980" max="9216" width="9" style="2805"/>
    <col min="9217" max="9217" width="58" style="2805" customWidth="1"/>
    <col min="9218" max="9218" width="6.25" style="2805" customWidth="1"/>
    <col min="9219" max="9219" width="13.875" style="2805" customWidth="1"/>
    <col min="9220" max="9220" width="52.5" style="2805" customWidth="1"/>
    <col min="9221" max="9221" width="7.875" style="2805" customWidth="1"/>
    <col min="9222" max="9222" width="8.875" style="2805" customWidth="1"/>
    <col min="9223" max="9223" width="67" style="2805" customWidth="1"/>
    <col min="9224" max="9225" width="13.875" style="2805" customWidth="1"/>
    <col min="9226" max="9226" width="57.25" style="2805" customWidth="1"/>
    <col min="9227" max="9227" width="9" style="2805" customWidth="1"/>
    <col min="9228" max="9228" width="17.75" style="2805" customWidth="1"/>
    <col min="9229" max="9229" width="63.375" style="2805" customWidth="1"/>
    <col min="9230" max="9230" width="10.625" style="2805" customWidth="1"/>
    <col min="9231" max="9231" width="16" style="2805" customWidth="1"/>
    <col min="9232" max="9232" width="14.375" style="2805" customWidth="1"/>
    <col min="9233" max="9233" width="21.875" style="2805" customWidth="1"/>
    <col min="9234" max="9234" width="6.25" style="2805" customWidth="1"/>
    <col min="9235" max="9235" width="16.125" style="2805" customWidth="1"/>
    <col min="9236" max="9472" width="9" style="2805"/>
    <col min="9473" max="9473" width="58" style="2805" customWidth="1"/>
    <col min="9474" max="9474" width="6.25" style="2805" customWidth="1"/>
    <col min="9475" max="9475" width="13.875" style="2805" customWidth="1"/>
    <col min="9476" max="9476" width="52.5" style="2805" customWidth="1"/>
    <col min="9477" max="9477" width="7.875" style="2805" customWidth="1"/>
    <col min="9478" max="9478" width="8.875" style="2805" customWidth="1"/>
    <col min="9479" max="9479" width="67" style="2805" customWidth="1"/>
    <col min="9480" max="9481" width="13.875" style="2805" customWidth="1"/>
    <col min="9482" max="9482" width="57.25" style="2805" customWidth="1"/>
    <col min="9483" max="9483" width="9" style="2805" customWidth="1"/>
    <col min="9484" max="9484" width="17.75" style="2805" customWidth="1"/>
    <col min="9485" max="9485" width="63.375" style="2805" customWidth="1"/>
    <col min="9486" max="9486" width="10.625" style="2805" customWidth="1"/>
    <col min="9487" max="9487" width="16" style="2805" customWidth="1"/>
    <col min="9488" max="9488" width="14.375" style="2805" customWidth="1"/>
    <col min="9489" max="9489" width="21.875" style="2805" customWidth="1"/>
    <col min="9490" max="9490" width="6.25" style="2805" customWidth="1"/>
    <col min="9491" max="9491" width="16.125" style="2805" customWidth="1"/>
    <col min="9492" max="9728" width="9" style="2805"/>
    <col min="9729" max="9729" width="58" style="2805" customWidth="1"/>
    <col min="9730" max="9730" width="6.25" style="2805" customWidth="1"/>
    <col min="9731" max="9731" width="13.875" style="2805" customWidth="1"/>
    <col min="9732" max="9732" width="52.5" style="2805" customWidth="1"/>
    <col min="9733" max="9733" width="7.875" style="2805" customWidth="1"/>
    <col min="9734" max="9734" width="8.875" style="2805" customWidth="1"/>
    <col min="9735" max="9735" width="67" style="2805" customWidth="1"/>
    <col min="9736" max="9737" width="13.875" style="2805" customWidth="1"/>
    <col min="9738" max="9738" width="57.25" style="2805" customWidth="1"/>
    <col min="9739" max="9739" width="9" style="2805" customWidth="1"/>
    <col min="9740" max="9740" width="17.75" style="2805" customWidth="1"/>
    <col min="9741" max="9741" width="63.375" style="2805" customWidth="1"/>
    <col min="9742" max="9742" width="10.625" style="2805" customWidth="1"/>
    <col min="9743" max="9743" width="16" style="2805" customWidth="1"/>
    <col min="9744" max="9744" width="14.375" style="2805" customWidth="1"/>
    <col min="9745" max="9745" width="21.875" style="2805" customWidth="1"/>
    <col min="9746" max="9746" width="6.25" style="2805" customWidth="1"/>
    <col min="9747" max="9747" width="16.125" style="2805" customWidth="1"/>
    <col min="9748" max="9984" width="9" style="2805"/>
    <col min="9985" max="9985" width="58" style="2805" customWidth="1"/>
    <col min="9986" max="9986" width="6.25" style="2805" customWidth="1"/>
    <col min="9987" max="9987" width="13.875" style="2805" customWidth="1"/>
    <col min="9988" max="9988" width="52.5" style="2805" customWidth="1"/>
    <col min="9989" max="9989" width="7.875" style="2805" customWidth="1"/>
    <col min="9990" max="9990" width="8.875" style="2805" customWidth="1"/>
    <col min="9991" max="9991" width="67" style="2805" customWidth="1"/>
    <col min="9992" max="9993" width="13.875" style="2805" customWidth="1"/>
    <col min="9994" max="9994" width="57.25" style="2805" customWidth="1"/>
    <col min="9995" max="9995" width="9" style="2805" customWidth="1"/>
    <col min="9996" max="9996" width="17.75" style="2805" customWidth="1"/>
    <col min="9997" max="9997" width="63.375" style="2805" customWidth="1"/>
    <col min="9998" max="9998" width="10.625" style="2805" customWidth="1"/>
    <col min="9999" max="9999" width="16" style="2805" customWidth="1"/>
    <col min="10000" max="10000" width="14.375" style="2805" customWidth="1"/>
    <col min="10001" max="10001" width="21.875" style="2805" customWidth="1"/>
    <col min="10002" max="10002" width="6.25" style="2805" customWidth="1"/>
    <col min="10003" max="10003" width="16.125" style="2805" customWidth="1"/>
    <col min="10004" max="10240" width="9" style="2805"/>
    <col min="10241" max="10241" width="58" style="2805" customWidth="1"/>
    <col min="10242" max="10242" width="6.25" style="2805" customWidth="1"/>
    <col min="10243" max="10243" width="13.875" style="2805" customWidth="1"/>
    <col min="10244" max="10244" width="52.5" style="2805" customWidth="1"/>
    <col min="10245" max="10245" width="7.875" style="2805" customWidth="1"/>
    <col min="10246" max="10246" width="8.875" style="2805" customWidth="1"/>
    <col min="10247" max="10247" width="67" style="2805" customWidth="1"/>
    <col min="10248" max="10249" width="13.875" style="2805" customWidth="1"/>
    <col min="10250" max="10250" width="57.25" style="2805" customWidth="1"/>
    <col min="10251" max="10251" width="9" style="2805" customWidth="1"/>
    <col min="10252" max="10252" width="17.75" style="2805" customWidth="1"/>
    <col min="10253" max="10253" width="63.375" style="2805" customWidth="1"/>
    <col min="10254" max="10254" width="10.625" style="2805" customWidth="1"/>
    <col min="10255" max="10255" width="16" style="2805" customWidth="1"/>
    <col min="10256" max="10256" width="14.375" style="2805" customWidth="1"/>
    <col min="10257" max="10257" width="21.875" style="2805" customWidth="1"/>
    <col min="10258" max="10258" width="6.25" style="2805" customWidth="1"/>
    <col min="10259" max="10259" width="16.125" style="2805" customWidth="1"/>
    <col min="10260" max="10496" width="9" style="2805"/>
    <col min="10497" max="10497" width="58" style="2805" customWidth="1"/>
    <col min="10498" max="10498" width="6.25" style="2805" customWidth="1"/>
    <col min="10499" max="10499" width="13.875" style="2805" customWidth="1"/>
    <col min="10500" max="10500" width="52.5" style="2805" customWidth="1"/>
    <col min="10501" max="10501" width="7.875" style="2805" customWidth="1"/>
    <col min="10502" max="10502" width="8.875" style="2805" customWidth="1"/>
    <col min="10503" max="10503" width="67" style="2805" customWidth="1"/>
    <col min="10504" max="10505" width="13.875" style="2805" customWidth="1"/>
    <col min="10506" max="10506" width="57.25" style="2805" customWidth="1"/>
    <col min="10507" max="10507" width="9" style="2805" customWidth="1"/>
    <col min="10508" max="10508" width="17.75" style="2805" customWidth="1"/>
    <col min="10509" max="10509" width="63.375" style="2805" customWidth="1"/>
    <col min="10510" max="10510" width="10.625" style="2805" customWidth="1"/>
    <col min="10511" max="10511" width="16" style="2805" customWidth="1"/>
    <col min="10512" max="10512" width="14.375" style="2805" customWidth="1"/>
    <col min="10513" max="10513" width="21.875" style="2805" customWidth="1"/>
    <col min="10514" max="10514" width="6.25" style="2805" customWidth="1"/>
    <col min="10515" max="10515" width="16.125" style="2805" customWidth="1"/>
    <col min="10516" max="10752" width="9" style="2805"/>
    <col min="10753" max="10753" width="58" style="2805" customWidth="1"/>
    <col min="10754" max="10754" width="6.25" style="2805" customWidth="1"/>
    <col min="10755" max="10755" width="13.875" style="2805" customWidth="1"/>
    <col min="10756" max="10756" width="52.5" style="2805" customWidth="1"/>
    <col min="10757" max="10757" width="7.875" style="2805" customWidth="1"/>
    <col min="10758" max="10758" width="8.875" style="2805" customWidth="1"/>
    <col min="10759" max="10759" width="67" style="2805" customWidth="1"/>
    <col min="10760" max="10761" width="13.875" style="2805" customWidth="1"/>
    <col min="10762" max="10762" width="57.25" style="2805" customWidth="1"/>
    <col min="10763" max="10763" width="9" style="2805" customWidth="1"/>
    <col min="10764" max="10764" width="17.75" style="2805" customWidth="1"/>
    <col min="10765" max="10765" width="63.375" style="2805" customWidth="1"/>
    <col min="10766" max="10766" width="10.625" style="2805" customWidth="1"/>
    <col min="10767" max="10767" width="16" style="2805" customWidth="1"/>
    <col min="10768" max="10768" width="14.375" style="2805" customWidth="1"/>
    <col min="10769" max="10769" width="21.875" style="2805" customWidth="1"/>
    <col min="10770" max="10770" width="6.25" style="2805" customWidth="1"/>
    <col min="10771" max="10771" width="16.125" style="2805" customWidth="1"/>
    <col min="10772" max="11008" width="9" style="2805"/>
    <col min="11009" max="11009" width="58" style="2805" customWidth="1"/>
    <col min="11010" max="11010" width="6.25" style="2805" customWidth="1"/>
    <col min="11011" max="11011" width="13.875" style="2805" customWidth="1"/>
    <col min="11012" max="11012" width="52.5" style="2805" customWidth="1"/>
    <col min="11013" max="11013" width="7.875" style="2805" customWidth="1"/>
    <col min="11014" max="11014" width="8.875" style="2805" customWidth="1"/>
    <col min="11015" max="11015" width="67" style="2805" customWidth="1"/>
    <col min="11016" max="11017" width="13.875" style="2805" customWidth="1"/>
    <col min="11018" max="11018" width="57.25" style="2805" customWidth="1"/>
    <col min="11019" max="11019" width="9" style="2805" customWidth="1"/>
    <col min="11020" max="11020" width="17.75" style="2805" customWidth="1"/>
    <col min="11021" max="11021" width="63.375" style="2805" customWidth="1"/>
    <col min="11022" max="11022" width="10.625" style="2805" customWidth="1"/>
    <col min="11023" max="11023" width="16" style="2805" customWidth="1"/>
    <col min="11024" max="11024" width="14.375" style="2805" customWidth="1"/>
    <col min="11025" max="11025" width="21.875" style="2805" customWidth="1"/>
    <col min="11026" max="11026" width="6.25" style="2805" customWidth="1"/>
    <col min="11027" max="11027" width="16.125" style="2805" customWidth="1"/>
    <col min="11028" max="11264" width="9" style="2805"/>
    <col min="11265" max="11265" width="58" style="2805" customWidth="1"/>
    <col min="11266" max="11266" width="6.25" style="2805" customWidth="1"/>
    <col min="11267" max="11267" width="13.875" style="2805" customWidth="1"/>
    <col min="11268" max="11268" width="52.5" style="2805" customWidth="1"/>
    <col min="11269" max="11269" width="7.875" style="2805" customWidth="1"/>
    <col min="11270" max="11270" width="8.875" style="2805" customWidth="1"/>
    <col min="11271" max="11271" width="67" style="2805" customWidth="1"/>
    <col min="11272" max="11273" width="13.875" style="2805" customWidth="1"/>
    <col min="11274" max="11274" width="57.25" style="2805" customWidth="1"/>
    <col min="11275" max="11275" width="9" style="2805" customWidth="1"/>
    <col min="11276" max="11276" width="17.75" style="2805" customWidth="1"/>
    <col min="11277" max="11277" width="63.375" style="2805" customWidth="1"/>
    <col min="11278" max="11278" width="10.625" style="2805" customWidth="1"/>
    <col min="11279" max="11279" width="16" style="2805" customWidth="1"/>
    <col min="11280" max="11280" width="14.375" style="2805" customWidth="1"/>
    <col min="11281" max="11281" width="21.875" style="2805" customWidth="1"/>
    <col min="11282" max="11282" width="6.25" style="2805" customWidth="1"/>
    <col min="11283" max="11283" width="16.125" style="2805" customWidth="1"/>
    <col min="11284" max="11520" width="9" style="2805"/>
    <col min="11521" max="11521" width="58" style="2805" customWidth="1"/>
    <col min="11522" max="11522" width="6.25" style="2805" customWidth="1"/>
    <col min="11523" max="11523" width="13.875" style="2805" customWidth="1"/>
    <col min="11524" max="11524" width="52.5" style="2805" customWidth="1"/>
    <col min="11525" max="11525" width="7.875" style="2805" customWidth="1"/>
    <col min="11526" max="11526" width="8.875" style="2805" customWidth="1"/>
    <col min="11527" max="11527" width="67" style="2805" customWidth="1"/>
    <col min="11528" max="11529" width="13.875" style="2805" customWidth="1"/>
    <col min="11530" max="11530" width="57.25" style="2805" customWidth="1"/>
    <col min="11531" max="11531" width="9" style="2805" customWidth="1"/>
    <col min="11532" max="11532" width="17.75" style="2805" customWidth="1"/>
    <col min="11533" max="11533" width="63.375" style="2805" customWidth="1"/>
    <col min="11534" max="11534" width="10.625" style="2805" customWidth="1"/>
    <col min="11535" max="11535" width="16" style="2805" customWidth="1"/>
    <col min="11536" max="11536" width="14.375" style="2805" customWidth="1"/>
    <col min="11537" max="11537" width="21.875" style="2805" customWidth="1"/>
    <col min="11538" max="11538" width="6.25" style="2805" customWidth="1"/>
    <col min="11539" max="11539" width="16.125" style="2805" customWidth="1"/>
    <col min="11540" max="11776" width="9" style="2805"/>
    <col min="11777" max="11777" width="58" style="2805" customWidth="1"/>
    <col min="11778" max="11778" width="6.25" style="2805" customWidth="1"/>
    <col min="11779" max="11779" width="13.875" style="2805" customWidth="1"/>
    <col min="11780" max="11780" width="52.5" style="2805" customWidth="1"/>
    <col min="11781" max="11781" width="7.875" style="2805" customWidth="1"/>
    <col min="11782" max="11782" width="8.875" style="2805" customWidth="1"/>
    <col min="11783" max="11783" width="67" style="2805" customWidth="1"/>
    <col min="11784" max="11785" width="13.875" style="2805" customWidth="1"/>
    <col min="11786" max="11786" width="57.25" style="2805" customWidth="1"/>
    <col min="11787" max="11787" width="9" style="2805" customWidth="1"/>
    <col min="11788" max="11788" width="17.75" style="2805" customWidth="1"/>
    <col min="11789" max="11789" width="63.375" style="2805" customWidth="1"/>
    <col min="11790" max="11790" width="10.625" style="2805" customWidth="1"/>
    <col min="11791" max="11791" width="16" style="2805" customWidth="1"/>
    <col min="11792" max="11792" width="14.375" style="2805" customWidth="1"/>
    <col min="11793" max="11793" width="21.875" style="2805" customWidth="1"/>
    <col min="11794" max="11794" width="6.25" style="2805" customWidth="1"/>
    <col min="11795" max="11795" width="16.125" style="2805" customWidth="1"/>
    <col min="11796" max="12032" width="9" style="2805"/>
    <col min="12033" max="12033" width="58" style="2805" customWidth="1"/>
    <col min="12034" max="12034" width="6.25" style="2805" customWidth="1"/>
    <col min="12035" max="12035" width="13.875" style="2805" customWidth="1"/>
    <col min="12036" max="12036" width="52.5" style="2805" customWidth="1"/>
    <col min="12037" max="12037" width="7.875" style="2805" customWidth="1"/>
    <col min="12038" max="12038" width="8.875" style="2805" customWidth="1"/>
    <col min="12039" max="12039" width="67" style="2805" customWidth="1"/>
    <col min="12040" max="12041" width="13.875" style="2805" customWidth="1"/>
    <col min="12042" max="12042" width="57.25" style="2805" customWidth="1"/>
    <col min="12043" max="12043" width="9" style="2805" customWidth="1"/>
    <col min="12044" max="12044" width="17.75" style="2805" customWidth="1"/>
    <col min="12045" max="12045" width="63.375" style="2805" customWidth="1"/>
    <col min="12046" max="12046" width="10.625" style="2805" customWidth="1"/>
    <col min="12047" max="12047" width="16" style="2805" customWidth="1"/>
    <col min="12048" max="12048" width="14.375" style="2805" customWidth="1"/>
    <col min="12049" max="12049" width="21.875" style="2805" customWidth="1"/>
    <col min="12050" max="12050" width="6.25" style="2805" customWidth="1"/>
    <col min="12051" max="12051" width="16.125" style="2805" customWidth="1"/>
    <col min="12052" max="12288" width="9" style="2805"/>
    <col min="12289" max="12289" width="58" style="2805" customWidth="1"/>
    <col min="12290" max="12290" width="6.25" style="2805" customWidth="1"/>
    <col min="12291" max="12291" width="13.875" style="2805" customWidth="1"/>
    <col min="12292" max="12292" width="52.5" style="2805" customWidth="1"/>
    <col min="12293" max="12293" width="7.875" style="2805" customWidth="1"/>
    <col min="12294" max="12294" width="8.875" style="2805" customWidth="1"/>
    <col min="12295" max="12295" width="67" style="2805" customWidth="1"/>
    <col min="12296" max="12297" width="13.875" style="2805" customWidth="1"/>
    <col min="12298" max="12298" width="57.25" style="2805" customWidth="1"/>
    <col min="12299" max="12299" width="9" style="2805" customWidth="1"/>
    <col min="12300" max="12300" width="17.75" style="2805" customWidth="1"/>
    <col min="12301" max="12301" width="63.375" style="2805" customWidth="1"/>
    <col min="12302" max="12302" width="10.625" style="2805" customWidth="1"/>
    <col min="12303" max="12303" width="16" style="2805" customWidth="1"/>
    <col min="12304" max="12304" width="14.375" style="2805" customWidth="1"/>
    <col min="12305" max="12305" width="21.875" style="2805" customWidth="1"/>
    <col min="12306" max="12306" width="6.25" style="2805" customWidth="1"/>
    <col min="12307" max="12307" width="16.125" style="2805" customWidth="1"/>
    <col min="12308" max="12544" width="9" style="2805"/>
    <col min="12545" max="12545" width="58" style="2805" customWidth="1"/>
    <col min="12546" max="12546" width="6.25" style="2805" customWidth="1"/>
    <col min="12547" max="12547" width="13.875" style="2805" customWidth="1"/>
    <col min="12548" max="12548" width="52.5" style="2805" customWidth="1"/>
    <col min="12549" max="12549" width="7.875" style="2805" customWidth="1"/>
    <col min="12550" max="12550" width="8.875" style="2805" customWidth="1"/>
    <col min="12551" max="12551" width="67" style="2805" customWidth="1"/>
    <col min="12552" max="12553" width="13.875" style="2805" customWidth="1"/>
    <col min="12554" max="12554" width="57.25" style="2805" customWidth="1"/>
    <col min="12555" max="12555" width="9" style="2805" customWidth="1"/>
    <col min="12556" max="12556" width="17.75" style="2805" customWidth="1"/>
    <col min="12557" max="12557" width="63.375" style="2805" customWidth="1"/>
    <col min="12558" max="12558" width="10.625" style="2805" customWidth="1"/>
    <col min="12559" max="12559" width="16" style="2805" customWidth="1"/>
    <col min="12560" max="12560" width="14.375" style="2805" customWidth="1"/>
    <col min="12561" max="12561" width="21.875" style="2805" customWidth="1"/>
    <col min="12562" max="12562" width="6.25" style="2805" customWidth="1"/>
    <col min="12563" max="12563" width="16.125" style="2805" customWidth="1"/>
    <col min="12564" max="12800" width="9" style="2805"/>
    <col min="12801" max="12801" width="58" style="2805" customWidth="1"/>
    <col min="12802" max="12802" width="6.25" style="2805" customWidth="1"/>
    <col min="12803" max="12803" width="13.875" style="2805" customWidth="1"/>
    <col min="12804" max="12804" width="52.5" style="2805" customWidth="1"/>
    <col min="12805" max="12805" width="7.875" style="2805" customWidth="1"/>
    <col min="12806" max="12806" width="8.875" style="2805" customWidth="1"/>
    <col min="12807" max="12807" width="67" style="2805" customWidth="1"/>
    <col min="12808" max="12809" width="13.875" style="2805" customWidth="1"/>
    <col min="12810" max="12810" width="57.25" style="2805" customWidth="1"/>
    <col min="12811" max="12811" width="9" style="2805" customWidth="1"/>
    <col min="12812" max="12812" width="17.75" style="2805" customWidth="1"/>
    <col min="12813" max="12813" width="63.375" style="2805" customWidth="1"/>
    <col min="12814" max="12814" width="10.625" style="2805" customWidth="1"/>
    <col min="12815" max="12815" width="16" style="2805" customWidth="1"/>
    <col min="12816" max="12816" width="14.375" style="2805" customWidth="1"/>
    <col min="12817" max="12817" width="21.875" style="2805" customWidth="1"/>
    <col min="12818" max="12818" width="6.25" style="2805" customWidth="1"/>
    <col min="12819" max="12819" width="16.125" style="2805" customWidth="1"/>
    <col min="12820" max="13056" width="9" style="2805"/>
    <col min="13057" max="13057" width="58" style="2805" customWidth="1"/>
    <col min="13058" max="13058" width="6.25" style="2805" customWidth="1"/>
    <col min="13059" max="13059" width="13.875" style="2805" customWidth="1"/>
    <col min="13060" max="13060" width="52.5" style="2805" customWidth="1"/>
    <col min="13061" max="13061" width="7.875" style="2805" customWidth="1"/>
    <col min="13062" max="13062" width="8.875" style="2805" customWidth="1"/>
    <col min="13063" max="13063" width="67" style="2805" customWidth="1"/>
    <col min="13064" max="13065" width="13.875" style="2805" customWidth="1"/>
    <col min="13066" max="13066" width="57.25" style="2805" customWidth="1"/>
    <col min="13067" max="13067" width="9" style="2805" customWidth="1"/>
    <col min="13068" max="13068" width="17.75" style="2805" customWidth="1"/>
    <col min="13069" max="13069" width="63.375" style="2805" customWidth="1"/>
    <col min="13070" max="13070" width="10.625" style="2805" customWidth="1"/>
    <col min="13071" max="13071" width="16" style="2805" customWidth="1"/>
    <col min="13072" max="13072" width="14.375" style="2805" customWidth="1"/>
    <col min="13073" max="13073" width="21.875" style="2805" customWidth="1"/>
    <col min="13074" max="13074" width="6.25" style="2805" customWidth="1"/>
    <col min="13075" max="13075" width="16.125" style="2805" customWidth="1"/>
    <col min="13076" max="13312" width="9" style="2805"/>
    <col min="13313" max="13313" width="58" style="2805" customWidth="1"/>
    <col min="13314" max="13314" width="6.25" style="2805" customWidth="1"/>
    <col min="13315" max="13315" width="13.875" style="2805" customWidth="1"/>
    <col min="13316" max="13316" width="52.5" style="2805" customWidth="1"/>
    <col min="13317" max="13317" width="7.875" style="2805" customWidth="1"/>
    <col min="13318" max="13318" width="8.875" style="2805" customWidth="1"/>
    <col min="13319" max="13319" width="67" style="2805" customWidth="1"/>
    <col min="13320" max="13321" width="13.875" style="2805" customWidth="1"/>
    <col min="13322" max="13322" width="57.25" style="2805" customWidth="1"/>
    <col min="13323" max="13323" width="9" style="2805" customWidth="1"/>
    <col min="13324" max="13324" width="17.75" style="2805" customWidth="1"/>
    <col min="13325" max="13325" width="63.375" style="2805" customWidth="1"/>
    <col min="13326" max="13326" width="10.625" style="2805" customWidth="1"/>
    <col min="13327" max="13327" width="16" style="2805" customWidth="1"/>
    <col min="13328" max="13328" width="14.375" style="2805" customWidth="1"/>
    <col min="13329" max="13329" width="21.875" style="2805" customWidth="1"/>
    <col min="13330" max="13330" width="6.25" style="2805" customWidth="1"/>
    <col min="13331" max="13331" width="16.125" style="2805" customWidth="1"/>
    <col min="13332" max="13568" width="9" style="2805"/>
    <col min="13569" max="13569" width="58" style="2805" customWidth="1"/>
    <col min="13570" max="13570" width="6.25" style="2805" customWidth="1"/>
    <col min="13571" max="13571" width="13.875" style="2805" customWidth="1"/>
    <col min="13572" max="13572" width="52.5" style="2805" customWidth="1"/>
    <col min="13573" max="13573" width="7.875" style="2805" customWidth="1"/>
    <col min="13574" max="13574" width="8.875" style="2805" customWidth="1"/>
    <col min="13575" max="13575" width="67" style="2805" customWidth="1"/>
    <col min="13576" max="13577" width="13.875" style="2805" customWidth="1"/>
    <col min="13578" max="13578" width="57.25" style="2805" customWidth="1"/>
    <col min="13579" max="13579" width="9" style="2805" customWidth="1"/>
    <col min="13580" max="13580" width="17.75" style="2805" customWidth="1"/>
    <col min="13581" max="13581" width="63.375" style="2805" customWidth="1"/>
    <col min="13582" max="13582" width="10.625" style="2805" customWidth="1"/>
    <col min="13583" max="13583" width="16" style="2805" customWidth="1"/>
    <col min="13584" max="13584" width="14.375" style="2805" customWidth="1"/>
    <col min="13585" max="13585" width="21.875" style="2805" customWidth="1"/>
    <col min="13586" max="13586" width="6.25" style="2805" customWidth="1"/>
    <col min="13587" max="13587" width="16.125" style="2805" customWidth="1"/>
    <col min="13588" max="13824" width="9" style="2805"/>
    <col min="13825" max="13825" width="58" style="2805" customWidth="1"/>
    <col min="13826" max="13826" width="6.25" style="2805" customWidth="1"/>
    <col min="13827" max="13827" width="13.875" style="2805" customWidth="1"/>
    <col min="13828" max="13828" width="52.5" style="2805" customWidth="1"/>
    <col min="13829" max="13829" width="7.875" style="2805" customWidth="1"/>
    <col min="13830" max="13830" width="8.875" style="2805" customWidth="1"/>
    <col min="13831" max="13831" width="67" style="2805" customWidth="1"/>
    <col min="13832" max="13833" width="13.875" style="2805" customWidth="1"/>
    <col min="13834" max="13834" width="57.25" style="2805" customWidth="1"/>
    <col min="13835" max="13835" width="9" style="2805" customWidth="1"/>
    <col min="13836" max="13836" width="17.75" style="2805" customWidth="1"/>
    <col min="13837" max="13837" width="63.375" style="2805" customWidth="1"/>
    <col min="13838" max="13838" width="10.625" style="2805" customWidth="1"/>
    <col min="13839" max="13839" width="16" style="2805" customWidth="1"/>
    <col min="13840" max="13840" width="14.375" style="2805" customWidth="1"/>
    <col min="13841" max="13841" width="21.875" style="2805" customWidth="1"/>
    <col min="13842" max="13842" width="6.25" style="2805" customWidth="1"/>
    <col min="13843" max="13843" width="16.125" style="2805" customWidth="1"/>
    <col min="13844" max="14080" width="9" style="2805"/>
    <col min="14081" max="14081" width="58" style="2805" customWidth="1"/>
    <col min="14082" max="14082" width="6.25" style="2805" customWidth="1"/>
    <col min="14083" max="14083" width="13.875" style="2805" customWidth="1"/>
    <col min="14084" max="14084" width="52.5" style="2805" customWidth="1"/>
    <col min="14085" max="14085" width="7.875" style="2805" customWidth="1"/>
    <col min="14086" max="14086" width="8.875" style="2805" customWidth="1"/>
    <col min="14087" max="14087" width="67" style="2805" customWidth="1"/>
    <col min="14088" max="14089" width="13.875" style="2805" customWidth="1"/>
    <col min="14090" max="14090" width="57.25" style="2805" customWidth="1"/>
    <col min="14091" max="14091" width="9" style="2805" customWidth="1"/>
    <col min="14092" max="14092" width="17.75" style="2805" customWidth="1"/>
    <col min="14093" max="14093" width="63.375" style="2805" customWidth="1"/>
    <col min="14094" max="14094" width="10.625" style="2805" customWidth="1"/>
    <col min="14095" max="14095" width="16" style="2805" customWidth="1"/>
    <col min="14096" max="14096" width="14.375" style="2805" customWidth="1"/>
    <col min="14097" max="14097" width="21.875" style="2805" customWidth="1"/>
    <col min="14098" max="14098" width="6.25" style="2805" customWidth="1"/>
    <col min="14099" max="14099" width="16.125" style="2805" customWidth="1"/>
    <col min="14100" max="14336" width="9" style="2805"/>
    <col min="14337" max="14337" width="58" style="2805" customWidth="1"/>
    <col min="14338" max="14338" width="6.25" style="2805" customWidth="1"/>
    <col min="14339" max="14339" width="13.875" style="2805" customWidth="1"/>
    <col min="14340" max="14340" width="52.5" style="2805" customWidth="1"/>
    <col min="14341" max="14341" width="7.875" style="2805" customWidth="1"/>
    <col min="14342" max="14342" width="8.875" style="2805" customWidth="1"/>
    <col min="14343" max="14343" width="67" style="2805" customWidth="1"/>
    <col min="14344" max="14345" width="13.875" style="2805" customWidth="1"/>
    <col min="14346" max="14346" width="57.25" style="2805" customWidth="1"/>
    <col min="14347" max="14347" width="9" style="2805" customWidth="1"/>
    <col min="14348" max="14348" width="17.75" style="2805" customWidth="1"/>
    <col min="14349" max="14349" width="63.375" style="2805" customWidth="1"/>
    <col min="14350" max="14350" width="10.625" style="2805" customWidth="1"/>
    <col min="14351" max="14351" width="16" style="2805" customWidth="1"/>
    <col min="14352" max="14352" width="14.375" style="2805" customWidth="1"/>
    <col min="14353" max="14353" width="21.875" style="2805" customWidth="1"/>
    <col min="14354" max="14354" width="6.25" style="2805" customWidth="1"/>
    <col min="14355" max="14355" width="16.125" style="2805" customWidth="1"/>
    <col min="14356" max="14592" width="9" style="2805"/>
    <col min="14593" max="14593" width="58" style="2805" customWidth="1"/>
    <col min="14594" max="14594" width="6.25" style="2805" customWidth="1"/>
    <col min="14595" max="14595" width="13.875" style="2805" customWidth="1"/>
    <col min="14596" max="14596" width="52.5" style="2805" customWidth="1"/>
    <col min="14597" max="14597" width="7.875" style="2805" customWidth="1"/>
    <col min="14598" max="14598" width="8.875" style="2805" customWidth="1"/>
    <col min="14599" max="14599" width="67" style="2805" customWidth="1"/>
    <col min="14600" max="14601" width="13.875" style="2805" customWidth="1"/>
    <col min="14602" max="14602" width="57.25" style="2805" customWidth="1"/>
    <col min="14603" max="14603" width="9" style="2805" customWidth="1"/>
    <col min="14604" max="14604" width="17.75" style="2805" customWidth="1"/>
    <col min="14605" max="14605" width="63.375" style="2805" customWidth="1"/>
    <col min="14606" max="14606" width="10.625" style="2805" customWidth="1"/>
    <col min="14607" max="14607" width="16" style="2805" customWidth="1"/>
    <col min="14608" max="14608" width="14.375" style="2805" customWidth="1"/>
    <col min="14609" max="14609" width="21.875" style="2805" customWidth="1"/>
    <col min="14610" max="14610" width="6.25" style="2805" customWidth="1"/>
    <col min="14611" max="14611" width="16.125" style="2805" customWidth="1"/>
    <col min="14612" max="14848" width="9" style="2805"/>
    <col min="14849" max="14849" width="58" style="2805" customWidth="1"/>
    <col min="14850" max="14850" width="6.25" style="2805" customWidth="1"/>
    <col min="14851" max="14851" width="13.875" style="2805" customWidth="1"/>
    <col min="14852" max="14852" width="52.5" style="2805" customWidth="1"/>
    <col min="14853" max="14853" width="7.875" style="2805" customWidth="1"/>
    <col min="14854" max="14854" width="8.875" style="2805" customWidth="1"/>
    <col min="14855" max="14855" width="67" style="2805" customWidth="1"/>
    <col min="14856" max="14857" width="13.875" style="2805" customWidth="1"/>
    <col min="14858" max="14858" width="57.25" style="2805" customWidth="1"/>
    <col min="14859" max="14859" width="9" style="2805" customWidth="1"/>
    <col min="14860" max="14860" width="17.75" style="2805" customWidth="1"/>
    <col min="14861" max="14861" width="63.375" style="2805" customWidth="1"/>
    <col min="14862" max="14862" width="10.625" style="2805" customWidth="1"/>
    <col min="14863" max="14863" width="16" style="2805" customWidth="1"/>
    <col min="14864" max="14864" width="14.375" style="2805" customWidth="1"/>
    <col min="14865" max="14865" width="21.875" style="2805" customWidth="1"/>
    <col min="14866" max="14866" width="6.25" style="2805" customWidth="1"/>
    <col min="14867" max="14867" width="16.125" style="2805" customWidth="1"/>
    <col min="14868" max="15104" width="9" style="2805"/>
    <col min="15105" max="15105" width="58" style="2805" customWidth="1"/>
    <col min="15106" max="15106" width="6.25" style="2805" customWidth="1"/>
    <col min="15107" max="15107" width="13.875" style="2805" customWidth="1"/>
    <col min="15108" max="15108" width="52.5" style="2805" customWidth="1"/>
    <col min="15109" max="15109" width="7.875" style="2805" customWidth="1"/>
    <col min="15110" max="15110" width="8.875" style="2805" customWidth="1"/>
    <col min="15111" max="15111" width="67" style="2805" customWidth="1"/>
    <col min="15112" max="15113" width="13.875" style="2805" customWidth="1"/>
    <col min="15114" max="15114" width="57.25" style="2805" customWidth="1"/>
    <col min="15115" max="15115" width="9" style="2805" customWidth="1"/>
    <col min="15116" max="15116" width="17.75" style="2805" customWidth="1"/>
    <col min="15117" max="15117" width="63.375" style="2805" customWidth="1"/>
    <col min="15118" max="15118" width="10.625" style="2805" customWidth="1"/>
    <col min="15119" max="15119" width="16" style="2805" customWidth="1"/>
    <col min="15120" max="15120" width="14.375" style="2805" customWidth="1"/>
    <col min="15121" max="15121" width="21.875" style="2805" customWidth="1"/>
    <col min="15122" max="15122" width="6.25" style="2805" customWidth="1"/>
    <col min="15123" max="15123" width="16.125" style="2805" customWidth="1"/>
    <col min="15124" max="15360" width="9" style="2805"/>
    <col min="15361" max="15361" width="58" style="2805" customWidth="1"/>
    <col min="15362" max="15362" width="6.25" style="2805" customWidth="1"/>
    <col min="15363" max="15363" width="13.875" style="2805" customWidth="1"/>
    <col min="15364" max="15364" width="52.5" style="2805" customWidth="1"/>
    <col min="15365" max="15365" width="7.875" style="2805" customWidth="1"/>
    <col min="15366" max="15366" width="8.875" style="2805" customWidth="1"/>
    <col min="15367" max="15367" width="67" style="2805" customWidth="1"/>
    <col min="15368" max="15369" width="13.875" style="2805" customWidth="1"/>
    <col min="15370" max="15370" width="57.25" style="2805" customWidth="1"/>
    <col min="15371" max="15371" width="9" style="2805" customWidth="1"/>
    <col min="15372" max="15372" width="17.75" style="2805" customWidth="1"/>
    <col min="15373" max="15373" width="63.375" style="2805" customWidth="1"/>
    <col min="15374" max="15374" width="10.625" style="2805" customWidth="1"/>
    <col min="15375" max="15375" width="16" style="2805" customWidth="1"/>
    <col min="15376" max="15376" width="14.375" style="2805" customWidth="1"/>
    <col min="15377" max="15377" width="21.875" style="2805" customWidth="1"/>
    <col min="15378" max="15378" width="6.25" style="2805" customWidth="1"/>
    <col min="15379" max="15379" width="16.125" style="2805" customWidth="1"/>
    <col min="15380" max="15616" width="9" style="2805"/>
    <col min="15617" max="15617" width="58" style="2805" customWidth="1"/>
    <col min="15618" max="15618" width="6.25" style="2805" customWidth="1"/>
    <col min="15619" max="15619" width="13.875" style="2805" customWidth="1"/>
    <col min="15620" max="15620" width="52.5" style="2805" customWidth="1"/>
    <col min="15621" max="15621" width="7.875" style="2805" customWidth="1"/>
    <col min="15622" max="15622" width="8.875" style="2805" customWidth="1"/>
    <col min="15623" max="15623" width="67" style="2805" customWidth="1"/>
    <col min="15624" max="15625" width="13.875" style="2805" customWidth="1"/>
    <col min="15626" max="15626" width="57.25" style="2805" customWidth="1"/>
    <col min="15627" max="15627" width="9" style="2805" customWidth="1"/>
    <col min="15628" max="15628" width="17.75" style="2805" customWidth="1"/>
    <col min="15629" max="15629" width="63.375" style="2805" customWidth="1"/>
    <col min="15630" max="15630" width="10.625" style="2805" customWidth="1"/>
    <col min="15631" max="15631" width="16" style="2805" customWidth="1"/>
    <col min="15632" max="15632" width="14.375" style="2805" customWidth="1"/>
    <col min="15633" max="15633" width="21.875" style="2805" customWidth="1"/>
    <col min="15634" max="15634" width="6.25" style="2805" customWidth="1"/>
    <col min="15635" max="15635" width="16.125" style="2805" customWidth="1"/>
    <col min="15636" max="15872" width="9" style="2805"/>
    <col min="15873" max="15873" width="58" style="2805" customWidth="1"/>
    <col min="15874" max="15874" width="6.25" style="2805" customWidth="1"/>
    <col min="15875" max="15875" width="13.875" style="2805" customWidth="1"/>
    <col min="15876" max="15876" width="52.5" style="2805" customWidth="1"/>
    <col min="15877" max="15877" width="7.875" style="2805" customWidth="1"/>
    <col min="15878" max="15878" width="8.875" style="2805" customWidth="1"/>
    <col min="15879" max="15879" width="67" style="2805" customWidth="1"/>
    <col min="15880" max="15881" width="13.875" style="2805" customWidth="1"/>
    <col min="15882" max="15882" width="57.25" style="2805" customWidth="1"/>
    <col min="15883" max="15883" width="9" style="2805" customWidth="1"/>
    <col min="15884" max="15884" width="17.75" style="2805" customWidth="1"/>
    <col min="15885" max="15885" width="63.375" style="2805" customWidth="1"/>
    <col min="15886" max="15886" width="10.625" style="2805" customWidth="1"/>
    <col min="15887" max="15887" width="16" style="2805" customWidth="1"/>
    <col min="15888" max="15888" width="14.375" style="2805" customWidth="1"/>
    <col min="15889" max="15889" width="21.875" style="2805" customWidth="1"/>
    <col min="15890" max="15890" width="6.25" style="2805" customWidth="1"/>
    <col min="15891" max="15891" width="16.125" style="2805" customWidth="1"/>
    <col min="15892" max="16128" width="9" style="2805"/>
    <col min="16129" max="16129" width="58" style="2805" customWidth="1"/>
    <col min="16130" max="16130" width="6.25" style="2805" customWidth="1"/>
    <col min="16131" max="16131" width="13.875" style="2805" customWidth="1"/>
    <col min="16132" max="16132" width="52.5" style="2805" customWidth="1"/>
    <col min="16133" max="16133" width="7.875" style="2805" customWidth="1"/>
    <col min="16134" max="16134" width="8.875" style="2805" customWidth="1"/>
    <col min="16135" max="16135" width="67" style="2805" customWidth="1"/>
    <col min="16136" max="16137" width="13.875" style="2805" customWidth="1"/>
    <col min="16138" max="16138" width="57.25" style="2805" customWidth="1"/>
    <col min="16139" max="16139" width="9" style="2805" customWidth="1"/>
    <col min="16140" max="16140" width="17.75" style="2805" customWidth="1"/>
    <col min="16141" max="16141" width="63.375" style="2805" customWidth="1"/>
    <col min="16142" max="16142" width="10.625" style="2805" customWidth="1"/>
    <col min="16143" max="16143" width="16" style="2805" customWidth="1"/>
    <col min="16144" max="16144" width="14.375" style="2805" customWidth="1"/>
    <col min="16145" max="16145" width="21.875" style="2805" customWidth="1"/>
    <col min="16146" max="16146" width="6.25" style="2805" customWidth="1"/>
    <col min="16147" max="16147" width="16.125" style="2805" customWidth="1"/>
    <col min="16148" max="16384" width="9" style="2805"/>
  </cols>
  <sheetData>
    <row r="1" spans="1:19">
      <c r="A1" s="2825" t="s">
        <v>2921</v>
      </c>
      <c r="B1" s="2826" t="s">
        <v>2922</v>
      </c>
      <c r="C1" s="2826" t="s">
        <v>2923</v>
      </c>
      <c r="D1" s="2826" t="s">
        <v>2924</v>
      </c>
      <c r="E1" s="2826" t="s">
        <v>2925</v>
      </c>
      <c r="F1" s="2826" t="s">
        <v>2926</v>
      </c>
      <c r="G1" s="2826" t="s">
        <v>2927</v>
      </c>
      <c r="H1" s="2826" t="s">
        <v>2928</v>
      </c>
      <c r="I1" s="2826" t="s">
        <v>2929</v>
      </c>
      <c r="J1" s="2826" t="s">
        <v>2930</v>
      </c>
      <c r="K1" s="2826" t="s">
        <v>2931</v>
      </c>
      <c r="L1" s="2826" t="s">
        <v>2932</v>
      </c>
      <c r="M1" s="2826" t="s">
        <v>2933</v>
      </c>
      <c r="N1" s="2826" t="s">
        <v>2934</v>
      </c>
      <c r="O1" s="2826" t="s">
        <v>2935</v>
      </c>
      <c r="P1" s="2826" t="s">
        <v>2936</v>
      </c>
      <c r="Q1" s="2826" t="s">
        <v>2937</v>
      </c>
      <c r="R1" s="2826" t="s">
        <v>2938</v>
      </c>
      <c r="S1" s="2826" t="s">
        <v>2939</v>
      </c>
    </row>
    <row r="2" spans="1:19">
      <c r="A2" s="2826" t="s">
        <v>2940</v>
      </c>
      <c r="B2" s="2826" t="s">
        <v>2941</v>
      </c>
      <c r="C2" s="2826" t="s">
        <v>2942</v>
      </c>
      <c r="D2" s="2826" t="s">
        <v>2943</v>
      </c>
      <c r="E2" s="2826" t="s">
        <v>2944</v>
      </c>
      <c r="F2" s="2826">
        <v>201803301</v>
      </c>
      <c r="G2" s="2826" t="s">
        <v>2945</v>
      </c>
      <c r="H2" s="2826">
        <v>21602.6</v>
      </c>
      <c r="I2" s="2826">
        <v>25923.119999999999</v>
      </c>
      <c r="J2" s="2826">
        <v>1.2</v>
      </c>
      <c r="K2" s="2826" t="s">
        <v>2946</v>
      </c>
      <c r="L2" s="2826" t="s">
        <v>2947</v>
      </c>
      <c r="M2" s="2826" t="s">
        <v>2948</v>
      </c>
      <c r="N2" s="2826">
        <v>8884</v>
      </c>
      <c r="O2" s="2826">
        <v>274.16000000000003</v>
      </c>
      <c r="P2" s="2826">
        <v>3427.05</v>
      </c>
      <c r="Q2" s="2826" t="s">
        <v>1331</v>
      </c>
      <c r="R2" s="2826">
        <v>0</v>
      </c>
      <c r="S2" s="2826">
        <v>70</v>
      </c>
    </row>
    <row r="3" spans="1:19">
      <c r="A3" s="2826" t="s">
        <v>2949</v>
      </c>
      <c r="B3" s="2826" t="s">
        <v>2941</v>
      </c>
      <c r="C3" s="2826" t="s">
        <v>2942</v>
      </c>
      <c r="D3" s="2826" t="s">
        <v>2950</v>
      </c>
      <c r="E3" s="2826" t="s">
        <v>2944</v>
      </c>
      <c r="F3" s="2826">
        <v>201801901</v>
      </c>
      <c r="G3" s="2826" t="s">
        <v>2951</v>
      </c>
      <c r="H3" s="2826">
        <v>62693.599999999999</v>
      </c>
      <c r="I3" s="2826">
        <v>112848.5</v>
      </c>
      <c r="J3" s="2826">
        <v>1.8</v>
      </c>
      <c r="K3" s="2826" t="s">
        <v>2952</v>
      </c>
      <c r="L3" s="2826" t="s">
        <v>2953</v>
      </c>
      <c r="M3" s="2826" t="s">
        <v>2954</v>
      </c>
      <c r="N3" s="2826">
        <v>40060</v>
      </c>
      <c r="O3" s="2826">
        <v>425.99</v>
      </c>
      <c r="P3" s="2826">
        <v>3549.88</v>
      </c>
      <c r="Q3" s="2826" t="s">
        <v>1331</v>
      </c>
      <c r="R3" s="2826">
        <v>0</v>
      </c>
      <c r="S3" s="2826">
        <v>70</v>
      </c>
    </row>
    <row r="4" spans="1:19">
      <c r="A4" s="2826" t="s">
        <v>2955</v>
      </c>
      <c r="B4" s="2826" t="s">
        <v>2941</v>
      </c>
      <c r="C4" s="2826" t="s">
        <v>2942</v>
      </c>
      <c r="D4" s="2826" t="s">
        <v>2956</v>
      </c>
      <c r="E4" s="2826" t="s">
        <v>2944</v>
      </c>
      <c r="F4" s="2826">
        <v>201716801</v>
      </c>
      <c r="G4" s="2826" t="s">
        <v>2951</v>
      </c>
      <c r="H4" s="2826">
        <v>22346.3</v>
      </c>
      <c r="I4" s="2826">
        <v>40223.339999999997</v>
      </c>
      <c r="J4" s="2826">
        <v>1.8</v>
      </c>
      <c r="K4" s="2826" t="s">
        <v>2957</v>
      </c>
      <c r="L4" s="2826" t="s">
        <v>2958</v>
      </c>
      <c r="M4" s="2826" t="s">
        <v>2959</v>
      </c>
      <c r="N4" s="2826">
        <v>14440</v>
      </c>
      <c r="O4" s="2826">
        <v>430.79</v>
      </c>
      <c r="P4" s="2826">
        <v>3589.96</v>
      </c>
      <c r="Q4" s="2826" t="s">
        <v>1331</v>
      </c>
      <c r="R4" s="2826">
        <v>0</v>
      </c>
      <c r="S4" s="2826">
        <v>70</v>
      </c>
    </row>
    <row r="5" spans="1:19">
      <c r="A5" s="2826" t="s">
        <v>2960</v>
      </c>
      <c r="B5" s="2826" t="s">
        <v>2941</v>
      </c>
      <c r="C5" s="2826" t="s">
        <v>2942</v>
      </c>
      <c r="D5" s="2826" t="s">
        <v>2961</v>
      </c>
      <c r="E5" s="2826" t="s">
        <v>2944</v>
      </c>
      <c r="F5" s="2826">
        <v>201715802</v>
      </c>
      <c r="G5" s="2826" t="s">
        <v>2945</v>
      </c>
      <c r="H5" s="2826">
        <v>81724.399999999994</v>
      </c>
      <c r="I5" s="2826">
        <v>163448.79999999999</v>
      </c>
      <c r="J5" s="2826">
        <v>2</v>
      </c>
      <c r="K5" s="2826" t="s">
        <v>2962</v>
      </c>
      <c r="L5" s="2826" t="s">
        <v>2963</v>
      </c>
      <c r="M5" s="2826" t="s">
        <v>2964</v>
      </c>
      <c r="N5" s="2826">
        <v>46714</v>
      </c>
      <c r="O5" s="2826">
        <v>381.07</v>
      </c>
      <c r="P5" s="2826">
        <v>2858.01</v>
      </c>
      <c r="Q5" s="2826" t="s">
        <v>1331</v>
      </c>
      <c r="R5" s="2826">
        <v>0</v>
      </c>
      <c r="S5" s="2826">
        <v>70</v>
      </c>
    </row>
    <row r="6" spans="1:19">
      <c r="A6" s="2826" t="s">
        <v>2965</v>
      </c>
      <c r="B6" s="2826" t="s">
        <v>2941</v>
      </c>
      <c r="C6" s="2826" t="s">
        <v>2942</v>
      </c>
      <c r="D6" s="2826" t="s">
        <v>2966</v>
      </c>
      <c r="E6" s="2826" t="s">
        <v>2944</v>
      </c>
      <c r="F6" s="2826">
        <v>201715801</v>
      </c>
      <c r="G6" s="2826" t="s">
        <v>2945</v>
      </c>
      <c r="H6" s="2826">
        <v>56054</v>
      </c>
      <c r="I6" s="2826">
        <v>112108</v>
      </c>
      <c r="J6" s="2826">
        <v>2</v>
      </c>
      <c r="K6" s="2826" t="s">
        <v>2962</v>
      </c>
      <c r="L6" s="2826" t="s">
        <v>2963</v>
      </c>
      <c r="M6" s="2826" t="s">
        <v>2964</v>
      </c>
      <c r="N6" s="2826">
        <v>31626</v>
      </c>
      <c r="O6" s="2826">
        <v>376.14</v>
      </c>
      <c r="P6" s="2826">
        <v>2821.03</v>
      </c>
      <c r="Q6" s="2826" t="s">
        <v>1331</v>
      </c>
      <c r="R6" s="2826">
        <v>0</v>
      </c>
      <c r="S6" s="2826">
        <v>70</v>
      </c>
    </row>
    <row r="7" spans="1:19">
      <c r="A7" s="2826" t="s">
        <v>2967</v>
      </c>
      <c r="B7" s="2826" t="s">
        <v>2941</v>
      </c>
      <c r="C7" s="2826" t="s">
        <v>2942</v>
      </c>
      <c r="D7" s="2826" t="s">
        <v>2968</v>
      </c>
      <c r="E7" s="2826" t="s">
        <v>2944</v>
      </c>
      <c r="F7" s="2826">
        <v>201715101</v>
      </c>
      <c r="G7" s="2826" t="s">
        <v>2945</v>
      </c>
      <c r="H7" s="2826">
        <v>46237.3</v>
      </c>
      <c r="I7" s="2826">
        <v>92474.6</v>
      </c>
      <c r="J7" s="2826">
        <v>2</v>
      </c>
      <c r="K7" s="2826" t="s">
        <v>2969</v>
      </c>
      <c r="L7" s="2826" t="s">
        <v>2970</v>
      </c>
      <c r="M7" s="2826" t="s">
        <v>2971</v>
      </c>
      <c r="N7" s="2826">
        <v>26263</v>
      </c>
      <c r="O7" s="2826">
        <v>378.67</v>
      </c>
      <c r="P7" s="2826">
        <v>2840.01</v>
      </c>
      <c r="Q7" s="2826" t="s">
        <v>1331</v>
      </c>
      <c r="R7" s="2826">
        <v>0</v>
      </c>
      <c r="S7" s="2826">
        <v>70</v>
      </c>
    </row>
    <row r="8" spans="1:19">
      <c r="A8" s="2826" t="s">
        <v>2972</v>
      </c>
      <c r="B8" s="2826" t="s">
        <v>2941</v>
      </c>
      <c r="C8" s="2826" t="s">
        <v>2942</v>
      </c>
      <c r="D8" s="2826" t="s">
        <v>2973</v>
      </c>
      <c r="E8" s="2826" t="s">
        <v>2944</v>
      </c>
      <c r="F8" s="2826">
        <v>201715003</v>
      </c>
      <c r="G8" s="2826" t="s">
        <v>2945</v>
      </c>
      <c r="H8" s="2826">
        <v>43775.7</v>
      </c>
      <c r="I8" s="2826">
        <v>87551.4</v>
      </c>
      <c r="J8" s="2826">
        <v>2</v>
      </c>
      <c r="K8" s="2826" t="s">
        <v>2974</v>
      </c>
      <c r="L8" s="2826" t="s">
        <v>2975</v>
      </c>
      <c r="M8" s="2826" t="s">
        <v>2976</v>
      </c>
      <c r="N8" s="2826">
        <v>29130</v>
      </c>
      <c r="O8" s="2826">
        <v>443.63</v>
      </c>
      <c r="P8" s="2826">
        <v>3327.19</v>
      </c>
      <c r="Q8" s="2826" t="s">
        <v>1331</v>
      </c>
      <c r="R8" s="2826">
        <v>0</v>
      </c>
      <c r="S8" s="2826">
        <v>70</v>
      </c>
    </row>
    <row r="9" spans="1:19">
      <c r="A9" s="2826" t="s">
        <v>2977</v>
      </c>
      <c r="B9" s="2826" t="s">
        <v>2941</v>
      </c>
      <c r="C9" s="2826" t="s">
        <v>2942</v>
      </c>
      <c r="D9" s="2826" t="s">
        <v>2978</v>
      </c>
      <c r="E9" s="2826" t="s">
        <v>2979</v>
      </c>
      <c r="F9" s="2826">
        <v>201712105</v>
      </c>
      <c r="G9" s="2826" t="s">
        <v>2980</v>
      </c>
      <c r="H9" s="2826">
        <v>44374.6</v>
      </c>
      <c r="I9" s="2826">
        <v>62124.44</v>
      </c>
      <c r="J9" s="2826">
        <v>1.4</v>
      </c>
      <c r="K9" s="2826" t="s">
        <v>2981</v>
      </c>
      <c r="L9" s="2826" t="s">
        <v>2982</v>
      </c>
      <c r="M9" s="2826" t="s">
        <v>2983</v>
      </c>
      <c r="N9" s="2826">
        <v>185400</v>
      </c>
      <c r="O9" s="2826">
        <v>2785.38</v>
      </c>
      <c r="P9" s="2826">
        <v>29843.33</v>
      </c>
      <c r="Q9" s="2826">
        <v>31380</v>
      </c>
      <c r="R9" s="2826">
        <v>0.11</v>
      </c>
      <c r="S9" s="2826">
        <v>70</v>
      </c>
    </row>
    <row r="10" spans="1:19">
      <c r="A10" s="2826" t="s">
        <v>2984</v>
      </c>
      <c r="B10" s="2826" t="s">
        <v>2941</v>
      </c>
      <c r="C10" s="2826" t="s">
        <v>2942</v>
      </c>
      <c r="D10" s="2826" t="s">
        <v>2985</v>
      </c>
      <c r="E10" s="2826" t="s">
        <v>2979</v>
      </c>
      <c r="F10" s="2826">
        <v>201712106</v>
      </c>
      <c r="G10" s="2826" t="s">
        <v>2980</v>
      </c>
      <c r="H10" s="2826">
        <v>16361.6</v>
      </c>
      <c r="I10" s="2826">
        <v>22906.240000000002</v>
      </c>
      <c r="J10" s="2826">
        <v>1.4</v>
      </c>
      <c r="K10" s="2826" t="s">
        <v>2981</v>
      </c>
      <c r="L10" s="2826" t="s">
        <v>2982</v>
      </c>
      <c r="M10" s="2826" t="s">
        <v>2986</v>
      </c>
      <c r="N10" s="2826">
        <v>60200</v>
      </c>
      <c r="O10" s="2826">
        <v>2452.9</v>
      </c>
      <c r="P10" s="2826">
        <v>26281.040000000001</v>
      </c>
      <c r="Q10" s="2826">
        <v>27572</v>
      </c>
      <c r="R10" s="2826">
        <v>0.33</v>
      </c>
      <c r="S10" s="2826">
        <v>70</v>
      </c>
    </row>
    <row r="11" spans="1:19">
      <c r="A11" s="2826" t="s">
        <v>2987</v>
      </c>
      <c r="B11" s="2826" t="s">
        <v>2941</v>
      </c>
      <c r="C11" s="2826" t="s">
        <v>2942</v>
      </c>
      <c r="D11" s="2826" t="s">
        <v>2988</v>
      </c>
      <c r="E11" s="2826" t="s">
        <v>2944</v>
      </c>
      <c r="F11" s="2826">
        <v>201713502</v>
      </c>
      <c r="G11" s="2826" t="s">
        <v>2945</v>
      </c>
      <c r="H11" s="2826">
        <v>43263.6</v>
      </c>
      <c r="I11" s="2826">
        <v>86527.2</v>
      </c>
      <c r="J11" s="2826">
        <v>2</v>
      </c>
      <c r="K11" s="2826" t="s">
        <v>2989</v>
      </c>
      <c r="L11" s="2826" t="s">
        <v>2990</v>
      </c>
      <c r="M11" s="2826" t="s">
        <v>2991</v>
      </c>
      <c r="N11" s="2826">
        <v>28537</v>
      </c>
      <c r="O11" s="2826">
        <v>439.74</v>
      </c>
      <c r="P11" s="2826">
        <v>3298.03</v>
      </c>
      <c r="Q11" s="2826" t="s">
        <v>1331</v>
      </c>
      <c r="R11" s="2826">
        <v>0</v>
      </c>
      <c r="S11" s="2826">
        <v>70</v>
      </c>
    </row>
    <row r="12" spans="1:19">
      <c r="A12" s="2826" t="s">
        <v>2992</v>
      </c>
      <c r="B12" s="2826" t="s">
        <v>2941</v>
      </c>
      <c r="C12" s="2826" t="s">
        <v>2942</v>
      </c>
      <c r="D12" s="2826" t="s">
        <v>2993</v>
      </c>
      <c r="E12" s="2826" t="s">
        <v>2944</v>
      </c>
      <c r="F12" s="2826">
        <v>201713501</v>
      </c>
      <c r="G12" s="2826" t="s">
        <v>2945</v>
      </c>
      <c r="H12" s="2826">
        <v>53146.9</v>
      </c>
      <c r="I12" s="2826">
        <v>106293.8</v>
      </c>
      <c r="J12" s="2826">
        <v>2</v>
      </c>
      <c r="K12" s="2826" t="s">
        <v>2989</v>
      </c>
      <c r="L12" s="2826" t="s">
        <v>2990</v>
      </c>
      <c r="M12" s="2826" t="s">
        <v>2994</v>
      </c>
      <c r="N12" s="2826">
        <v>35551</v>
      </c>
      <c r="O12" s="2826">
        <v>445.95</v>
      </c>
      <c r="P12" s="2826">
        <v>3344.59</v>
      </c>
      <c r="Q12" s="2826" t="s">
        <v>1331</v>
      </c>
      <c r="R12" s="2826">
        <v>0</v>
      </c>
      <c r="S12" s="2826">
        <v>70</v>
      </c>
    </row>
    <row r="13" spans="1:19">
      <c r="A13" s="2826" t="s">
        <v>2995</v>
      </c>
      <c r="B13" s="2826" t="s">
        <v>2941</v>
      </c>
      <c r="C13" s="2826" t="s">
        <v>2942</v>
      </c>
      <c r="D13" s="2826" t="s">
        <v>2996</v>
      </c>
      <c r="E13" s="2826" t="s">
        <v>2944</v>
      </c>
      <c r="F13" s="2826">
        <v>201713503</v>
      </c>
      <c r="G13" s="2826" t="s">
        <v>2945</v>
      </c>
      <c r="H13" s="2826">
        <v>50894.6</v>
      </c>
      <c r="I13" s="2826">
        <v>127236.5</v>
      </c>
      <c r="J13" s="2826">
        <v>2.5</v>
      </c>
      <c r="K13" s="2826" t="s">
        <v>2989</v>
      </c>
      <c r="L13" s="2826" t="s">
        <v>2990</v>
      </c>
      <c r="M13" s="2826" t="s">
        <v>2997</v>
      </c>
      <c r="N13" s="2826">
        <v>33630</v>
      </c>
      <c r="O13" s="2826">
        <v>440.52</v>
      </c>
      <c r="P13" s="2826">
        <v>2643.11</v>
      </c>
      <c r="Q13" s="2826" t="s">
        <v>1331</v>
      </c>
      <c r="R13" s="2826">
        <v>0</v>
      </c>
      <c r="S13" s="2826">
        <v>70</v>
      </c>
    </row>
    <row r="14" spans="1:19">
      <c r="A14" s="2826" t="s">
        <v>2998</v>
      </c>
      <c r="B14" s="2826" t="s">
        <v>2941</v>
      </c>
      <c r="C14" s="2826" t="s">
        <v>2942</v>
      </c>
      <c r="D14" s="2826" t="s">
        <v>2999</v>
      </c>
      <c r="E14" s="2826" t="s">
        <v>2979</v>
      </c>
      <c r="F14" s="2826">
        <v>201712107</v>
      </c>
      <c r="G14" s="2826" t="s">
        <v>2980</v>
      </c>
      <c r="H14" s="2826">
        <v>43305.8</v>
      </c>
      <c r="I14" s="2826">
        <v>69289.279999999999</v>
      </c>
      <c r="J14" s="2826">
        <v>1.6</v>
      </c>
      <c r="K14" s="2826" t="s">
        <v>3000</v>
      </c>
      <c r="L14" s="2826" t="s">
        <v>2982</v>
      </c>
      <c r="M14" s="2826" t="s">
        <v>3001</v>
      </c>
      <c r="N14" s="2826">
        <v>187400</v>
      </c>
      <c r="O14" s="2826">
        <v>2884.91</v>
      </c>
      <c r="P14" s="2826">
        <v>27046.02</v>
      </c>
      <c r="Q14" s="2826">
        <v>28409</v>
      </c>
      <c r="R14" s="2826">
        <v>0.21</v>
      </c>
      <c r="S14" s="2826">
        <v>70</v>
      </c>
    </row>
    <row r="15" spans="1:19">
      <c r="A15" s="2826" t="s">
        <v>3002</v>
      </c>
      <c r="B15" s="2826" t="s">
        <v>2941</v>
      </c>
      <c r="C15" s="2826" t="s">
        <v>2942</v>
      </c>
      <c r="D15" s="2826" t="s">
        <v>3003</v>
      </c>
      <c r="E15" s="2826" t="s">
        <v>2944</v>
      </c>
      <c r="F15" s="2826">
        <v>201711001</v>
      </c>
      <c r="G15" s="2826" t="s">
        <v>2945</v>
      </c>
      <c r="H15" s="2826">
        <v>26205.200000000001</v>
      </c>
      <c r="I15" s="2826">
        <v>52410.400000000001</v>
      </c>
      <c r="J15" s="2826">
        <v>2</v>
      </c>
      <c r="K15" s="2826" t="s">
        <v>3004</v>
      </c>
      <c r="L15" s="2826" t="s">
        <v>3005</v>
      </c>
      <c r="M15" s="2826" t="s">
        <v>2959</v>
      </c>
      <c r="N15" s="2826">
        <v>14717</v>
      </c>
      <c r="O15" s="2826">
        <v>374.4</v>
      </c>
      <c r="P15" s="2826">
        <v>2808.03</v>
      </c>
      <c r="Q15" s="2826" t="s">
        <v>1331</v>
      </c>
      <c r="R15" s="2826">
        <v>0</v>
      </c>
      <c r="S15" s="2826">
        <v>70</v>
      </c>
    </row>
    <row r="16" spans="1:19">
      <c r="A16" s="2826" t="s">
        <v>3006</v>
      </c>
      <c r="B16" s="2826" t="s">
        <v>2941</v>
      </c>
      <c r="C16" s="2826" t="s">
        <v>2942</v>
      </c>
      <c r="D16" s="2826" t="s">
        <v>3007</v>
      </c>
      <c r="E16" s="2826" t="s">
        <v>2944</v>
      </c>
      <c r="F16" s="2826">
        <v>201707101</v>
      </c>
      <c r="G16" s="2826" t="s">
        <v>2945</v>
      </c>
      <c r="H16" s="2826">
        <v>78154.399999999994</v>
      </c>
      <c r="I16" s="2826">
        <v>109416.2</v>
      </c>
      <c r="J16" s="2826">
        <v>1.4</v>
      </c>
      <c r="K16" s="2826" t="s">
        <v>3008</v>
      </c>
      <c r="L16" s="2826" t="s">
        <v>3009</v>
      </c>
      <c r="M16" s="2826" t="s">
        <v>3010</v>
      </c>
      <c r="N16" s="2826">
        <v>21577</v>
      </c>
      <c r="O16" s="2826">
        <v>184.05</v>
      </c>
      <c r="P16" s="2826">
        <v>1972</v>
      </c>
      <c r="Q16" s="2826" t="s">
        <v>1331</v>
      </c>
      <c r="R16" s="2826">
        <v>0</v>
      </c>
      <c r="S16" s="2826">
        <v>70</v>
      </c>
    </row>
    <row r="17" spans="1:19">
      <c r="A17" s="2826" t="s">
        <v>3011</v>
      </c>
      <c r="B17" s="2826" t="s">
        <v>2941</v>
      </c>
      <c r="C17" s="2826" t="s">
        <v>2942</v>
      </c>
      <c r="D17" s="2826" t="s">
        <v>3012</v>
      </c>
      <c r="E17" s="2826" t="s">
        <v>2944</v>
      </c>
      <c r="F17" s="2826">
        <v>201706801</v>
      </c>
      <c r="G17" s="2826" t="s">
        <v>2945</v>
      </c>
      <c r="H17" s="2826">
        <v>16395.900000000001</v>
      </c>
      <c r="I17" s="2826">
        <v>29512.62</v>
      </c>
      <c r="J17" s="2826">
        <v>1.8</v>
      </c>
      <c r="K17" s="2826" t="s">
        <v>3013</v>
      </c>
      <c r="L17" s="2826" t="s">
        <v>3014</v>
      </c>
      <c r="M17" s="2826" t="s">
        <v>3015</v>
      </c>
      <c r="N17" s="2826">
        <v>5340</v>
      </c>
      <c r="O17" s="2826">
        <v>217.13</v>
      </c>
      <c r="P17" s="2826">
        <v>1809.4</v>
      </c>
      <c r="Q17" s="2826" t="s">
        <v>1331</v>
      </c>
      <c r="R17" s="2826">
        <v>0</v>
      </c>
      <c r="S17" s="2826">
        <v>70</v>
      </c>
    </row>
    <row r="18" spans="1:19">
      <c r="A18" s="2826" t="s">
        <v>3016</v>
      </c>
      <c r="B18" s="2826" t="s">
        <v>2941</v>
      </c>
      <c r="C18" s="2826" t="s">
        <v>2942</v>
      </c>
      <c r="D18" s="2826" t="s">
        <v>3017</v>
      </c>
      <c r="E18" s="2826" t="s">
        <v>2944</v>
      </c>
      <c r="F18" s="2826">
        <v>201706402</v>
      </c>
      <c r="G18" s="2826" t="s">
        <v>2945</v>
      </c>
      <c r="H18" s="2826">
        <v>68339</v>
      </c>
      <c r="I18" s="2826">
        <v>88840.7</v>
      </c>
      <c r="J18" s="2826">
        <v>1.3</v>
      </c>
      <c r="K18" s="2826" t="s">
        <v>3018</v>
      </c>
      <c r="L18" s="2826" t="s">
        <v>3019</v>
      </c>
      <c r="M18" s="2826" t="s">
        <v>3020</v>
      </c>
      <c r="N18" s="2826">
        <v>28163</v>
      </c>
      <c r="O18" s="2826">
        <v>274.74</v>
      </c>
      <c r="P18" s="2826">
        <v>3170.05</v>
      </c>
      <c r="Q18" s="2826" t="s">
        <v>1331</v>
      </c>
      <c r="R18" s="2826">
        <v>0</v>
      </c>
      <c r="S18" s="2826">
        <v>70</v>
      </c>
    </row>
    <row r="19" spans="1:19">
      <c r="A19" s="2826" t="s">
        <v>3021</v>
      </c>
      <c r="B19" s="2826" t="s">
        <v>2941</v>
      </c>
      <c r="C19" s="2826" t="s">
        <v>2942</v>
      </c>
      <c r="D19" s="2826" t="s">
        <v>3022</v>
      </c>
      <c r="E19" s="2826" t="s">
        <v>2944</v>
      </c>
      <c r="F19" s="2826">
        <v>201706401</v>
      </c>
      <c r="G19" s="2826" t="s">
        <v>2945</v>
      </c>
      <c r="H19" s="2826">
        <v>68224.3</v>
      </c>
      <c r="I19" s="2826">
        <v>88691.59</v>
      </c>
      <c r="J19" s="2826">
        <v>1.3</v>
      </c>
      <c r="K19" s="2826" t="s">
        <v>3018</v>
      </c>
      <c r="L19" s="2826" t="s">
        <v>3019</v>
      </c>
      <c r="M19" s="2826" t="s">
        <v>3020</v>
      </c>
      <c r="N19" s="2826">
        <v>28124</v>
      </c>
      <c r="O19" s="2826">
        <v>274.82</v>
      </c>
      <c r="P19" s="2826">
        <v>3170.98</v>
      </c>
      <c r="Q19" s="2826" t="s">
        <v>1331</v>
      </c>
      <c r="R19" s="2826">
        <v>0</v>
      </c>
      <c r="S19" s="2826">
        <v>70</v>
      </c>
    </row>
    <row r="20" spans="1:19">
      <c r="A20" s="2826" t="s">
        <v>3023</v>
      </c>
      <c r="B20" s="2826" t="s">
        <v>2941</v>
      </c>
      <c r="C20" s="2826" t="s">
        <v>2942</v>
      </c>
      <c r="D20" s="2826" t="s">
        <v>3024</v>
      </c>
      <c r="E20" s="2826" t="s">
        <v>2944</v>
      </c>
      <c r="F20" s="2826">
        <v>201705901</v>
      </c>
      <c r="G20" s="2826" t="s">
        <v>2945</v>
      </c>
      <c r="H20" s="2826">
        <v>29224</v>
      </c>
      <c r="I20" s="2826">
        <v>37991.199999999997</v>
      </c>
      <c r="J20" s="2826">
        <v>1.3</v>
      </c>
      <c r="K20" s="2826" t="s">
        <v>3025</v>
      </c>
      <c r="L20" s="2826" t="s">
        <v>3026</v>
      </c>
      <c r="M20" s="2826" t="s">
        <v>3027</v>
      </c>
      <c r="N20" s="2826">
        <v>12000</v>
      </c>
      <c r="O20" s="2826">
        <v>273.75</v>
      </c>
      <c r="P20" s="2826">
        <v>3158.63</v>
      </c>
      <c r="Q20" s="2826" t="s">
        <v>1331</v>
      </c>
      <c r="R20" s="2826">
        <v>0</v>
      </c>
      <c r="S20" s="2826">
        <v>70</v>
      </c>
    </row>
    <row r="21" spans="1:19">
      <c r="A21" s="2826" t="s">
        <v>3028</v>
      </c>
      <c r="B21" s="2826" t="s">
        <v>2941</v>
      </c>
      <c r="C21" s="2826" t="s">
        <v>2942</v>
      </c>
      <c r="D21" s="2826" t="s">
        <v>3029</v>
      </c>
      <c r="E21" s="2826" t="s">
        <v>2944</v>
      </c>
      <c r="F21" s="2826">
        <v>201705101</v>
      </c>
      <c r="G21" s="2826" t="s">
        <v>2945</v>
      </c>
      <c r="H21" s="2826">
        <v>35616.9</v>
      </c>
      <c r="I21" s="2826">
        <v>89042.25</v>
      </c>
      <c r="J21" s="2826">
        <v>2.5</v>
      </c>
      <c r="K21" s="2826" t="s">
        <v>3030</v>
      </c>
      <c r="L21" s="2826" t="s">
        <v>3031</v>
      </c>
      <c r="M21" s="2826" t="s">
        <v>3032</v>
      </c>
      <c r="N21" s="2826">
        <v>23400</v>
      </c>
      <c r="O21" s="2826">
        <v>437.99</v>
      </c>
      <c r="P21" s="2826">
        <v>2627.96</v>
      </c>
      <c r="Q21" s="2826" t="s">
        <v>1331</v>
      </c>
      <c r="R21" s="2826">
        <v>0</v>
      </c>
      <c r="S21" s="2826">
        <v>70</v>
      </c>
    </row>
    <row r="22" spans="1:19" s="2806" customFormat="1">
      <c r="A22" s="2827" t="s">
        <v>3033</v>
      </c>
      <c r="B22" s="2827" t="s">
        <v>2941</v>
      </c>
      <c r="C22" s="2827" t="s">
        <v>2942</v>
      </c>
      <c r="D22" s="2827" t="s">
        <v>3034</v>
      </c>
      <c r="E22" s="2827" t="s">
        <v>2944</v>
      </c>
      <c r="F22" s="2827">
        <v>201615501</v>
      </c>
      <c r="G22" s="2827" t="s">
        <v>2980</v>
      </c>
      <c r="H22" s="2827">
        <v>55703.7</v>
      </c>
      <c r="I22" s="2827">
        <v>66844.44</v>
      </c>
      <c r="J22" s="2827">
        <v>1.2</v>
      </c>
      <c r="K22" s="2827" t="s">
        <v>3035</v>
      </c>
      <c r="L22" s="2827" t="s">
        <v>3036</v>
      </c>
      <c r="M22" s="2827" t="s">
        <v>3037</v>
      </c>
      <c r="N22" s="2827">
        <v>206500</v>
      </c>
      <c r="O22" s="2827">
        <v>2471.41</v>
      </c>
      <c r="P22" s="2827">
        <v>30892.61</v>
      </c>
      <c r="Q22" s="2827">
        <v>18947</v>
      </c>
      <c r="R22" s="2827">
        <v>71.63</v>
      </c>
      <c r="S22" s="2827" t="s">
        <v>3038</v>
      </c>
    </row>
    <row r="23" spans="1:19">
      <c r="A23" s="2826" t="s">
        <v>3039</v>
      </c>
      <c r="B23" s="2826" t="s">
        <v>2941</v>
      </c>
      <c r="C23" s="2826" t="s">
        <v>2942</v>
      </c>
      <c r="D23" s="2826" t="s">
        <v>3040</v>
      </c>
      <c r="E23" s="2826" t="s">
        <v>2944</v>
      </c>
      <c r="F23" s="2826">
        <v>201615502</v>
      </c>
      <c r="G23" s="2826" t="s">
        <v>2980</v>
      </c>
      <c r="H23" s="2826">
        <v>29677.9</v>
      </c>
      <c r="I23" s="2826">
        <v>35613.480000000003</v>
      </c>
      <c r="J23" s="2826">
        <v>1.2</v>
      </c>
      <c r="K23" s="2826" t="s">
        <v>3035</v>
      </c>
      <c r="L23" s="2826" t="s">
        <v>3041</v>
      </c>
      <c r="M23" s="2826" t="s">
        <v>3037</v>
      </c>
      <c r="N23" s="2826">
        <v>107000</v>
      </c>
      <c r="O23" s="2826">
        <v>2403.58</v>
      </c>
      <c r="P23" s="2826">
        <v>30044.79</v>
      </c>
      <c r="Q23" s="2826">
        <v>18946</v>
      </c>
      <c r="R23" s="2826">
        <v>66.930000000000007</v>
      </c>
      <c r="S23" s="2826" t="s">
        <v>3038</v>
      </c>
    </row>
    <row r="24" spans="1:19">
      <c r="A24" s="2826" t="s">
        <v>3042</v>
      </c>
      <c r="B24" s="2826" t="s">
        <v>2941</v>
      </c>
      <c r="C24" s="2826" t="s">
        <v>2942</v>
      </c>
      <c r="D24" s="2826" t="s">
        <v>3043</v>
      </c>
      <c r="E24" s="2826" t="s">
        <v>2944</v>
      </c>
      <c r="F24" s="2826">
        <v>201615601</v>
      </c>
      <c r="G24" s="2826" t="s">
        <v>2980</v>
      </c>
      <c r="H24" s="2826">
        <v>53270.2</v>
      </c>
      <c r="I24" s="2826">
        <v>63924.24</v>
      </c>
      <c r="J24" s="2826">
        <v>1.2</v>
      </c>
      <c r="K24" s="2826" t="s">
        <v>3035</v>
      </c>
      <c r="L24" s="2826" t="s">
        <v>3044</v>
      </c>
      <c r="M24" s="2826" t="s">
        <v>3037</v>
      </c>
      <c r="N24" s="2826">
        <v>195500</v>
      </c>
      <c r="O24" s="2826">
        <v>2446.65</v>
      </c>
      <c r="P24" s="2826">
        <v>30583.08</v>
      </c>
      <c r="Q24" s="2826">
        <v>18947</v>
      </c>
      <c r="R24" s="2826">
        <v>69.91</v>
      </c>
      <c r="S24" s="2826" t="s">
        <v>3038</v>
      </c>
    </row>
    <row r="25" spans="1:19">
      <c r="A25" s="2826" t="s">
        <v>3045</v>
      </c>
      <c r="B25" s="2826" t="s">
        <v>2941</v>
      </c>
      <c r="C25" s="2826" t="s">
        <v>2942</v>
      </c>
      <c r="D25" s="2826" t="s">
        <v>3046</v>
      </c>
      <c r="E25" s="2826" t="s">
        <v>2944</v>
      </c>
      <c r="F25" s="2826">
        <v>201614702</v>
      </c>
      <c r="G25" s="2826" t="s">
        <v>2945</v>
      </c>
      <c r="H25" s="2826">
        <v>34550.199999999997</v>
      </c>
      <c r="I25" s="2826">
        <v>69100.399999999994</v>
      </c>
      <c r="J25" s="2826">
        <v>2</v>
      </c>
      <c r="K25" s="2826" t="s">
        <v>3047</v>
      </c>
      <c r="L25" s="2826" t="s">
        <v>3048</v>
      </c>
      <c r="M25" s="2826" t="s">
        <v>3049</v>
      </c>
      <c r="N25" s="2826">
        <v>23131</v>
      </c>
      <c r="O25" s="2826">
        <v>446.33</v>
      </c>
      <c r="P25" s="2826">
        <v>3347.44</v>
      </c>
      <c r="Q25" s="2826" t="s">
        <v>1331</v>
      </c>
      <c r="R25" s="2826">
        <v>0</v>
      </c>
      <c r="S25" s="2826" t="s">
        <v>3050</v>
      </c>
    </row>
    <row r="26" spans="1:19">
      <c r="A26" s="2826" t="s">
        <v>3051</v>
      </c>
      <c r="B26" s="2826" t="s">
        <v>2941</v>
      </c>
      <c r="C26" s="2826" t="s">
        <v>2942</v>
      </c>
      <c r="D26" s="2826" t="s">
        <v>3052</v>
      </c>
      <c r="E26" s="2826" t="s">
        <v>2944</v>
      </c>
      <c r="F26" s="2826">
        <v>201614701</v>
      </c>
      <c r="G26" s="2826" t="s">
        <v>2945</v>
      </c>
      <c r="H26" s="2826">
        <v>51721.2</v>
      </c>
      <c r="I26" s="2826">
        <v>103442.4</v>
      </c>
      <c r="J26" s="2826">
        <v>2</v>
      </c>
      <c r="K26" s="2826" t="s">
        <v>3047</v>
      </c>
      <c r="L26" s="2826" t="s">
        <v>3048</v>
      </c>
      <c r="M26" s="2826" t="s">
        <v>3053</v>
      </c>
      <c r="N26" s="2826">
        <v>34552</v>
      </c>
      <c r="O26" s="2826">
        <v>445.36</v>
      </c>
      <c r="P26" s="2826">
        <v>3340.21</v>
      </c>
      <c r="Q26" s="2826" t="s">
        <v>1331</v>
      </c>
      <c r="R26" s="2826">
        <v>0</v>
      </c>
      <c r="S26" s="2826" t="s">
        <v>3038</v>
      </c>
    </row>
    <row r="27" spans="1:19">
      <c r="A27" s="2826" t="s">
        <v>3054</v>
      </c>
      <c r="B27" s="2826" t="s">
        <v>2941</v>
      </c>
      <c r="C27" s="2826" t="s">
        <v>2942</v>
      </c>
      <c r="D27" s="2826" t="s">
        <v>3055</v>
      </c>
      <c r="E27" s="2826" t="s">
        <v>2944</v>
      </c>
      <c r="F27" s="2826">
        <v>201614703</v>
      </c>
      <c r="G27" s="2826" t="s">
        <v>2945</v>
      </c>
      <c r="H27" s="2826">
        <v>25222</v>
      </c>
      <c r="I27" s="2826">
        <v>50444</v>
      </c>
      <c r="J27" s="2826">
        <v>2</v>
      </c>
      <c r="K27" s="2826" t="s">
        <v>3047</v>
      </c>
      <c r="L27" s="2826" t="s">
        <v>3048</v>
      </c>
      <c r="M27" s="2826" t="s">
        <v>3053</v>
      </c>
      <c r="N27" s="2826">
        <v>16782</v>
      </c>
      <c r="O27" s="2826">
        <v>443.58</v>
      </c>
      <c r="P27" s="2826">
        <v>3326.86</v>
      </c>
      <c r="Q27" s="2826" t="s">
        <v>1331</v>
      </c>
      <c r="R27" s="2826">
        <v>0</v>
      </c>
      <c r="S27" s="2826" t="s">
        <v>3038</v>
      </c>
    </row>
    <row r="28" spans="1:19">
      <c r="A28" s="2826" t="s">
        <v>3056</v>
      </c>
      <c r="B28" s="2826" t="s">
        <v>2941</v>
      </c>
      <c r="C28" s="2826" t="s">
        <v>2942</v>
      </c>
      <c r="D28" s="2826" t="s">
        <v>3057</v>
      </c>
      <c r="E28" s="2826" t="s">
        <v>2944</v>
      </c>
      <c r="F28" s="2826">
        <v>201612401</v>
      </c>
      <c r="G28" s="2826" t="s">
        <v>2945</v>
      </c>
      <c r="H28" s="2826">
        <v>130135</v>
      </c>
      <c r="I28" s="2826">
        <v>260270</v>
      </c>
      <c r="J28" s="2826">
        <v>2</v>
      </c>
      <c r="K28" s="2826" t="s">
        <v>3058</v>
      </c>
      <c r="L28" s="2826" t="s">
        <v>3059</v>
      </c>
      <c r="M28" s="2826" t="s">
        <v>3060</v>
      </c>
      <c r="N28" s="2826">
        <v>83547</v>
      </c>
      <c r="O28" s="2826">
        <v>428</v>
      </c>
      <c r="P28" s="2826">
        <v>3210.01</v>
      </c>
      <c r="Q28" s="2826" t="s">
        <v>1331</v>
      </c>
      <c r="R28" s="2826">
        <v>0</v>
      </c>
      <c r="S28" s="2826" t="s">
        <v>3038</v>
      </c>
    </row>
    <row r="29" spans="1:19">
      <c r="A29" s="2826" t="s">
        <v>3061</v>
      </c>
      <c r="B29" s="2826" t="s">
        <v>2941</v>
      </c>
      <c r="C29" s="2826" t="s">
        <v>2942</v>
      </c>
      <c r="D29" s="2826" t="s">
        <v>3062</v>
      </c>
      <c r="E29" s="2826" t="s">
        <v>2944</v>
      </c>
      <c r="F29" s="2826">
        <v>201610801</v>
      </c>
      <c r="G29" s="2826" t="s">
        <v>2945</v>
      </c>
      <c r="H29" s="2826">
        <v>46811.1</v>
      </c>
      <c r="I29" s="2826">
        <v>70216.649999999994</v>
      </c>
      <c r="J29" s="2826">
        <v>1.5</v>
      </c>
      <c r="K29" s="2826" t="s">
        <v>3063</v>
      </c>
      <c r="L29" s="2826" t="s">
        <v>3064</v>
      </c>
      <c r="M29" s="2826" t="s">
        <v>3065</v>
      </c>
      <c r="N29" s="2826">
        <v>30895</v>
      </c>
      <c r="O29" s="2826">
        <v>440</v>
      </c>
      <c r="P29" s="2826">
        <v>4399.9399999999996</v>
      </c>
      <c r="Q29" s="2826" t="s">
        <v>1331</v>
      </c>
      <c r="R29" s="2826">
        <v>0</v>
      </c>
      <c r="S29" s="2826" t="s">
        <v>3038</v>
      </c>
    </row>
    <row r="30" spans="1:19">
      <c r="A30" s="2826" t="s">
        <v>3066</v>
      </c>
      <c r="B30" s="2826" t="s">
        <v>2941</v>
      </c>
      <c r="C30" s="2826" t="s">
        <v>2942</v>
      </c>
      <c r="D30" s="2826" t="s">
        <v>3067</v>
      </c>
      <c r="E30" s="2826" t="s">
        <v>2944</v>
      </c>
      <c r="F30" s="2826">
        <v>201608301</v>
      </c>
      <c r="G30" s="2826" t="s">
        <v>2945</v>
      </c>
      <c r="H30" s="2826">
        <v>18986.099999999999</v>
      </c>
      <c r="I30" s="2826">
        <v>37972.199999999997</v>
      </c>
      <c r="J30" s="2826">
        <v>2</v>
      </c>
      <c r="K30" s="2826" t="s">
        <v>3068</v>
      </c>
      <c r="L30" s="2826" t="s">
        <v>3069</v>
      </c>
      <c r="M30" s="2826" t="s">
        <v>2991</v>
      </c>
      <c r="N30" s="2826">
        <v>12189</v>
      </c>
      <c r="O30" s="2826">
        <v>428</v>
      </c>
      <c r="P30" s="2826">
        <v>3209.98</v>
      </c>
      <c r="Q30" s="2826" t="s">
        <v>1331</v>
      </c>
      <c r="R30" s="2826">
        <v>0</v>
      </c>
      <c r="S30" s="2826" t="s">
        <v>3038</v>
      </c>
    </row>
    <row r="31" spans="1:19">
      <c r="A31" s="2826" t="s">
        <v>3070</v>
      </c>
      <c r="B31" s="2826" t="s">
        <v>2941</v>
      </c>
      <c r="C31" s="2826" t="s">
        <v>3071</v>
      </c>
      <c r="D31" s="2826" t="s">
        <v>3072</v>
      </c>
      <c r="E31" s="2826" t="s">
        <v>2944</v>
      </c>
      <c r="F31" s="2826">
        <v>201607001</v>
      </c>
      <c r="G31" s="2826" t="s">
        <v>3073</v>
      </c>
      <c r="H31" s="2826">
        <v>121956.8</v>
      </c>
      <c r="I31" s="2826">
        <v>203019.3</v>
      </c>
      <c r="J31" s="2826" t="s">
        <v>3074</v>
      </c>
      <c r="K31" s="2826" t="s">
        <v>3075</v>
      </c>
      <c r="L31" s="2826" t="s">
        <v>3076</v>
      </c>
      <c r="M31" s="2826" t="s">
        <v>3077</v>
      </c>
      <c r="N31" s="2826">
        <v>425000</v>
      </c>
      <c r="O31" s="2826">
        <v>2323.23</v>
      </c>
      <c r="P31" s="2826">
        <v>20933.97</v>
      </c>
      <c r="Q31" s="2826">
        <v>8355</v>
      </c>
      <c r="R31" s="2826">
        <v>158.36000000000001</v>
      </c>
      <c r="S31" s="2826" t="s">
        <v>3078</v>
      </c>
    </row>
    <row r="32" spans="1:19">
      <c r="A32" s="2826" t="s">
        <v>3079</v>
      </c>
      <c r="B32" s="2826" t="s">
        <v>2941</v>
      </c>
      <c r="C32" s="2826" t="s">
        <v>2942</v>
      </c>
      <c r="D32" s="2826" t="s">
        <v>3080</v>
      </c>
      <c r="E32" s="2826" t="s">
        <v>2944</v>
      </c>
      <c r="F32" s="2826">
        <v>201608302</v>
      </c>
      <c r="G32" s="2826" t="s">
        <v>2945</v>
      </c>
      <c r="H32" s="2826">
        <v>35346.6</v>
      </c>
      <c r="I32" s="2826">
        <v>70693.2</v>
      </c>
      <c r="J32" s="2826">
        <v>2</v>
      </c>
      <c r="K32" s="2826" t="s">
        <v>3081</v>
      </c>
      <c r="L32" s="2826" t="s">
        <v>3082</v>
      </c>
      <c r="M32" s="2826" t="s">
        <v>3083</v>
      </c>
      <c r="N32" s="2826">
        <v>23310</v>
      </c>
      <c r="O32" s="2826">
        <v>439.65</v>
      </c>
      <c r="P32" s="2826">
        <v>3297.34</v>
      </c>
      <c r="Q32" s="2826" t="s">
        <v>1331</v>
      </c>
      <c r="R32" s="2826">
        <v>0</v>
      </c>
      <c r="S32" s="2826" t="s">
        <v>3038</v>
      </c>
    </row>
    <row r="33" spans="1:19" s="2806" customFormat="1">
      <c r="A33" s="2827" t="s">
        <v>3084</v>
      </c>
      <c r="B33" s="2827" t="s">
        <v>2941</v>
      </c>
      <c r="C33" s="2827" t="s">
        <v>2942</v>
      </c>
      <c r="D33" s="2827" t="s">
        <v>3085</v>
      </c>
      <c r="E33" s="2827" t="s">
        <v>2944</v>
      </c>
      <c r="F33" s="2827">
        <v>201603901</v>
      </c>
      <c r="G33" s="2827" t="s">
        <v>2980</v>
      </c>
      <c r="H33" s="2827">
        <v>86559.9</v>
      </c>
      <c r="I33" s="2827">
        <v>121183.9</v>
      </c>
      <c r="J33" s="2827">
        <v>1.4</v>
      </c>
      <c r="K33" s="2827" t="s">
        <v>3086</v>
      </c>
      <c r="L33" s="2827" t="s">
        <v>3087</v>
      </c>
      <c r="M33" s="2827" t="s">
        <v>3088</v>
      </c>
      <c r="N33" s="2827">
        <v>473500</v>
      </c>
      <c r="O33" s="2827">
        <v>3646.8</v>
      </c>
      <c r="P33" s="2827">
        <v>39072.839999999997</v>
      </c>
      <c r="Q33" s="2827">
        <v>26319</v>
      </c>
      <c r="R33" s="2827">
        <v>56.27</v>
      </c>
      <c r="S33" s="2827" t="s">
        <v>3038</v>
      </c>
    </row>
    <row r="34" spans="1:19">
      <c r="A34" s="2826" t="s">
        <v>3089</v>
      </c>
      <c r="B34" s="2826" t="s">
        <v>2941</v>
      </c>
      <c r="C34" s="2826" t="s">
        <v>2942</v>
      </c>
      <c r="D34" s="2826" t="s">
        <v>3090</v>
      </c>
      <c r="E34" s="2826" t="s">
        <v>2944</v>
      </c>
      <c r="F34" s="2826">
        <v>201603101</v>
      </c>
      <c r="G34" s="2826" t="s">
        <v>2945</v>
      </c>
      <c r="H34" s="2826">
        <v>7969</v>
      </c>
      <c r="I34" s="2826">
        <v>11953.5</v>
      </c>
      <c r="J34" s="2826">
        <v>1.5</v>
      </c>
      <c r="K34" s="2826" t="s">
        <v>3091</v>
      </c>
      <c r="L34" s="2826" t="s">
        <v>3092</v>
      </c>
      <c r="M34" s="2826" t="s">
        <v>3093</v>
      </c>
      <c r="N34" s="2826">
        <v>3600</v>
      </c>
      <c r="O34" s="2826">
        <v>301.17</v>
      </c>
      <c r="P34" s="2826">
        <v>3011.67</v>
      </c>
      <c r="Q34" s="2826" t="s">
        <v>1331</v>
      </c>
      <c r="R34" s="2826">
        <v>0</v>
      </c>
      <c r="S34" s="2826" t="s">
        <v>3038</v>
      </c>
    </row>
    <row r="35" spans="1:19" s="2806" customFormat="1">
      <c r="A35" s="2827" t="s">
        <v>3094</v>
      </c>
      <c r="B35" s="2827" t="s">
        <v>2941</v>
      </c>
      <c r="C35" s="2827" t="s">
        <v>2942</v>
      </c>
      <c r="D35" s="2827" t="s">
        <v>3095</v>
      </c>
      <c r="E35" s="2827" t="s">
        <v>2944</v>
      </c>
      <c r="F35" s="2827">
        <v>201602301</v>
      </c>
      <c r="G35" s="2827" t="s">
        <v>2980</v>
      </c>
      <c r="H35" s="2827">
        <v>32598.1</v>
      </c>
      <c r="I35" s="2827">
        <v>52156.959999999999</v>
      </c>
      <c r="J35" s="2827">
        <v>1.6</v>
      </c>
      <c r="K35" s="2827" t="s">
        <v>3096</v>
      </c>
      <c r="L35" s="2827" t="s">
        <v>3097</v>
      </c>
      <c r="M35" s="2827" t="s">
        <v>3098</v>
      </c>
      <c r="N35" s="2827">
        <v>196500</v>
      </c>
      <c r="O35" s="2827">
        <v>4018.64</v>
      </c>
      <c r="P35" s="2827">
        <v>37674.730000000003</v>
      </c>
      <c r="Q35" s="2827" t="s">
        <v>1331</v>
      </c>
      <c r="R35" s="2827">
        <v>109.04</v>
      </c>
      <c r="S35" s="2827" t="s">
        <v>3038</v>
      </c>
    </row>
    <row r="36" spans="1:19">
      <c r="A36" s="2826" t="s">
        <v>3099</v>
      </c>
      <c r="B36" s="2826" t="s">
        <v>2941</v>
      </c>
      <c r="C36" s="2826" t="s">
        <v>2942</v>
      </c>
      <c r="D36" s="2826" t="s">
        <v>3100</v>
      </c>
      <c r="E36" s="2826" t="s">
        <v>2944</v>
      </c>
      <c r="F36" s="2826">
        <v>201602303</v>
      </c>
      <c r="G36" s="2826" t="s">
        <v>2980</v>
      </c>
      <c r="H36" s="2826">
        <v>43598.5</v>
      </c>
      <c r="I36" s="2826">
        <v>78477.3</v>
      </c>
      <c r="J36" s="2826">
        <v>1.8</v>
      </c>
      <c r="K36" s="2826" t="s">
        <v>3096</v>
      </c>
      <c r="L36" s="2826" t="s">
        <v>3097</v>
      </c>
      <c r="M36" s="2826" t="s">
        <v>3101</v>
      </c>
      <c r="N36" s="2826">
        <v>300500</v>
      </c>
      <c r="O36" s="2826">
        <v>4594.96</v>
      </c>
      <c r="P36" s="2826">
        <v>38291.33</v>
      </c>
      <c r="Q36" s="2826" t="s">
        <v>1331</v>
      </c>
      <c r="R36" s="2826">
        <v>111.62</v>
      </c>
      <c r="S36" s="2826" t="s">
        <v>3038</v>
      </c>
    </row>
    <row r="37" spans="1:19">
      <c r="A37" s="2826" t="s">
        <v>3102</v>
      </c>
      <c r="B37" s="2826" t="s">
        <v>2941</v>
      </c>
      <c r="C37" s="2826" t="s">
        <v>2942</v>
      </c>
      <c r="D37" s="2826" t="s">
        <v>3103</v>
      </c>
      <c r="E37" s="2826" t="s">
        <v>2944</v>
      </c>
      <c r="F37" s="2826">
        <v>201601002</v>
      </c>
      <c r="G37" s="2826" t="s">
        <v>2980</v>
      </c>
      <c r="H37" s="2826">
        <v>37336.5</v>
      </c>
      <c r="I37" s="2826">
        <v>56004.75</v>
      </c>
      <c r="J37" s="2826">
        <v>1.5</v>
      </c>
      <c r="K37" s="2826" t="s">
        <v>3104</v>
      </c>
      <c r="L37" s="2826" t="s">
        <v>3105</v>
      </c>
      <c r="M37" s="2826" t="s">
        <v>3106</v>
      </c>
      <c r="N37" s="2826">
        <v>80000</v>
      </c>
      <c r="O37" s="2826">
        <v>1428.45</v>
      </c>
      <c r="P37" s="2826">
        <v>14284.5</v>
      </c>
      <c r="Q37" s="2826">
        <v>6860</v>
      </c>
      <c r="R37" s="2826">
        <v>119.18</v>
      </c>
      <c r="S37" s="2826" t="s">
        <v>3038</v>
      </c>
    </row>
    <row r="38" spans="1:19">
      <c r="A38" s="2826" t="s">
        <v>3107</v>
      </c>
      <c r="B38" s="2826" t="s">
        <v>2941</v>
      </c>
      <c r="C38" s="2826" t="s">
        <v>2942</v>
      </c>
      <c r="D38" s="2826" t="s">
        <v>3108</v>
      </c>
      <c r="E38" s="2826" t="s">
        <v>2944</v>
      </c>
      <c r="F38" s="2826">
        <v>201515702</v>
      </c>
      <c r="G38" s="2826" t="s">
        <v>2945</v>
      </c>
      <c r="H38" s="2826">
        <v>49081</v>
      </c>
      <c r="I38" s="2826">
        <v>98162</v>
      </c>
      <c r="J38" s="2826">
        <v>2</v>
      </c>
      <c r="K38" s="2826" t="s">
        <v>3109</v>
      </c>
      <c r="L38" s="2826" t="s">
        <v>3110</v>
      </c>
      <c r="M38" s="2826" t="s">
        <v>3111</v>
      </c>
      <c r="N38" s="2826">
        <v>16700</v>
      </c>
      <c r="O38" s="2826">
        <v>226.84</v>
      </c>
      <c r="P38" s="2826">
        <v>1701.26</v>
      </c>
      <c r="Q38" s="2826" t="s">
        <v>1331</v>
      </c>
      <c r="R38" s="2826">
        <v>0</v>
      </c>
      <c r="S38" s="2826" t="s">
        <v>3038</v>
      </c>
    </row>
    <row r="39" spans="1:19">
      <c r="A39" s="2826" t="s">
        <v>3112</v>
      </c>
      <c r="B39" s="2826" t="s">
        <v>2941</v>
      </c>
      <c r="C39" s="2826" t="s">
        <v>2942</v>
      </c>
      <c r="D39" s="2826" t="s">
        <v>3113</v>
      </c>
      <c r="E39" s="2826" t="s">
        <v>2944</v>
      </c>
      <c r="F39" s="2826">
        <v>201515701</v>
      </c>
      <c r="G39" s="2826" t="s">
        <v>2945</v>
      </c>
      <c r="H39" s="2826">
        <v>32242.3</v>
      </c>
      <c r="I39" s="2826">
        <v>48363.45</v>
      </c>
      <c r="J39" s="2826">
        <v>1.5</v>
      </c>
      <c r="K39" s="2826" t="s">
        <v>3109</v>
      </c>
      <c r="L39" s="2826" t="s">
        <v>3114</v>
      </c>
      <c r="M39" s="2826" t="s">
        <v>3115</v>
      </c>
      <c r="N39" s="2826">
        <v>7820</v>
      </c>
      <c r="O39" s="2826">
        <v>161.69</v>
      </c>
      <c r="P39" s="2826">
        <v>1616.92</v>
      </c>
      <c r="Q39" s="2826" t="s">
        <v>1331</v>
      </c>
      <c r="R39" s="2826">
        <v>0</v>
      </c>
      <c r="S39" s="2826" t="s">
        <v>3038</v>
      </c>
    </row>
    <row r="40" spans="1:19">
      <c r="A40" s="2826" t="s">
        <v>3116</v>
      </c>
      <c r="B40" s="2826" t="s">
        <v>2941</v>
      </c>
      <c r="C40" s="2826" t="s">
        <v>2942</v>
      </c>
      <c r="D40" s="2826" t="s">
        <v>3117</v>
      </c>
      <c r="E40" s="2826" t="s">
        <v>2944</v>
      </c>
      <c r="F40" s="2826">
        <v>201513704</v>
      </c>
      <c r="G40" s="2826" t="s">
        <v>2980</v>
      </c>
      <c r="H40" s="2826">
        <v>65295.5</v>
      </c>
      <c r="I40" s="2826">
        <v>91413.7</v>
      </c>
      <c r="J40" s="2826">
        <v>1.4</v>
      </c>
      <c r="K40" s="2826" t="s">
        <v>3118</v>
      </c>
      <c r="L40" s="2826" t="s">
        <v>3119</v>
      </c>
      <c r="M40" s="2826" t="s">
        <v>3120</v>
      </c>
      <c r="N40" s="2826">
        <v>142400</v>
      </c>
      <c r="O40" s="2826">
        <v>1453.9</v>
      </c>
      <c r="P40" s="2826">
        <v>15577.53</v>
      </c>
      <c r="Q40" s="2826">
        <v>16351</v>
      </c>
      <c r="R40" s="2826">
        <v>0.28000000000000003</v>
      </c>
      <c r="S40" s="2826">
        <v>70</v>
      </c>
    </row>
    <row r="41" spans="1:19">
      <c r="A41" s="2826" t="s">
        <v>3121</v>
      </c>
      <c r="B41" s="2826" t="s">
        <v>2941</v>
      </c>
      <c r="C41" s="2826" t="s">
        <v>2942</v>
      </c>
      <c r="D41" s="2826" t="s">
        <v>3122</v>
      </c>
      <c r="E41" s="2826" t="s">
        <v>2944</v>
      </c>
      <c r="F41" s="2826">
        <v>201514003</v>
      </c>
      <c r="G41" s="2826" t="s">
        <v>2945</v>
      </c>
      <c r="H41" s="2826">
        <v>115500.6</v>
      </c>
      <c r="I41" s="2826">
        <v>202400</v>
      </c>
      <c r="J41" s="2826" t="s">
        <v>3123</v>
      </c>
      <c r="K41" s="2826" t="s">
        <v>3124</v>
      </c>
      <c r="L41" s="2826" t="s">
        <v>3125</v>
      </c>
      <c r="M41" s="2826" t="s">
        <v>3126</v>
      </c>
      <c r="N41" s="2826">
        <v>67800</v>
      </c>
      <c r="O41" s="2826">
        <v>391.34</v>
      </c>
      <c r="P41" s="2826">
        <v>3349.8</v>
      </c>
      <c r="Q41" s="2826" t="s">
        <v>1331</v>
      </c>
      <c r="R41" s="2826">
        <v>0</v>
      </c>
      <c r="S41" s="2826">
        <v>70</v>
      </c>
    </row>
    <row r="42" spans="1:19">
      <c r="A42" s="2826" t="s">
        <v>3127</v>
      </c>
      <c r="B42" s="2826" t="s">
        <v>2941</v>
      </c>
      <c r="C42" s="2826" t="s">
        <v>2942</v>
      </c>
      <c r="D42" s="2826" t="s">
        <v>3128</v>
      </c>
      <c r="E42" s="2826" t="s">
        <v>2944</v>
      </c>
      <c r="F42" s="2826">
        <v>201514002</v>
      </c>
      <c r="G42" s="2826" t="s">
        <v>2945</v>
      </c>
      <c r="H42" s="2826">
        <v>30818.3</v>
      </c>
      <c r="I42" s="2826">
        <v>49309.279999999999</v>
      </c>
      <c r="J42" s="2826">
        <v>1.6</v>
      </c>
      <c r="K42" s="2826" t="s">
        <v>3124</v>
      </c>
      <c r="L42" s="2826" t="s">
        <v>3129</v>
      </c>
      <c r="M42" s="2826" t="s">
        <v>3130</v>
      </c>
      <c r="N42" s="2826">
        <v>5200</v>
      </c>
      <c r="O42" s="2826">
        <v>112.49</v>
      </c>
      <c r="P42" s="2826">
        <v>1054.56</v>
      </c>
      <c r="Q42" s="2826" t="s">
        <v>1331</v>
      </c>
      <c r="R42" s="2826">
        <v>0</v>
      </c>
      <c r="S42" s="2826">
        <v>70</v>
      </c>
    </row>
    <row r="43" spans="1:19">
      <c r="A43" s="2826" t="s">
        <v>3131</v>
      </c>
      <c r="B43" s="2826" t="s">
        <v>2941</v>
      </c>
      <c r="C43" s="2826" t="s">
        <v>2942</v>
      </c>
      <c r="D43" s="2826" t="s">
        <v>3132</v>
      </c>
      <c r="E43" s="2826" t="s">
        <v>2944</v>
      </c>
      <c r="F43" s="2826">
        <v>201514001</v>
      </c>
      <c r="G43" s="2826" t="s">
        <v>2945</v>
      </c>
      <c r="H43" s="2826">
        <v>62307.7</v>
      </c>
      <c r="I43" s="2826">
        <v>124615.4</v>
      </c>
      <c r="J43" s="2826">
        <v>2</v>
      </c>
      <c r="K43" s="2826" t="s">
        <v>3124</v>
      </c>
      <c r="L43" s="2826" t="s">
        <v>3133</v>
      </c>
      <c r="M43" s="2826" t="s">
        <v>2971</v>
      </c>
      <c r="N43" s="2826">
        <v>21100</v>
      </c>
      <c r="O43" s="2826">
        <v>225.76</v>
      </c>
      <c r="P43" s="2826">
        <v>1693.21</v>
      </c>
      <c r="Q43" s="2826" t="s">
        <v>1331</v>
      </c>
      <c r="R43" s="2826">
        <v>0</v>
      </c>
      <c r="S43" s="2826">
        <v>70</v>
      </c>
    </row>
    <row r="44" spans="1:19">
      <c r="A44" s="2826" t="s">
        <v>3134</v>
      </c>
      <c r="B44" s="2826" t="s">
        <v>2941</v>
      </c>
      <c r="C44" s="2826" t="s">
        <v>2942</v>
      </c>
      <c r="D44" s="2826" t="s">
        <v>3135</v>
      </c>
      <c r="E44" s="2826" t="s">
        <v>2944</v>
      </c>
      <c r="F44" s="2826">
        <v>201513602</v>
      </c>
      <c r="G44" s="2826" t="s">
        <v>2945</v>
      </c>
      <c r="H44" s="2826">
        <v>68024.399999999994</v>
      </c>
      <c r="I44" s="2826">
        <v>102036.6</v>
      </c>
      <c r="J44" s="2826">
        <v>1.5</v>
      </c>
      <c r="K44" s="2826" t="s">
        <v>3136</v>
      </c>
      <c r="L44" s="2826" t="s">
        <v>3137</v>
      </c>
      <c r="M44" s="2826" t="s">
        <v>3138</v>
      </c>
      <c r="N44" s="2826">
        <v>44579</v>
      </c>
      <c r="O44" s="2826">
        <v>436.89</v>
      </c>
      <c r="P44" s="2826">
        <v>4368.92</v>
      </c>
      <c r="Q44" s="2826" t="s">
        <v>1331</v>
      </c>
      <c r="R44" s="2826">
        <v>0</v>
      </c>
      <c r="S44" s="2826">
        <v>70</v>
      </c>
    </row>
    <row r="45" spans="1:19">
      <c r="A45" s="2826" t="s">
        <v>3139</v>
      </c>
      <c r="B45" s="2826" t="s">
        <v>2941</v>
      </c>
      <c r="C45" s="2826" t="s">
        <v>2942</v>
      </c>
      <c r="D45" s="2826" t="s">
        <v>3140</v>
      </c>
      <c r="E45" s="2826" t="s">
        <v>2944</v>
      </c>
      <c r="F45" s="2826">
        <v>201513601</v>
      </c>
      <c r="G45" s="2826" t="s">
        <v>2945</v>
      </c>
      <c r="H45" s="2826">
        <v>21411.4</v>
      </c>
      <c r="I45" s="2826">
        <v>32117.1</v>
      </c>
      <c r="J45" s="2826">
        <v>1.5</v>
      </c>
      <c r="K45" s="2826" t="s">
        <v>3136</v>
      </c>
      <c r="L45" s="2826" t="s">
        <v>3141</v>
      </c>
      <c r="M45" s="2826" t="s">
        <v>3126</v>
      </c>
      <c r="N45" s="2826">
        <v>14071</v>
      </c>
      <c r="O45" s="2826">
        <v>438.12</v>
      </c>
      <c r="P45" s="2826">
        <v>4381.1499999999996</v>
      </c>
      <c r="Q45" s="2826" t="s">
        <v>1331</v>
      </c>
      <c r="R45" s="2826">
        <v>0</v>
      </c>
      <c r="S45" s="2826">
        <v>70</v>
      </c>
    </row>
    <row r="46" spans="1:19">
      <c r="A46" s="2826" t="s">
        <v>3142</v>
      </c>
      <c r="B46" s="2826" t="s">
        <v>2941</v>
      </c>
      <c r="C46" s="2826" t="s">
        <v>2942</v>
      </c>
      <c r="D46" s="2826" t="s">
        <v>3143</v>
      </c>
      <c r="E46" s="2826" t="s">
        <v>2944</v>
      </c>
      <c r="F46" s="2826">
        <v>201513603</v>
      </c>
      <c r="G46" s="2826" t="s">
        <v>2945</v>
      </c>
      <c r="H46" s="2826">
        <v>26572.3</v>
      </c>
      <c r="I46" s="2826">
        <v>47830.14</v>
      </c>
      <c r="J46" s="2826">
        <v>1.8</v>
      </c>
      <c r="K46" s="2826" t="s">
        <v>3136</v>
      </c>
      <c r="L46" s="2826" t="s">
        <v>3144</v>
      </c>
      <c r="M46" s="2826" t="s">
        <v>3145</v>
      </c>
      <c r="N46" s="2826">
        <v>17771</v>
      </c>
      <c r="O46" s="2826">
        <v>445.85</v>
      </c>
      <c r="P46" s="2826">
        <v>3715.44</v>
      </c>
      <c r="Q46" s="2826" t="s">
        <v>1331</v>
      </c>
      <c r="R46" s="2826">
        <v>0</v>
      </c>
      <c r="S46" s="2826">
        <v>70</v>
      </c>
    </row>
    <row r="47" spans="1:19">
      <c r="A47" s="2826" t="s">
        <v>3146</v>
      </c>
      <c r="B47" s="2826" t="s">
        <v>2941</v>
      </c>
      <c r="C47" s="2826" t="s">
        <v>2942</v>
      </c>
      <c r="D47" s="2826" t="s">
        <v>3147</v>
      </c>
      <c r="E47" s="2826" t="s">
        <v>2944</v>
      </c>
      <c r="F47" s="2826">
        <v>201513605</v>
      </c>
      <c r="G47" s="2826" t="s">
        <v>2945</v>
      </c>
      <c r="H47" s="2826">
        <v>30633</v>
      </c>
      <c r="I47" s="2826">
        <v>42886.2</v>
      </c>
      <c r="J47" s="2826">
        <v>1.4</v>
      </c>
      <c r="K47" s="2826" t="s">
        <v>3136</v>
      </c>
      <c r="L47" s="2826" t="s">
        <v>3148</v>
      </c>
      <c r="M47" s="2826" t="s">
        <v>3126</v>
      </c>
      <c r="N47" s="2826">
        <v>20530</v>
      </c>
      <c r="O47" s="2826">
        <v>446.79</v>
      </c>
      <c r="P47" s="2826">
        <v>4787.09</v>
      </c>
      <c r="Q47" s="2826" t="s">
        <v>1331</v>
      </c>
      <c r="R47" s="2826">
        <v>0</v>
      </c>
      <c r="S47" s="2826">
        <v>70</v>
      </c>
    </row>
    <row r="48" spans="1:19">
      <c r="A48" s="2826" t="s">
        <v>3149</v>
      </c>
      <c r="B48" s="2826" t="s">
        <v>2941</v>
      </c>
      <c r="C48" s="2826" t="s">
        <v>2942</v>
      </c>
      <c r="D48" s="2826" t="s">
        <v>3150</v>
      </c>
      <c r="E48" s="2826" t="s">
        <v>2944</v>
      </c>
      <c r="F48" s="2826">
        <v>201513604</v>
      </c>
      <c r="G48" s="2826" t="s">
        <v>2945</v>
      </c>
      <c r="H48" s="2826">
        <v>35191.599999999999</v>
      </c>
      <c r="I48" s="2826">
        <v>63344.88</v>
      </c>
      <c r="J48" s="2826">
        <v>1.8</v>
      </c>
      <c r="K48" s="2826" t="s">
        <v>3136</v>
      </c>
      <c r="L48" s="2826" t="s">
        <v>3151</v>
      </c>
      <c r="M48" s="2826" t="s">
        <v>3126</v>
      </c>
      <c r="N48" s="2826">
        <v>22593</v>
      </c>
      <c r="O48" s="2826">
        <v>428</v>
      </c>
      <c r="P48" s="2826">
        <v>3566.67</v>
      </c>
      <c r="Q48" s="2826" t="s">
        <v>1331</v>
      </c>
      <c r="R48" s="2826">
        <v>0</v>
      </c>
      <c r="S48" s="2826">
        <v>70</v>
      </c>
    </row>
    <row r="49" spans="1:19">
      <c r="A49" s="2826" t="s">
        <v>3152</v>
      </c>
      <c r="B49" s="2826" t="s">
        <v>2941</v>
      </c>
      <c r="C49" s="2826" t="s">
        <v>2942</v>
      </c>
      <c r="D49" s="2826" t="s">
        <v>3153</v>
      </c>
      <c r="E49" s="2826" t="s">
        <v>2944</v>
      </c>
      <c r="F49" s="2826">
        <v>201513408</v>
      </c>
      <c r="G49" s="2826" t="s">
        <v>2945</v>
      </c>
      <c r="H49" s="2826">
        <v>95658.5</v>
      </c>
      <c r="I49" s="2826">
        <v>133921.9</v>
      </c>
      <c r="J49" s="2826">
        <v>1.4</v>
      </c>
      <c r="K49" s="2826" t="s">
        <v>3154</v>
      </c>
      <c r="L49" s="2826" t="s">
        <v>3155</v>
      </c>
      <c r="M49" s="2826" t="s">
        <v>3156</v>
      </c>
      <c r="N49" s="2826">
        <v>63434</v>
      </c>
      <c r="O49" s="2826">
        <v>442.09</v>
      </c>
      <c r="P49" s="2826">
        <v>4736.6400000000003</v>
      </c>
      <c r="Q49" s="2826" t="s">
        <v>1331</v>
      </c>
      <c r="R49" s="2826">
        <v>0</v>
      </c>
      <c r="S49" s="2826">
        <v>70</v>
      </c>
    </row>
    <row r="50" spans="1:19">
      <c r="A50" s="2826" t="s">
        <v>3157</v>
      </c>
      <c r="B50" s="2826" t="s">
        <v>2941</v>
      </c>
      <c r="C50" s="2826" t="s">
        <v>2942</v>
      </c>
      <c r="D50" s="2826" t="s">
        <v>3158</v>
      </c>
      <c r="E50" s="2826" t="s">
        <v>2944</v>
      </c>
      <c r="F50" s="2826">
        <v>201513404</v>
      </c>
      <c r="G50" s="2826" t="s">
        <v>2945</v>
      </c>
      <c r="H50" s="2826">
        <v>38921.1</v>
      </c>
      <c r="I50" s="2826">
        <v>77842.2</v>
      </c>
      <c r="J50" s="2826">
        <v>2</v>
      </c>
      <c r="K50" s="2826" t="s">
        <v>3154</v>
      </c>
      <c r="L50" s="2826" t="s">
        <v>3159</v>
      </c>
      <c r="M50" s="2826" t="s">
        <v>3126</v>
      </c>
      <c r="N50" s="2826">
        <v>25406</v>
      </c>
      <c r="O50" s="2826">
        <v>435.17</v>
      </c>
      <c r="P50" s="2826">
        <v>3263.78</v>
      </c>
      <c r="Q50" s="2826" t="s">
        <v>1331</v>
      </c>
      <c r="R50" s="2826">
        <v>0</v>
      </c>
      <c r="S50" s="2826">
        <v>70</v>
      </c>
    </row>
    <row r="51" spans="1:19">
      <c r="A51" s="2826" t="s">
        <v>3160</v>
      </c>
      <c r="B51" s="2826" t="s">
        <v>2941</v>
      </c>
      <c r="C51" s="2826" t="s">
        <v>2942</v>
      </c>
      <c r="D51" s="2826" t="s">
        <v>3161</v>
      </c>
      <c r="E51" s="2826" t="s">
        <v>2944</v>
      </c>
      <c r="F51" s="2826">
        <v>201513406</v>
      </c>
      <c r="G51" s="2826" t="s">
        <v>2945</v>
      </c>
      <c r="H51" s="2826">
        <v>39010.199999999997</v>
      </c>
      <c r="I51" s="2826">
        <v>54614.28</v>
      </c>
      <c r="J51" s="2826">
        <v>1.4</v>
      </c>
      <c r="K51" s="2826" t="s">
        <v>3154</v>
      </c>
      <c r="L51" s="2826" t="s">
        <v>3162</v>
      </c>
      <c r="M51" s="2826" t="s">
        <v>3126</v>
      </c>
      <c r="N51" s="2826">
        <v>25859</v>
      </c>
      <c r="O51" s="2826">
        <v>441.92</v>
      </c>
      <c r="P51" s="2826">
        <v>4734.84</v>
      </c>
      <c r="Q51" s="2826" t="s">
        <v>1331</v>
      </c>
      <c r="R51" s="2826">
        <v>0</v>
      </c>
      <c r="S51" s="2826">
        <v>70</v>
      </c>
    </row>
  </sheetData>
  <phoneticPr fontId="144" type="noConversion"/>
  <pageMargins left="0.75" right="0.75" top="1" bottom="1" header="0.5" footer="0.5"/>
  <pageSetup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topLeftCell="A60" workbookViewId="0">
      <selection activeCell="M95" sqref="M95"/>
    </sheetView>
  </sheetViews>
  <sheetFormatPr defaultRowHeight="13.5"/>
  <cols>
    <col min="1" max="4" width="9" style="2820"/>
  </cols>
  <sheetData>
    <row r="1" spans="1:4">
      <c r="A1" s="3317" t="s">
        <v>3166</v>
      </c>
      <c r="B1" s="3317"/>
      <c r="C1" s="3317"/>
      <c r="D1" s="3317"/>
    </row>
    <row r="2" spans="1:4" ht="14.25" thickBot="1">
      <c r="A2" s="2813" t="s">
        <v>3167</v>
      </c>
      <c r="B2" s="2814" t="s">
        <v>3168</v>
      </c>
      <c r="C2" s="2814" t="s">
        <v>3169</v>
      </c>
      <c r="D2" s="2814" t="s">
        <v>3170</v>
      </c>
    </row>
    <row r="3" spans="1:4">
      <c r="A3" s="2808">
        <v>2016.1</v>
      </c>
      <c r="B3" s="2815">
        <v>38244</v>
      </c>
      <c r="C3" s="2815">
        <v>6.93</v>
      </c>
      <c r="D3" s="2816"/>
    </row>
    <row r="4" spans="1:4">
      <c r="A4" s="2809">
        <v>2016.2</v>
      </c>
      <c r="B4" s="2817">
        <v>40872</v>
      </c>
      <c r="C4" s="2817">
        <v>6.87</v>
      </c>
      <c r="D4" s="2818"/>
    </row>
    <row r="5" spans="1:4">
      <c r="A5" s="2808">
        <v>2016.3</v>
      </c>
      <c r="B5" s="2815">
        <v>43696</v>
      </c>
      <c r="C5" s="2815">
        <v>6.91</v>
      </c>
      <c r="D5" s="2816"/>
    </row>
    <row r="6" spans="1:4">
      <c r="A6" s="2809">
        <v>2016.4</v>
      </c>
      <c r="B6" s="2817">
        <v>46083</v>
      </c>
      <c r="C6" s="2817">
        <v>5.46</v>
      </c>
      <c r="D6" s="2818"/>
    </row>
    <row r="7" spans="1:4" ht="14.25">
      <c r="A7" s="2810">
        <v>2017.1</v>
      </c>
      <c r="B7" s="2819">
        <v>47701</v>
      </c>
      <c r="C7" s="2819">
        <v>3.51</v>
      </c>
    </row>
    <row r="8" spans="1:4" ht="14.25">
      <c r="A8" s="2811">
        <v>2017.2</v>
      </c>
      <c r="B8" s="2821">
        <v>49315</v>
      </c>
      <c r="C8" s="2821">
        <v>3.38</v>
      </c>
      <c r="D8" s="2821"/>
    </row>
    <row r="9" spans="1:4" ht="14.25">
      <c r="A9" s="2812">
        <v>2017.3</v>
      </c>
      <c r="B9" s="2822">
        <v>50447</v>
      </c>
      <c r="C9" s="2822">
        <v>2.2999999999999998</v>
      </c>
      <c r="D9" s="2822"/>
    </row>
    <row r="10" spans="1:4" ht="14.25">
      <c r="A10" s="2811">
        <v>2017.4</v>
      </c>
      <c r="B10" s="2821">
        <v>50932</v>
      </c>
      <c r="C10" s="2821">
        <v>0.96</v>
      </c>
      <c r="D10" s="2821"/>
    </row>
    <row r="11" spans="1:4" ht="14.25">
      <c r="A11" s="2812">
        <v>2018.1</v>
      </c>
      <c r="B11" s="2822">
        <v>51407</v>
      </c>
      <c r="C11" s="2822">
        <v>0.93</v>
      </c>
    </row>
    <row r="57" spans="14:14">
      <c r="N57" t="s">
        <v>3402</v>
      </c>
    </row>
  </sheetData>
  <mergeCells count="1">
    <mergeCell ref="A1:D1"/>
  </mergeCells>
  <phoneticPr fontId="14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9" sqref="H19"/>
    </sheetView>
  </sheetViews>
  <sheetFormatPr defaultColWidth="6.625" defaultRowHeight="12.75"/>
  <cols>
    <col min="1" max="1" width="9.75" style="741" customWidth="1"/>
    <col min="2" max="2" width="25.75" style="898" customWidth="1"/>
    <col min="3" max="3" width="10.375" style="941" customWidth="1"/>
    <col min="4" max="4" width="9.875" style="898" customWidth="1"/>
    <col min="5" max="5" width="9.5" style="741" customWidth="1"/>
    <col min="6" max="6" width="10.125" style="898" customWidth="1"/>
    <col min="7" max="7" width="10.75" style="898" customWidth="1"/>
    <col min="8" max="8" width="10" style="898" customWidth="1"/>
    <col min="9" max="11" width="9.5" style="898" customWidth="1"/>
    <col min="12" max="12" width="9" style="898" customWidth="1"/>
    <col min="13" max="13" width="10.5" style="898" bestFit="1" customWidth="1"/>
    <col min="14" max="254" width="9" style="898" customWidth="1"/>
    <col min="255" max="16384" width="6.625" style="898"/>
  </cols>
  <sheetData>
    <row r="1" spans="1:33" ht="20.25">
      <c r="A1" s="183" t="s">
        <v>2333</v>
      </c>
      <c r="B1" s="1511"/>
      <c r="C1" s="1512"/>
      <c r="D1" s="1510"/>
      <c r="E1" s="263"/>
      <c r="F1" s="263"/>
      <c r="G1" s="1511"/>
      <c r="H1" s="263"/>
      <c r="I1" s="263"/>
      <c r="J1" s="263"/>
      <c r="K1" s="263">
        <f>MATCH(C1,'数据-取费表'!A6:A16,0)+5</f>
        <v>9</v>
      </c>
    </row>
    <row r="2" spans="1:33" ht="18" customHeight="1">
      <c r="A2" s="188" t="s">
        <v>2201</v>
      </c>
      <c r="B2" s="191">
        <f ca="1">C32</f>
        <v>296147</v>
      </c>
      <c r="C2" s="263" t="s">
        <v>2334</v>
      </c>
      <c r="D2" s="263"/>
      <c r="E2" s="263"/>
      <c r="F2" s="263"/>
      <c r="G2" s="263"/>
      <c r="H2" s="263"/>
      <c r="I2" s="263"/>
      <c r="J2" s="263"/>
      <c r="K2" s="263"/>
    </row>
    <row r="3" spans="1:33" ht="18" customHeight="1" thickBot="1">
      <c r="A3" s="190" t="s">
        <v>2203</v>
      </c>
      <c r="B3" s="191">
        <f ca="1">ROUND(B2*10000/IF(C1="",'数据-汇总表'!E3,INDIRECT("'数据-取费表'!K"&amp;$K$1)),0)</f>
        <v>24792</v>
      </c>
      <c r="C3" s="263" t="s">
        <v>2335</v>
      </c>
      <c r="D3" s="263"/>
      <c r="E3" s="263"/>
      <c r="F3" s="263"/>
      <c r="G3" s="263"/>
      <c r="H3" s="263"/>
      <c r="I3" s="263"/>
      <c r="J3" s="263"/>
      <c r="K3" s="263"/>
    </row>
    <row r="4" spans="1:33" s="902" customFormat="1" ht="16.5" customHeight="1">
      <c r="A4" s="899" t="s">
        <v>2336</v>
      </c>
      <c r="B4" s="900"/>
      <c r="C4" s="942">
        <f ca="1">SUM(C8:K8)</f>
        <v>355284</v>
      </c>
      <c r="D4" s="900"/>
      <c r="E4" s="900"/>
      <c r="F4" s="900"/>
      <c r="G4" s="900"/>
      <c r="H4" s="900"/>
      <c r="I4" s="900"/>
      <c r="J4" s="900"/>
      <c r="K4" s="901"/>
    </row>
    <row r="5" spans="1:33" s="906" customFormat="1" ht="15">
      <c r="A5" s="903" t="s">
        <v>2337</v>
      </c>
      <c r="B5" s="904" t="s">
        <v>2338</v>
      </c>
      <c r="C5" s="2419" t="s">
        <v>3299</v>
      </c>
      <c r="D5" s="2419" t="s">
        <v>3236</v>
      </c>
      <c r="E5" s="2419" t="s">
        <v>48</v>
      </c>
      <c r="F5" s="2419"/>
      <c r="G5" s="2419"/>
      <c r="H5" s="2419"/>
      <c r="I5" s="2419"/>
      <c r="J5" s="2419"/>
      <c r="K5" s="2419"/>
      <c r="L5" s="905"/>
      <c r="M5" s="905"/>
      <c r="N5" s="905"/>
      <c r="O5" s="905"/>
      <c r="P5" s="905"/>
      <c r="Q5" s="905"/>
      <c r="R5" s="905"/>
      <c r="S5" s="905"/>
      <c r="T5" s="905"/>
      <c r="U5" s="905"/>
      <c r="V5" s="905"/>
      <c r="W5" s="905"/>
      <c r="X5" s="905"/>
      <c r="Y5" s="905"/>
      <c r="Z5" s="905"/>
      <c r="AA5" s="905"/>
      <c r="AB5" s="905"/>
      <c r="AC5" s="905"/>
      <c r="AD5" s="905"/>
      <c r="AE5" s="905"/>
      <c r="AF5" s="905"/>
      <c r="AG5" s="905"/>
    </row>
    <row r="6" spans="1:33" s="911" customFormat="1" ht="13.5" customHeight="1">
      <c r="A6" s="907" t="s">
        <v>802</v>
      </c>
      <c r="B6" s="83" t="s">
        <v>2339</v>
      </c>
      <c r="C6" s="908">
        <v>0</v>
      </c>
      <c r="D6" s="908">
        <f>'比较法-住宅'!B3</f>
        <v>44819</v>
      </c>
      <c r="E6" s="908">
        <f ca="1">收益法!B3</f>
        <v>3825</v>
      </c>
      <c r="F6" s="908"/>
      <c r="G6" s="908"/>
      <c r="H6" s="908"/>
      <c r="I6" s="908"/>
      <c r="J6" s="908"/>
      <c r="K6" s="909"/>
      <c r="L6" s="910"/>
      <c r="M6" s="910"/>
      <c r="N6" s="910"/>
      <c r="O6" s="910"/>
      <c r="P6" s="910"/>
      <c r="Q6" s="910"/>
      <c r="R6" s="910"/>
      <c r="S6" s="910"/>
      <c r="T6" s="910"/>
      <c r="U6" s="910"/>
      <c r="V6" s="910"/>
      <c r="W6" s="910"/>
      <c r="X6" s="910"/>
      <c r="Y6" s="910"/>
      <c r="Z6" s="910"/>
      <c r="AA6" s="910"/>
      <c r="AB6" s="910"/>
      <c r="AC6" s="910"/>
      <c r="AD6" s="910"/>
      <c r="AE6" s="910"/>
      <c r="AF6" s="910"/>
      <c r="AG6" s="910"/>
    </row>
    <row r="7" spans="1:33" s="911" customFormat="1" ht="13.5" customHeight="1">
      <c r="A7" s="907" t="s">
        <v>2340</v>
      </c>
      <c r="B7" s="83" t="s">
        <v>2341</v>
      </c>
      <c r="C7" s="264">
        <f>SUMIF('数据-汇总表'!$C19:$C33,假设开发法!C5,'数据-汇总表'!$E19:$E33)</f>
        <v>4023.76</v>
      </c>
      <c r="D7" s="264">
        <f>SUMIF('数据-汇总表'!$C19:$C33,假设开发法!D5,'数据-汇总表'!$E19:$E33)</f>
        <v>76697.34</v>
      </c>
      <c r="E7" s="264">
        <f>SUMIF('数据-汇总表'!$C19:$C33,假设开发法!E5,'数据-汇总表'!$E19:$E33)</f>
        <v>30155.269999999997</v>
      </c>
      <c r="F7" s="264">
        <f>SUMIF('数据-汇总表'!$C19:$C33,假设开发法!F5,'数据-汇总表'!$E19:$E33)</f>
        <v>0</v>
      </c>
      <c r="G7" s="264">
        <f>SUMIF('数据-汇总表'!$C19:$C33,假设开发法!G5,'数据-汇总表'!$E19:$E33)</f>
        <v>0</v>
      </c>
      <c r="H7" s="264">
        <f>SUMIF('数据-汇总表'!$C19:$C33,假设开发法!H5,'数据-汇总表'!$E19:$E33)</f>
        <v>0</v>
      </c>
      <c r="I7" s="264">
        <f>SUMIF('数据-汇总表'!$C19:$C33,假设开发法!I5,'数据-汇总表'!$E19:$E33)</f>
        <v>0</v>
      </c>
      <c r="J7" s="264">
        <f>SUMIF('数据-汇总表'!$C19:$C33,假设开发法!J5,'数据-汇总表'!$E19:$E33)</f>
        <v>0</v>
      </c>
      <c r="K7" s="265">
        <f>SUMIF('数据-汇总表'!$C19:$C33,假设开发法!K5,'数据-汇总表'!$E19:$E33)</f>
        <v>0</v>
      </c>
      <c r="L7" s="910"/>
      <c r="M7" s="910"/>
      <c r="N7" s="910"/>
      <c r="O7" s="910"/>
      <c r="P7" s="910"/>
      <c r="Q7" s="910"/>
      <c r="R7" s="910"/>
      <c r="S7" s="910"/>
      <c r="T7" s="910"/>
      <c r="U7" s="910"/>
      <c r="V7" s="910"/>
      <c r="W7" s="910"/>
      <c r="X7" s="910"/>
      <c r="Y7" s="910"/>
      <c r="Z7" s="910"/>
      <c r="AA7" s="910"/>
      <c r="AB7" s="910"/>
      <c r="AC7" s="910"/>
      <c r="AD7" s="910"/>
      <c r="AE7" s="910"/>
      <c r="AF7" s="910"/>
      <c r="AG7" s="910"/>
    </row>
    <row r="8" spans="1:33" s="911" customFormat="1" ht="13.5" customHeight="1" thickBot="1">
      <c r="A8" s="2420" t="s">
        <v>2342</v>
      </c>
      <c r="B8" s="120" t="s">
        <v>2343</v>
      </c>
      <c r="C8" s="943">
        <v>0</v>
      </c>
      <c r="D8" s="943">
        <f>'比较法-住宅'!B2</f>
        <v>343750</v>
      </c>
      <c r="E8" s="943">
        <f ca="1">收益法!B2</f>
        <v>11534</v>
      </c>
      <c r="F8" s="944"/>
      <c r="G8" s="944"/>
      <c r="H8" s="944"/>
      <c r="I8" s="944"/>
      <c r="J8" s="944"/>
      <c r="K8" s="945"/>
      <c r="L8" s="910"/>
      <c r="M8" s="910"/>
      <c r="N8" s="910"/>
      <c r="O8" s="910"/>
      <c r="P8" s="910"/>
      <c r="Q8" s="910"/>
      <c r="R8" s="910"/>
      <c r="S8" s="910"/>
      <c r="T8" s="910"/>
      <c r="U8" s="910"/>
      <c r="V8" s="910"/>
      <c r="W8" s="910"/>
      <c r="X8" s="910"/>
      <c r="Y8" s="910"/>
      <c r="Z8" s="910"/>
      <c r="AA8" s="910"/>
      <c r="AB8" s="910"/>
      <c r="AC8" s="910"/>
      <c r="AD8" s="910"/>
      <c r="AE8" s="910"/>
      <c r="AF8" s="910"/>
      <c r="AG8" s="910"/>
    </row>
    <row r="9" spans="1:33" s="902" customFormat="1" ht="16.5" customHeight="1">
      <c r="A9" s="899" t="s">
        <v>2344</v>
      </c>
      <c r="B9" s="900"/>
      <c r="C9" s="900"/>
      <c r="D9" s="900"/>
      <c r="E9" s="900"/>
      <c r="F9" s="900"/>
      <c r="G9" s="900"/>
      <c r="H9" s="900"/>
      <c r="I9" s="900"/>
      <c r="J9" s="900"/>
      <c r="K9" s="901"/>
    </row>
    <row r="10" spans="1:33" s="916" customFormat="1" ht="13.5" customHeight="1">
      <c r="A10" s="903" t="s">
        <v>2345</v>
      </c>
      <c r="B10" s="8" t="s">
        <v>2346</v>
      </c>
      <c r="C10" s="912" t="s">
        <v>2347</v>
      </c>
      <c r="D10" s="913" t="s">
        <v>2348</v>
      </c>
      <c r="E10" s="913" t="s">
        <v>2349</v>
      </c>
      <c r="F10" s="913" t="s">
        <v>2350</v>
      </c>
      <c r="G10" s="8"/>
      <c r="H10" s="914"/>
      <c r="I10" s="914"/>
      <c r="J10" s="914"/>
      <c r="K10" s="915"/>
    </row>
    <row r="11" spans="1:33" s="921" customFormat="1" ht="13.5" customHeight="1">
      <c r="A11" s="917" t="s">
        <v>1334</v>
      </c>
      <c r="B11" s="918" t="s">
        <v>2351</v>
      </c>
      <c r="C11" s="266">
        <f ca="1">IF(C1="",'数据-取费表'!P16,INDIRECT("'数据-取费表'!p"&amp;$K$1)+INDIRECT("'数据-取费表'!ar"&amp;$K$1))</f>
        <v>14119</v>
      </c>
      <c r="D11" s="919"/>
      <c r="E11" s="318"/>
      <c r="F11" s="920">
        <f ca="1">1-IF('数据-取费表'!B24=0,1,IF(C1="",'数据-取费表'!N16,INDIRECT("'数据-取费表'!n"&amp;$K$1)))</f>
        <v>0.32799999999999996</v>
      </c>
      <c r="G11" s="8"/>
      <c r="H11" s="914"/>
      <c r="I11" s="914"/>
      <c r="J11" s="914"/>
      <c r="K11" s="915"/>
    </row>
    <row r="12" spans="1:33" s="921" customFormat="1" ht="13.5" customHeight="1">
      <c r="A12" s="917" t="s">
        <v>1335</v>
      </c>
      <c r="B12" s="918" t="s">
        <v>2352</v>
      </c>
      <c r="C12" s="24">
        <f ca="1">ROUND(C11*F12,0)</f>
        <v>424</v>
      </c>
      <c r="D12" s="919"/>
      <c r="E12" s="318"/>
      <c r="F12" s="922">
        <f>'数据-取费表'!B33</f>
        <v>0.03</v>
      </c>
      <c r="G12" s="8" t="s">
        <v>2353</v>
      </c>
      <c r="H12" s="914"/>
      <c r="I12" s="914"/>
      <c r="J12" s="914"/>
      <c r="K12" s="915"/>
    </row>
    <row r="13" spans="1:33" s="921" customFormat="1" ht="13.5" customHeight="1">
      <c r="A13" s="917" t="s">
        <v>1336</v>
      </c>
      <c r="B13" s="918" t="s">
        <v>2354</v>
      </c>
      <c r="C13" s="24">
        <f ca="1">ROUND(IF(C1="",SUMIF('数据-取费表'!C:C,"住宅",'数据-取费表'!P:P)*F13,IF(INDIRECT("'数据-取费表'!c"&amp;$K$1)="住宅",INDIRECT("'数据-取费表'!P"&amp;$K$1)*F13,0)),0)</f>
        <v>374</v>
      </c>
      <c r="D13" s="979"/>
      <c r="E13" s="318"/>
      <c r="F13" s="922">
        <f>'数据-取费表'!B34</f>
        <v>0.03</v>
      </c>
      <c r="G13" s="8" t="s">
        <v>2355</v>
      </c>
      <c r="H13" s="914"/>
      <c r="I13" s="914"/>
      <c r="J13" s="914"/>
      <c r="K13" s="915"/>
    </row>
    <row r="14" spans="1:33" s="923" customFormat="1" ht="13.5" customHeight="1">
      <c r="A14" s="917" t="s">
        <v>1337</v>
      </c>
      <c r="B14" s="918" t="s">
        <v>2356</v>
      </c>
      <c r="C14" s="24">
        <f ca="1">ROUND(D14*E14*F11/10000,0)</f>
        <v>784</v>
      </c>
      <c r="D14" s="979">
        <f ca="1">IF(C1="",'数据-汇总表'!E3,INDIRECT("'数据-取费表'!K"&amp;$K$1)+INDIRECT("'数据-取费表'!S"&amp;$K$1))</f>
        <v>119454.59</v>
      </c>
      <c r="E14" s="24">
        <f>'数据-取费表'!B35</f>
        <v>200</v>
      </c>
      <c r="F14" s="922"/>
      <c r="G14" s="8" t="s">
        <v>2357</v>
      </c>
      <c r="H14" s="914"/>
      <c r="I14" s="914"/>
      <c r="J14" s="914"/>
      <c r="K14" s="915"/>
      <c r="L14" s="921"/>
      <c r="M14" s="921"/>
      <c r="N14" s="921"/>
      <c r="O14" s="921"/>
      <c r="P14" s="921"/>
      <c r="Q14" s="921"/>
      <c r="R14" s="921"/>
      <c r="S14" s="921"/>
      <c r="T14" s="921"/>
      <c r="U14" s="921"/>
      <c r="V14" s="921"/>
      <c r="W14" s="921"/>
      <c r="X14" s="921"/>
      <c r="Y14" s="921"/>
      <c r="Z14" s="921"/>
      <c r="AA14" s="921"/>
      <c r="AB14" s="921"/>
      <c r="AC14" s="921"/>
      <c r="AD14" s="921"/>
      <c r="AE14" s="921"/>
      <c r="AF14" s="921"/>
      <c r="AG14" s="921"/>
    </row>
    <row r="15" spans="1:33" s="923" customFormat="1" ht="13.5" customHeight="1">
      <c r="A15" s="917" t="s">
        <v>1338</v>
      </c>
      <c r="B15" s="918" t="s">
        <v>2358</v>
      </c>
      <c r="C15" s="929">
        <f ca="1">ROUND(C11*F15,0)</f>
        <v>212</v>
      </c>
      <c r="D15" s="924"/>
      <c r="E15" s="929"/>
      <c r="F15" s="930">
        <f>'数据-取费表'!B36</f>
        <v>1.4999999999999999E-2</v>
      </c>
      <c r="G15" s="83" t="s">
        <v>2359</v>
      </c>
      <c r="H15" s="925"/>
      <c r="I15" s="925"/>
      <c r="J15" s="925"/>
      <c r="K15" s="926"/>
      <c r="L15" s="921"/>
      <c r="M15" s="921"/>
      <c r="N15" s="921"/>
      <c r="O15" s="921"/>
      <c r="P15" s="921"/>
      <c r="Q15" s="921"/>
      <c r="R15" s="921"/>
      <c r="S15" s="921"/>
      <c r="T15" s="921"/>
      <c r="U15" s="921"/>
      <c r="V15" s="921"/>
      <c r="W15" s="921"/>
      <c r="X15" s="921"/>
      <c r="Y15" s="921"/>
      <c r="Z15" s="921"/>
      <c r="AA15" s="921"/>
      <c r="AB15" s="921"/>
      <c r="AC15" s="921"/>
      <c r="AD15" s="921"/>
      <c r="AE15" s="921"/>
      <c r="AF15" s="921"/>
      <c r="AG15" s="921"/>
    </row>
    <row r="16" spans="1:33" s="923" customFormat="1" ht="13.5" customHeight="1">
      <c r="A16" s="917" t="s">
        <v>803</v>
      </c>
      <c r="B16" s="918" t="s">
        <v>2360</v>
      </c>
      <c r="C16" s="929">
        <f ca="1">SUM(C11:C15)</f>
        <v>15913</v>
      </c>
      <c r="D16" s="924"/>
      <c r="E16" s="929"/>
      <c r="F16" s="930"/>
      <c r="G16" s="83"/>
      <c r="H16" s="1508"/>
      <c r="I16" s="925"/>
      <c r="J16" s="925"/>
      <c r="K16" s="926"/>
      <c r="L16" s="921"/>
      <c r="M16" s="921"/>
      <c r="N16" s="921"/>
      <c r="O16" s="921"/>
      <c r="P16" s="921"/>
      <c r="Q16" s="921"/>
      <c r="R16" s="921"/>
      <c r="S16" s="921"/>
      <c r="T16" s="921"/>
      <c r="U16" s="921"/>
      <c r="V16" s="921"/>
      <c r="W16" s="921"/>
      <c r="X16" s="921"/>
      <c r="Y16" s="921"/>
      <c r="Z16" s="921"/>
      <c r="AA16" s="921"/>
      <c r="AB16" s="921"/>
      <c r="AC16" s="921"/>
      <c r="AD16" s="921"/>
      <c r="AE16" s="921"/>
      <c r="AF16" s="921"/>
      <c r="AG16" s="921"/>
    </row>
    <row r="17" spans="1:33" s="923" customFormat="1" ht="13.5" customHeight="1">
      <c r="A17" s="917" t="s">
        <v>804</v>
      </c>
      <c r="B17" s="918" t="s">
        <v>2361</v>
      </c>
      <c r="C17" s="24">
        <f ca="1">ROUND(D17*E17/10000,0)</f>
        <v>0</v>
      </c>
      <c r="D17" s="979">
        <f ca="1">D14</f>
        <v>119454.59</v>
      </c>
      <c r="E17" s="24">
        <f>'数据-取费表'!B32</f>
        <v>0</v>
      </c>
      <c r="F17" s="924"/>
      <c r="G17" s="83" t="s">
        <v>2362</v>
      </c>
      <c r="H17" s="1508"/>
      <c r="I17" s="925"/>
      <c r="J17" s="925"/>
      <c r="K17" s="926"/>
      <c r="L17" s="921"/>
      <c r="M17" s="921"/>
      <c r="N17" s="921"/>
      <c r="O17" s="921"/>
      <c r="P17" s="921"/>
      <c r="Q17" s="921"/>
      <c r="R17" s="921"/>
      <c r="S17" s="921"/>
      <c r="T17" s="921"/>
      <c r="U17" s="921"/>
      <c r="V17" s="921"/>
      <c r="W17" s="921"/>
      <c r="X17" s="921"/>
      <c r="Y17" s="921"/>
      <c r="Z17" s="921"/>
      <c r="AA17" s="921"/>
      <c r="AB17" s="921"/>
      <c r="AC17" s="921"/>
      <c r="AD17" s="921"/>
      <c r="AE17" s="921"/>
      <c r="AF17" s="921"/>
      <c r="AG17" s="921"/>
    </row>
    <row r="18" spans="1:33" s="921" customFormat="1" ht="13.5" customHeight="1">
      <c r="A18" s="917" t="s">
        <v>1339</v>
      </c>
      <c r="B18" s="918" t="s">
        <v>2363</v>
      </c>
      <c r="C18" s="24">
        <f ca="1">C19+C20-IF(C1="",'数据-取费表'!B29,IF(G18="已全部缴纳",C19+C20,H18))</f>
        <v>1737</v>
      </c>
      <c r="D18" s="979"/>
      <c r="E18" s="24"/>
      <c r="F18" s="922"/>
      <c r="G18" s="2421" t="s">
        <v>3576</v>
      </c>
      <c r="H18" s="1507">
        <f>成本法!H9</f>
        <v>3400</v>
      </c>
      <c r="I18" s="2422" t="s">
        <v>2364</v>
      </c>
      <c r="J18" s="925"/>
      <c r="K18" s="926"/>
    </row>
    <row r="19" spans="1:33" s="921" customFormat="1" ht="13.5" customHeight="1">
      <c r="A19" s="917" t="s">
        <v>805</v>
      </c>
      <c r="B19" s="918" t="s">
        <v>2365</v>
      </c>
      <c r="C19" s="24">
        <f ca="1">ROUND(D19*E19/10000,0)</f>
        <v>3471</v>
      </c>
      <c r="D19" s="979">
        <f ca="1">IF(C1="",'数据-汇总表'!E5,IF(INDIRECT("'数据-取费表'!c"&amp;$K$1)="住宅",INDIRECT("'数据-取费表'!k"&amp;$K$1),0))</f>
        <v>80721.099999999991</v>
      </c>
      <c r="E19" s="24">
        <f>'数据-取费表'!B27</f>
        <v>430</v>
      </c>
      <c r="F19" s="922"/>
      <c r="G19" s="15"/>
      <c r="H19" s="1509"/>
      <c r="I19" s="927"/>
      <c r="J19" s="927"/>
      <c r="K19" s="928"/>
    </row>
    <row r="20" spans="1:33" s="921" customFormat="1" ht="13.5" customHeight="1">
      <c r="A20" s="917" t="s">
        <v>806</v>
      </c>
      <c r="B20" s="918" t="s">
        <v>2366</v>
      </c>
      <c r="C20" s="24">
        <f ca="1">ROUND(D20*E20/10000,0)</f>
        <v>1666</v>
      </c>
      <c r="D20" s="979">
        <f ca="1">IF(C1="",'数据-汇总表'!E6,IF(INDIRECT("'数据-取费表'!c"&amp;$K$1)="住宅",INDIRECT("'数据-取费表'!s"&amp;$K$1),INDIRECT("'数据-取费表'!k"&amp;$K$1)+INDIRECT("'数据-取费表'!s"&amp;$K$1)))</f>
        <v>38733.490000000005</v>
      </c>
      <c r="E20" s="24">
        <f>'数据-取费表'!B28</f>
        <v>430</v>
      </c>
      <c r="F20" s="922"/>
      <c r="G20" s="15"/>
      <c r="H20" s="927"/>
      <c r="I20" s="927"/>
      <c r="J20" s="927"/>
      <c r="K20" s="928"/>
    </row>
    <row r="21" spans="1:33" s="921" customFormat="1" ht="13.5" customHeight="1">
      <c r="A21" s="907" t="s">
        <v>802</v>
      </c>
      <c r="B21" s="931" t="s">
        <v>2367</v>
      </c>
      <c r="C21" s="932">
        <f ca="1">C16+C17+C18</f>
        <v>17650</v>
      </c>
      <c r="D21" s="933"/>
      <c r="E21" s="268"/>
      <c r="F21" s="268"/>
      <c r="G21" s="83" t="s">
        <v>2368</v>
      </c>
      <c r="H21" s="925"/>
      <c r="I21" s="925"/>
      <c r="J21" s="925"/>
      <c r="K21" s="926"/>
    </row>
    <row r="22" spans="1:33" s="921" customFormat="1" ht="13.5" customHeight="1">
      <c r="A22" s="907" t="s">
        <v>2340</v>
      </c>
      <c r="B22" s="931" t="s">
        <v>2369</v>
      </c>
      <c r="C22" s="932">
        <f ca="1">ROUND(C21*F22,0)</f>
        <v>353</v>
      </c>
      <c r="D22" s="268"/>
      <c r="E22" s="268"/>
      <c r="F22" s="934">
        <f>'数据-取费表'!B37</f>
        <v>0.02</v>
      </c>
      <c r="G22" s="8" t="s">
        <v>2370</v>
      </c>
      <c r="H22" s="914"/>
      <c r="I22" s="914"/>
      <c r="J22" s="914"/>
      <c r="K22" s="915"/>
    </row>
    <row r="23" spans="1:33" s="921" customFormat="1" ht="13.5" customHeight="1">
      <c r="A23" s="907" t="s">
        <v>2342</v>
      </c>
      <c r="B23" s="931" t="s">
        <v>2371</v>
      </c>
      <c r="C23" s="932">
        <f ca="1">ROUND(C4*F23*F11,0)</f>
        <v>2331</v>
      </c>
      <c r="D23" s="268"/>
      <c r="E23" s="268"/>
      <c r="F23" s="934">
        <f>'数据-取费表'!B38</f>
        <v>0.02</v>
      </c>
      <c r="G23" s="8" t="s">
        <v>2372</v>
      </c>
      <c r="H23" s="914"/>
      <c r="I23" s="914"/>
      <c r="J23" s="914"/>
      <c r="K23" s="915"/>
    </row>
    <row r="24" spans="1:33" s="921" customFormat="1" ht="13.5" customHeight="1">
      <c r="A24" s="907" t="s">
        <v>2373</v>
      </c>
      <c r="B24" s="931" t="s">
        <v>2374</v>
      </c>
      <c r="C24" s="267">
        <f>ROUND(F24/(1+'数据-取费表'!C42),4)</f>
        <v>2.9000000000000001E-2</v>
      </c>
      <c r="D24" s="268" t="s">
        <v>15</v>
      </c>
      <c r="E24" s="268"/>
      <c r="F24" s="934">
        <f>'数据-取费表'!B48+'数据-取费表'!B49</f>
        <v>3.0499999999999999E-2</v>
      </c>
      <c r="G24" s="8" t="s">
        <v>2375</v>
      </c>
      <c r="H24" s="936"/>
      <c r="I24" s="936"/>
      <c r="J24" s="936"/>
      <c r="K24" s="937"/>
    </row>
    <row r="25" spans="1:33" s="921" customFormat="1" ht="13.5" customHeight="1">
      <c r="A25" s="907" t="s">
        <v>2376</v>
      </c>
      <c r="B25" s="933" t="s">
        <v>2377</v>
      </c>
      <c r="C25" s="1288">
        <f ca="1">C27</f>
        <v>237</v>
      </c>
      <c r="D25" s="267">
        <f ca="1">C26</f>
        <v>2.4199999999999999E-2</v>
      </c>
      <c r="E25" s="269" t="s">
        <v>15</v>
      </c>
      <c r="F25" s="270">
        <f ca="1">'数据-取费表'!B40</f>
        <v>4.7500000000000001E-2</v>
      </c>
      <c r="G25" s="83" t="str">
        <f>IF('数据-取费表'!B22&lt;=1,"单利计息。","复利计息。")&amp;"后续开发成本、管理费用及销售费用产生的利息。"</f>
        <v>复利计息。后续开发成本、管理费用及销售费用产生的利息。</v>
      </c>
      <c r="H25" s="936"/>
      <c r="I25" s="936"/>
      <c r="J25" s="936"/>
      <c r="K25" s="937"/>
    </row>
    <row r="26" spans="1:33" s="939" customFormat="1" ht="13.5" customHeight="1">
      <c r="A26" s="917" t="s">
        <v>803</v>
      </c>
      <c r="B26" s="938" t="s">
        <v>2378</v>
      </c>
      <c r="C26" s="1289">
        <f ca="1">ROUND(IF('数据-取费表'!B22&lt;=1,(1+C24)*F25*'数据-取费表'!B24,(1+C24)*(POWER((1+F25),'数据-取费表'!B24)-1)),4)</f>
        <v>2.4199999999999999E-2</v>
      </c>
      <c r="D26" s="271"/>
      <c r="E26" s="272"/>
      <c r="F26" s="273"/>
      <c r="G26" s="2423" t="str">
        <f>IF('数据-取费表'!B22&lt;=1,"（(1)+取得税费率/(1+5%)）×年利率×建设期","（(1)+取得税费率）/(1+5%)×((1+年利率)^建设期-1)")</f>
        <v>（(1)+取得税费率）/(1+5%)×((1+年利率)^建设期-1)</v>
      </c>
      <c r="H26" s="925"/>
      <c r="I26" s="925"/>
      <c r="J26" s="925"/>
      <c r="K26" s="926"/>
    </row>
    <row r="27" spans="1:33" s="939" customFormat="1" ht="13.5" customHeight="1">
      <c r="A27" s="917" t="s">
        <v>804</v>
      </c>
      <c r="B27" s="938" t="s">
        <v>2379</v>
      </c>
      <c r="C27" s="1290">
        <f ca="1">ROUND(IF('数据-取费表'!B22&lt;=1,(C21+C22+C23)*F25*'数据-取费表'!B24/2,(C21+C22+C23)*(POWER((1+F25),'数据-取费表'!B24/2)-1)),0)</f>
        <v>237</v>
      </c>
      <c r="D27" s="271"/>
      <c r="E27" s="272"/>
      <c r="F27" s="273"/>
      <c r="G27" s="2423" t="str">
        <f>IF('数据-取费表'!B22&lt;=1,"（1）-（3）项×年利率×建设期÷2","（1）-（3）项×((1+年利率)^(建设期÷2)-1)")</f>
        <v>（1）-（3）项×((1+年利率)^(建设期÷2)-1)</v>
      </c>
      <c r="H27" s="925"/>
      <c r="I27" s="925"/>
      <c r="J27" s="925"/>
      <c r="K27" s="926"/>
    </row>
    <row r="28" spans="1:33" s="276" customFormat="1" ht="13.5" customHeight="1">
      <c r="A28" s="907" t="s">
        <v>2380</v>
      </c>
      <c r="B28" s="2424" t="s">
        <v>2381</v>
      </c>
      <c r="C28" s="274">
        <f ca="1">C30</f>
        <v>813</v>
      </c>
      <c r="D28" s="267">
        <f ca="1">C29</f>
        <v>1.03E-2</v>
      </c>
      <c r="E28" s="269" t="s">
        <v>15</v>
      </c>
      <c r="F28" s="275">
        <f ca="1">IF(C1="",'数据-取费表'!Q16,INDIRECT("'数据-取费表'!q"&amp;$K$1))</f>
        <v>0.04</v>
      </c>
      <c r="G28" s="935"/>
      <c r="H28" s="936"/>
      <c r="I28" s="936"/>
      <c r="J28" s="936"/>
      <c r="K28" s="937"/>
    </row>
    <row r="29" spans="1:33" s="278" customFormat="1" ht="13.5" customHeight="1">
      <c r="A29" s="917" t="s">
        <v>803</v>
      </c>
      <c r="B29" s="940" t="s">
        <v>2382</v>
      </c>
      <c r="C29" s="271">
        <f ca="1">ROUND((1+C24)*F28*'数据-取费表'!B24/'数据-取费表'!B20,4)</f>
        <v>1.03E-2</v>
      </c>
      <c r="D29" s="271"/>
      <c r="E29" s="272"/>
      <c r="F29" s="277"/>
      <c r="G29" s="83" t="s">
        <v>2383</v>
      </c>
      <c r="H29" s="925"/>
      <c r="I29" s="925"/>
      <c r="J29" s="925"/>
      <c r="K29" s="926"/>
    </row>
    <row r="30" spans="1:33" s="278" customFormat="1" ht="13.5" customHeight="1">
      <c r="A30" s="917" t="s">
        <v>804</v>
      </c>
      <c r="B30" s="940" t="s">
        <v>2384</v>
      </c>
      <c r="C30" s="279">
        <f ca="1">ROUND((C21+C22+C23)*F28,0)</f>
        <v>813</v>
      </c>
      <c r="D30" s="271"/>
      <c r="E30" s="272"/>
      <c r="F30" s="277"/>
      <c r="G30" s="83"/>
      <c r="H30" s="925"/>
      <c r="I30" s="925"/>
      <c r="J30" s="925"/>
      <c r="K30" s="926"/>
    </row>
    <row r="31" spans="1:33" s="921" customFormat="1" ht="13.5" customHeight="1" thickBot="1">
      <c r="A31" s="2425" t="s">
        <v>2385</v>
      </c>
      <c r="B31" s="951" t="s">
        <v>2386</v>
      </c>
      <c r="C31" s="952">
        <f ca="1">ROUND(C4*F31/(1+'数据-取费表'!C42),0)</f>
        <v>18948</v>
      </c>
      <c r="D31" s="953"/>
      <c r="E31" s="954"/>
      <c r="F31" s="955">
        <f>'数据-取费表'!B41</f>
        <v>5.6000000000000001E-2</v>
      </c>
      <c r="G31" s="956" t="s">
        <v>2387</v>
      </c>
      <c r="H31" s="957"/>
      <c r="I31" s="957"/>
      <c r="J31" s="957"/>
      <c r="K31" s="958"/>
    </row>
    <row r="32" spans="1:33" s="916" customFormat="1" ht="13.5" customHeight="1" thickBot="1">
      <c r="A32" s="946" t="s">
        <v>2388</v>
      </c>
      <c r="B32" s="947"/>
      <c r="C32" s="948">
        <f ca="1">ROUND((C4-C21-C22-C23-C25-C28-C31)/(1+C24+D25+D28),0)</f>
        <v>296147</v>
      </c>
      <c r="D32" s="947"/>
      <c r="E32" s="947"/>
      <c r="F32" s="947"/>
      <c r="G32" s="949" t="s">
        <v>2389</v>
      </c>
      <c r="H32" s="947"/>
      <c r="I32" s="947"/>
      <c r="J32" s="947"/>
      <c r="K32" s="95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9" sqref="C39"/>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0.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5"/>
      <c r="C1" s="1763"/>
      <c r="D1" s="1746"/>
      <c r="E1" s="1747" t="s">
        <v>1387</v>
      </c>
      <c r="F1" s="1215" t="b">
        <f>J53</f>
        <v>0</v>
      </c>
      <c r="G1" s="1762">
        <f>MATCH(C1,'数据-取费表'!A6:A16,0)+5</f>
        <v>9</v>
      </c>
      <c r="H1" s="695"/>
      <c r="I1" s="282"/>
      <c r="J1" s="282"/>
      <c r="K1" s="696"/>
      <c r="L1" s="282"/>
      <c r="M1" s="282"/>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769" t="s">
        <v>1590</v>
      </c>
      <c r="B2" s="1770" t="e">
        <f ca="1">ROUND(D2/10000,0)</f>
        <v>#DIV/0!</v>
      </c>
      <c r="C2" s="1771" t="s">
        <v>1591</v>
      </c>
      <c r="D2" s="1864" t="e">
        <f ca="1">C40+J29+L46</f>
        <v>#DIV/0!</v>
      </c>
      <c r="E2" s="1772" t="s">
        <v>1592</v>
      </c>
      <c r="F2" s="1773"/>
      <c r="G2" s="1774"/>
      <c r="H2" s="1766"/>
      <c r="I2" s="1766"/>
      <c r="J2" s="1766"/>
      <c r="K2" s="1767"/>
      <c r="L2" s="1766"/>
      <c r="M2" s="1766"/>
    </row>
    <row r="3" spans="1:37" ht="18" customHeight="1" thickBot="1">
      <c r="A3" s="1775" t="s">
        <v>1593</v>
      </c>
      <c r="B3" s="1776">
        <f ca="1">IF(ISERROR(D2/F43),0,ROUND(D2/F43,0))</f>
        <v>0</v>
      </c>
      <c r="C3" s="1771" t="s">
        <v>1594</v>
      </c>
      <c r="D3" s="1771"/>
      <c r="E3" s="1772"/>
      <c r="F3" s="1773"/>
      <c r="G3" s="1774"/>
      <c r="H3" s="687" t="s">
        <v>1588</v>
      </c>
      <c r="I3" s="1766"/>
      <c r="J3" s="1766"/>
      <c r="K3" s="1767"/>
      <c r="L3" s="1766"/>
      <c r="M3" s="1766"/>
    </row>
    <row r="4" spans="1:37" ht="18" customHeight="1">
      <c r="A4" s="283" t="s">
        <v>1595</v>
      </c>
      <c r="B4" s="284" t="s">
        <v>1596</v>
      </c>
      <c r="C4" s="284" t="s">
        <v>1597</v>
      </c>
      <c r="D4" s="284" t="s">
        <v>1598</v>
      </c>
      <c r="E4" s="285" t="s">
        <v>1599</v>
      </c>
      <c r="F4" s="286"/>
      <c r="G4" s="1777"/>
      <c r="H4" s="283" t="s">
        <v>1595</v>
      </c>
      <c r="I4" s="284" t="s">
        <v>1596</v>
      </c>
      <c r="J4" s="284" t="s">
        <v>1597</v>
      </c>
      <c r="K4" s="284" t="s">
        <v>1598</v>
      </c>
      <c r="L4" s="285" t="s">
        <v>1599</v>
      </c>
      <c r="M4" s="286"/>
    </row>
    <row r="5" spans="1:37" ht="18" customHeight="1">
      <c r="A5" s="287">
        <v>1</v>
      </c>
      <c r="B5" s="288" t="s">
        <v>1600</v>
      </c>
      <c r="C5" s="1224">
        <f ca="1">C6+C10+C12</f>
        <v>0</v>
      </c>
      <c r="D5" s="1748" t="s">
        <v>1601</v>
      </c>
      <c r="E5" s="1225"/>
      <c r="F5" s="1226"/>
      <c r="G5" s="1777"/>
      <c r="H5" s="287">
        <v>1</v>
      </c>
      <c r="I5" s="288" t="s">
        <v>1600</v>
      </c>
      <c r="J5" s="1224">
        <f ca="1">J6+J10+J12</f>
        <v>0</v>
      </c>
      <c r="K5" s="1748" t="s">
        <v>1601</v>
      </c>
      <c r="L5" s="1225"/>
      <c r="M5" s="1226"/>
    </row>
    <row r="6" spans="1:37" ht="18" customHeight="1">
      <c r="A6" s="1223" t="s">
        <v>1035</v>
      </c>
      <c r="B6" s="3318" t="s">
        <v>1403</v>
      </c>
      <c r="C6" s="1228">
        <f ca="1">ROUND(F6*F8*F7*(1-F9),0)</f>
        <v>0</v>
      </c>
      <c r="D6" s="107" t="s">
        <v>2901</v>
      </c>
      <c r="E6" s="290" t="s">
        <v>1405</v>
      </c>
      <c r="F6" s="291">
        <f ca="1">INDIRECT("'数据-取费表'!u"&amp;$G$1)</f>
        <v>0</v>
      </c>
      <c r="G6" s="1777"/>
      <c r="H6" s="1223" t="s">
        <v>1035</v>
      </c>
      <c r="I6" s="3318" t="s">
        <v>1403</v>
      </c>
      <c r="J6" s="289">
        <f ca="1">ROUND(M6*M8*M7*(1-M9),0)</f>
        <v>0</v>
      </c>
      <c r="K6" s="1760" t="s">
        <v>2902</v>
      </c>
      <c r="L6" s="290" t="s">
        <v>1405</v>
      </c>
      <c r="M6" s="291">
        <f ca="1">INDIRECT("'数据-取费表'!z"&amp;$G$1)</f>
        <v>0</v>
      </c>
    </row>
    <row r="7" spans="1:37" ht="18" customHeight="1">
      <c r="A7" s="1227"/>
      <c r="B7" s="3319"/>
      <c r="C7" s="1229"/>
      <c r="D7" s="295"/>
      <c r="E7" s="1230" t="s">
        <v>1406</v>
      </c>
      <c r="F7" s="291">
        <f ca="1">IF(INDIRECT("'数据-取费表'!ah"&amp;$G$1)="",INDIRECT("'数据-取费表'!k"&amp;$G$1),INDIRECT("'数据-取费表'!ah"&amp;$G$1))</f>
        <v>0</v>
      </c>
      <c r="G7" s="1777"/>
      <c r="H7" s="292"/>
      <c r="I7" s="3319"/>
      <c r="J7" s="294"/>
      <c r="K7" s="295"/>
      <c r="L7" s="290" t="s">
        <v>1406</v>
      </c>
      <c r="M7" s="291">
        <f ca="1">F7</f>
        <v>0</v>
      </c>
    </row>
    <row r="8" spans="1:37" ht="18" customHeight="1">
      <c r="A8" s="292"/>
      <c r="B8" s="3319"/>
      <c r="C8" s="294"/>
      <c r="D8" s="295"/>
      <c r="E8" s="290" t="s">
        <v>1407</v>
      </c>
      <c r="F8" s="291">
        <f ca="1">INDIRECT("'数据-取费表'!ai"&amp;$G$1)</f>
        <v>0</v>
      </c>
      <c r="G8" s="1777"/>
      <c r="H8" s="292"/>
      <c r="I8" s="3319"/>
      <c r="J8" s="294"/>
      <c r="K8" s="295"/>
      <c r="L8" s="290" t="s">
        <v>1407</v>
      </c>
      <c r="M8" s="291">
        <f ca="1">INDIRECT("'数据-取费表'!ai"&amp;$G$1)</f>
        <v>0</v>
      </c>
    </row>
    <row r="9" spans="1:37" ht="18" customHeight="1">
      <c r="A9" s="292"/>
      <c r="B9" s="3320"/>
      <c r="C9" s="294"/>
      <c r="D9" s="295"/>
      <c r="E9" s="290" t="s">
        <v>1408</v>
      </c>
      <c r="F9" s="300">
        <f ca="1">INDIRECT("'数据-取费表'!w"&amp;$G$1)</f>
        <v>0</v>
      </c>
      <c r="G9" s="1777"/>
      <c r="H9" s="292"/>
      <c r="I9" s="3320"/>
      <c r="J9" s="294"/>
      <c r="K9" s="295"/>
      <c r="L9" s="301" t="s">
        <v>1408</v>
      </c>
      <c r="M9" s="302">
        <f ca="1">INDIRECT("'数据-取费表'!ab"&amp;$G$1)</f>
        <v>0</v>
      </c>
    </row>
    <row r="10" spans="1:37" ht="18" customHeight="1">
      <c r="A10" s="1223" t="s">
        <v>1039</v>
      </c>
      <c r="B10" s="1749" t="s">
        <v>1409</v>
      </c>
      <c r="C10" s="304">
        <f ca="1">ROUND(IF(F10="押一",C6/12*F11,IF(F10="押二",C6/12*2*F11,IF(F10="押三",C6/12*3*F11,C11*F11))),0)</f>
        <v>0</v>
      </c>
      <c r="D10" s="1750" t="s">
        <v>2912</v>
      </c>
      <c r="E10" s="301" t="s">
        <v>1410</v>
      </c>
      <c r="F10" s="1298"/>
      <c r="G10" s="1777"/>
      <c r="H10" s="1223" t="s">
        <v>1039</v>
      </c>
      <c r="I10" s="1749" t="s">
        <v>1409</v>
      </c>
      <c r="J10" s="289">
        <f ca="1">ROUND(IF(M10="押一",J6/12*M11,IF(M10="押二",J6/12*2*M11,IF(M10="押三",J6/12*3*M11,J11*M11))),0)</f>
        <v>0</v>
      </c>
      <c r="K10" s="1761" t="s">
        <v>2914</v>
      </c>
      <c r="L10" s="301" t="s">
        <v>1410</v>
      </c>
      <c r="M10" s="1298"/>
    </row>
    <row r="11" spans="1:37" ht="18" customHeight="1">
      <c r="A11" s="296"/>
      <c r="B11" s="1751" t="s">
        <v>1602</v>
      </c>
      <c r="C11" s="1124"/>
      <c r="D11" s="295"/>
      <c r="E11" s="301" t="s">
        <v>1412</v>
      </c>
      <c r="F11" s="302">
        <f ca="1">'数据-取费表'!B39</f>
        <v>1.4999999999999999E-2</v>
      </c>
      <c r="G11" s="1777"/>
      <c r="H11" s="1231"/>
      <c r="I11" s="1751" t="s">
        <v>1603</v>
      </c>
      <c r="J11" s="1124"/>
      <c r="K11" s="691"/>
      <c r="L11" s="301" t="s">
        <v>1412</v>
      </c>
      <c r="M11" s="1002">
        <f ca="1">'数据-取费表'!B39</f>
        <v>1.4999999999999999E-2</v>
      </c>
    </row>
    <row r="12" spans="1:37" ht="18" customHeight="1" thickBot="1">
      <c r="A12" s="1265" t="s">
        <v>1075</v>
      </c>
      <c r="B12" s="1753" t="s">
        <v>1413</v>
      </c>
      <c r="C12" s="1266"/>
      <c r="D12" s="1267"/>
      <c r="E12" s="1272"/>
      <c r="F12" s="1268"/>
      <c r="G12" s="1777"/>
      <c r="H12" s="1265" t="s">
        <v>1075</v>
      </c>
      <c r="I12" s="1753" t="s">
        <v>1413</v>
      </c>
      <c r="J12" s="1266"/>
      <c r="K12" s="1280"/>
      <c r="L12" s="1272"/>
      <c r="M12" s="1281"/>
    </row>
    <row r="13" spans="1:37" ht="18" customHeight="1" thickTop="1">
      <c r="A13" s="1261">
        <v>2</v>
      </c>
      <c r="B13" s="1262" t="s">
        <v>1414</v>
      </c>
      <c r="C13" s="298">
        <f ca="1">ROUND(C29*F13,0)</f>
        <v>0</v>
      </c>
      <c r="D13" s="1263" t="s">
        <v>1415</v>
      </c>
      <c r="E13" s="1263" t="s">
        <v>1416</v>
      </c>
      <c r="F13" s="1264">
        <f ca="1">INDIRECT("'数据-取费表'!y"&amp;$G$1)</f>
        <v>0</v>
      </c>
      <c r="G13" s="1777"/>
      <c r="H13" s="1261">
        <v>2</v>
      </c>
      <c r="I13" s="1262" t="s">
        <v>1414</v>
      </c>
      <c r="J13" s="1222">
        <f ca="1">ROUND(J14*J15,0)</f>
        <v>0</v>
      </c>
      <c r="K13" s="1269" t="s">
        <v>1415</v>
      </c>
      <c r="L13" s="1778"/>
      <c r="M13" s="1779"/>
    </row>
    <row r="14" spans="1:37" ht="18" customHeight="1">
      <c r="A14" s="1147" t="s">
        <v>1034</v>
      </c>
      <c r="B14" s="290" t="s">
        <v>1417</v>
      </c>
      <c r="C14" s="306">
        <f ca="1">ROUND(INDIRECT("'数据-取费表'!l"&amp;$G$1)*F43+'数据-取费表'!L14*INDIRECT("'数据-取费表'!S"&amp;$G$1),0)</f>
        <v>0</v>
      </c>
      <c r="D14" s="1728" t="s">
        <v>1418</v>
      </c>
      <c r="E14" s="1722"/>
      <c r="F14" s="307"/>
      <c r="G14" s="1777"/>
      <c r="H14" s="1147" t="s">
        <v>1035</v>
      </c>
      <c r="I14" s="290" t="s">
        <v>1419</v>
      </c>
      <c r="J14" s="24">
        <f ca="1">C29</f>
        <v>0</v>
      </c>
      <c r="K14" s="15"/>
      <c r="L14" s="925"/>
      <c r="M14" s="926"/>
    </row>
    <row r="15" spans="1:37" s="1784" customFormat="1" ht="18" customHeight="1" thickBot="1">
      <c r="A15" s="1147" t="s">
        <v>1036</v>
      </c>
      <c r="B15" s="290" t="s">
        <v>1420</v>
      </c>
      <c r="C15" s="24">
        <f ca="1">ROUND(C14*F15,0)</f>
        <v>0</v>
      </c>
      <c r="D15" s="308" t="s">
        <v>1421</v>
      </c>
      <c r="E15" s="308" t="s">
        <v>1422</v>
      </c>
      <c r="F15" s="309">
        <f>'数据-取费表'!B33</f>
        <v>0.03</v>
      </c>
      <c r="G15" s="1780"/>
      <c r="H15" s="1271" t="s">
        <v>1039</v>
      </c>
      <c r="I15" s="1272" t="s">
        <v>1416</v>
      </c>
      <c r="J15" s="1281">
        <f ca="1">INDIRECT("'数据-取费表'!ad"&amp;$G$1)</f>
        <v>0</v>
      </c>
      <c r="K15" s="1282"/>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7" t="s">
        <v>1389</v>
      </c>
      <c r="B16" s="290" t="s">
        <v>1423</v>
      </c>
      <c r="C16" s="24">
        <f ca="1">ROUND(INDIRECT("'数据-取费表'!l"&amp;$G$1)*F43*F16,0)</f>
        <v>0</v>
      </c>
      <c r="D16" s="290" t="s">
        <v>1421</v>
      </c>
      <c r="E16" s="290" t="s">
        <v>1422</v>
      </c>
      <c r="F16" s="310">
        <f ca="1">IF(INDIRECT("'数据-取费表'!c"&amp;$G$1)="住宅",'数据-取费表'!B34,0)</f>
        <v>0</v>
      </c>
      <c r="G16" s="1777"/>
      <c r="H16" s="1261" t="s">
        <v>1030</v>
      </c>
      <c r="I16" s="1262" t="s">
        <v>1424</v>
      </c>
      <c r="J16" s="298">
        <f ca="1">ROUND(J17+J22+J23+J24,0)</f>
        <v>0</v>
      </c>
      <c r="K16" s="1269" t="s">
        <v>1425</v>
      </c>
      <c r="L16" s="1270"/>
      <c r="M16" s="1226"/>
    </row>
    <row r="17" spans="1:37" s="1784" customFormat="1" ht="18" customHeight="1">
      <c r="A17" s="1147" t="s">
        <v>1390</v>
      </c>
      <c r="B17" s="290" t="s">
        <v>1426</v>
      </c>
      <c r="C17" s="24">
        <f ca="1">ROUND(F17*(F43+INDIRECT("'数据-取费表'!S"&amp;$G$1)),0)</f>
        <v>0</v>
      </c>
      <c r="D17" s="290" t="s">
        <v>1427</v>
      </c>
      <c r="E17" s="290" t="s">
        <v>1428</v>
      </c>
      <c r="F17" s="26">
        <f>'数据-取费表'!B35</f>
        <v>200</v>
      </c>
      <c r="G17" s="1780"/>
      <c r="H17" s="1147" t="s">
        <v>1035</v>
      </c>
      <c r="I17" s="290" t="s">
        <v>1429</v>
      </c>
      <c r="J17" s="24">
        <f ca="1">ROUND(IF(项目基本情况!B11="自然人",J5*M17,J18+J19+J20),0)</f>
        <v>0</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7" t="s">
        <v>1391</v>
      </c>
      <c r="B18" s="290" t="s">
        <v>1432</v>
      </c>
      <c r="C18" s="24">
        <f ca="1">ROUND(C14*F18,0)</f>
        <v>0</v>
      </c>
      <c r="D18" s="290" t="s">
        <v>1421</v>
      </c>
      <c r="E18" s="290" t="s">
        <v>1422</v>
      </c>
      <c r="F18" s="310">
        <f>'数据-取费表'!B36</f>
        <v>1.4999999999999999E-2</v>
      </c>
      <c r="G18" s="1780"/>
      <c r="H18" s="1147" t="s">
        <v>1034</v>
      </c>
      <c r="I18" s="290" t="s">
        <v>1433</v>
      </c>
      <c r="J18" s="24">
        <f ca="1">ROUND(J5*M18/(1+'数据-取费表'!C42),0)</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7" t="s">
        <v>1035</v>
      </c>
      <c r="B19" s="290" t="s">
        <v>1435</v>
      </c>
      <c r="C19" s="24">
        <f ca="1">SUM(C14:C18)</f>
        <v>0</v>
      </c>
      <c r="D19" s="83" t="s">
        <v>1436</v>
      </c>
      <c r="E19" s="1744"/>
      <c r="F19" s="26"/>
      <c r="G19" s="1777"/>
      <c r="H19" s="1147" t="s">
        <v>1036</v>
      </c>
      <c r="I19" s="290" t="s">
        <v>1437</v>
      </c>
      <c r="J19" s="24">
        <f ca="1">IF(K19="按租金收入计税",ROUND(J5*M19,0),ROUND(C29*M19*0.7,0))</f>
        <v>0</v>
      </c>
      <c r="K19" s="1754" t="s">
        <v>1438</v>
      </c>
      <c r="L19" s="290" t="s">
        <v>1422</v>
      </c>
      <c r="M19" s="310">
        <f>IF(K19="按租金收入计税",'数据-取费表'!B51,'数据-取费表'!B50)</f>
        <v>1.2E-2</v>
      </c>
    </row>
    <row r="20" spans="1:37" s="1784" customFormat="1" ht="18" customHeight="1">
      <c r="A20" s="1147" t="s">
        <v>1039</v>
      </c>
      <c r="B20" s="290" t="s">
        <v>1439</v>
      </c>
      <c r="C20" s="24">
        <f ca="1">ROUND(C19*F20,0)</f>
        <v>0</v>
      </c>
      <c r="D20" s="312" t="s">
        <v>1440</v>
      </c>
      <c r="E20" s="290" t="s">
        <v>1422</v>
      </c>
      <c r="F20" s="310">
        <f>'数据-取费表'!B37</f>
        <v>0.02</v>
      </c>
      <c r="G20" s="1780"/>
      <c r="H20" s="1147" t="s">
        <v>1389</v>
      </c>
      <c r="I20" s="107" t="s">
        <v>1441</v>
      </c>
      <c r="J20" s="25">
        <f ca="1">ROUND(M20*M21,0)</f>
        <v>0</v>
      </c>
      <c r="K20" s="313" t="s">
        <v>1442</v>
      </c>
      <c r="L20" s="290" t="s">
        <v>1443</v>
      </c>
      <c r="M20" s="314">
        <f>'数据-取费表'!B52</f>
        <v>12</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7" t="s">
        <v>1075</v>
      </c>
      <c r="B21" s="290" t="s">
        <v>1444</v>
      </c>
      <c r="C21" s="24" t="s">
        <v>1</v>
      </c>
      <c r="D21" s="312" t="s">
        <v>1445</v>
      </c>
      <c r="E21" s="290" t="s">
        <v>1446</v>
      </c>
      <c r="F21" s="310">
        <f>'数据-取费表'!B38</f>
        <v>0.02</v>
      </c>
      <c r="G21" s="1780"/>
      <c r="H21" s="315"/>
      <c r="I21" s="299"/>
      <c r="J21" s="29"/>
      <c r="K21" s="316"/>
      <c r="L21" s="290" t="s">
        <v>1447</v>
      </c>
      <c r="M21" s="291">
        <f ca="1">INDIRECT("'数据-取费表'!r"&amp;$G$1)</f>
        <v>0</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7" t="s">
        <v>1392</v>
      </c>
      <c r="B22" s="290" t="s">
        <v>1448</v>
      </c>
      <c r="C22" s="24"/>
      <c r="D22" s="83" t="str">
        <f>IF(F23&lt;=1,"单利计息。","复利计息。")&amp;"建造成本、管理费用、销售费用产生的利息。"</f>
        <v>复利计息。建造成本、管理费用、销售费用产生的利息。</v>
      </c>
      <c r="E22" s="1744"/>
      <c r="F22" s="26"/>
      <c r="G22" s="1777"/>
      <c r="H22" s="1147" t="s">
        <v>1039</v>
      </c>
      <c r="I22" s="290" t="s">
        <v>1449</v>
      </c>
      <c r="J22" s="24">
        <f ca="1">ROUND(J14*M22,0)</f>
        <v>0</v>
      </c>
      <c r="K22" s="1726" t="s">
        <v>1450</v>
      </c>
      <c r="L22" s="290" t="s">
        <v>1422</v>
      </c>
      <c r="M22" s="317">
        <f ca="1">INDIRECT("'数据-取费表'!Ak"&amp;$G$1)</f>
        <v>0</v>
      </c>
    </row>
    <row r="23" spans="1:37" s="1784" customFormat="1" ht="18" customHeight="1">
      <c r="A23" s="1147" t="s">
        <v>1034</v>
      </c>
      <c r="B23" s="290" t="s">
        <v>1451</v>
      </c>
      <c r="C23" s="24">
        <f ca="1">IF('数据-取费表'!B22&lt;=1,ROUND(C19*F24*F23/2,0)+ROUND(C20*F24*F23/2,0),ROUND(C19*(POWER((1+F24),F23/2)-1),0)+ROUND(C20*(POWER((1+F24),F23/2)-1),0))</f>
        <v>0</v>
      </c>
      <c r="D23" s="318" t="str">
        <f>IF(F23&lt;=1,"(建造成本+管理费用)×利率×(建设周期÷2)","(建造成本+管理费用)×((1+利率)^(建设周期÷2)-1)")</f>
        <v>(建造成本+管理费用)×((1+利率)^(建设周期÷2)-1)</v>
      </c>
      <c r="E23" s="290" t="s">
        <v>1452</v>
      </c>
      <c r="F23" s="314">
        <f>'数据-取费表'!B20</f>
        <v>2</v>
      </c>
      <c r="G23" s="1780"/>
      <c r="H23" s="1147" t="s">
        <v>1075</v>
      </c>
      <c r="I23" s="290" t="s">
        <v>1453</v>
      </c>
      <c r="J23" s="24">
        <f ca="1">ROUND(J13*M23,0)</f>
        <v>0</v>
      </c>
      <c r="K23" s="1726" t="s">
        <v>1454</v>
      </c>
      <c r="L23" s="290" t="s">
        <v>1455</v>
      </c>
      <c r="M23" s="319">
        <f ca="1">INDIRECT("'数据-取费表'!Al"&amp;$G$1)</f>
        <v>0</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7" t="s">
        <v>1456</v>
      </c>
      <c r="B24" s="290" t="s">
        <v>1457</v>
      </c>
      <c r="C24" s="24">
        <f ca="1">ROUND(IF('数据-取费表'!B22&lt;=1,F21*F24*F23/2,F21*(POWER((1+F24),F23/2)-1)),4)</f>
        <v>1E-3</v>
      </c>
      <c r="D24" s="318" t="str">
        <f>IF(F23&lt;=1,"销售费用×利率×(建设周期÷2)","销售费用×((1+利率)^(建设周期÷2)-1)")</f>
        <v>销售费用×((1+利率)^(建设周期÷2)-1)</v>
      </c>
      <c r="E24" s="290" t="s">
        <v>1458</v>
      </c>
      <c r="F24" s="320">
        <f ca="1">'数据-取费表'!B40</f>
        <v>4.7500000000000001E-2</v>
      </c>
      <c r="G24" s="1780"/>
      <c r="H24" s="1271" t="s">
        <v>1393</v>
      </c>
      <c r="I24" s="1272" t="s">
        <v>1439</v>
      </c>
      <c r="J24" s="1273">
        <f ca="1">ROUND(J5*M24,0)</f>
        <v>0</v>
      </c>
      <c r="K24" s="1274" t="s">
        <v>1459</v>
      </c>
      <c r="L24" s="1272" t="s">
        <v>1455</v>
      </c>
      <c r="M24" s="1268">
        <f ca="1">INDIRECT("'数据-取费表'!Am"&amp;$G$1)</f>
        <v>0</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18" customHeight="1" thickTop="1">
      <c r="A25" s="1147" t="s">
        <v>1460</v>
      </c>
      <c r="B25" s="290" t="s">
        <v>1461</v>
      </c>
      <c r="C25" s="24"/>
      <c r="D25" s="83" t="s">
        <v>1462</v>
      </c>
      <c r="E25" s="1744"/>
      <c r="F25" s="26"/>
      <c r="G25" s="1777"/>
      <c r="H25" s="1261" t="s">
        <v>1031</v>
      </c>
      <c r="I25" s="1276" t="s">
        <v>1463</v>
      </c>
      <c r="J25" s="298">
        <f ca="1">J5-J16</f>
        <v>0</v>
      </c>
      <c r="K25" s="1277" t="s">
        <v>1464</v>
      </c>
      <c r="L25" s="1278"/>
      <c r="M25" s="1279"/>
    </row>
    <row r="26" spans="1:37" ht="18" customHeight="1">
      <c r="A26" s="1147" t="s">
        <v>1034</v>
      </c>
      <c r="B26" s="290" t="s">
        <v>1465</v>
      </c>
      <c r="C26" s="24">
        <f ca="1">ROUND((C19+C20)*F26,0)</f>
        <v>0</v>
      </c>
      <c r="D26" s="312" t="s">
        <v>1466</v>
      </c>
      <c r="E26" s="301" t="s">
        <v>1467</v>
      </c>
      <c r="F26" s="300">
        <f ca="1">INDIRECT("'数据-取费表'!q"&amp;$G$1)</f>
        <v>0</v>
      </c>
      <c r="G26" s="1777"/>
      <c r="H26" s="287" t="s">
        <v>1032</v>
      </c>
      <c r="I26" s="288" t="s">
        <v>1468</v>
      </c>
      <c r="J26" s="289">
        <f ca="1">IF(J5&lt;&gt;0,ROUND(J25*(1-((1+M28)/(1+M26))^M27)/(M26-M28),0),0)</f>
        <v>0</v>
      </c>
      <c r="K26" s="313" t="s">
        <v>1469</v>
      </c>
      <c r="L26" s="290" t="s">
        <v>1470</v>
      </c>
      <c r="M26" s="300">
        <f ca="1">INDIRECT("'数据-取费表'!I"&amp;$G$1)</f>
        <v>0</v>
      </c>
    </row>
    <row r="27" spans="1:37" ht="18" customHeight="1">
      <c r="A27" s="1147" t="s">
        <v>1036</v>
      </c>
      <c r="B27" s="290" t="s">
        <v>1471</v>
      </c>
      <c r="C27" s="24">
        <f ca="1">ROUND(F21*F26,4)</f>
        <v>0</v>
      </c>
      <c r="D27" s="312" t="s">
        <v>1472</v>
      </c>
      <c r="E27" s="308"/>
      <c r="F27" s="309"/>
      <c r="G27" s="1777"/>
      <c r="H27" s="292"/>
      <c r="I27" s="293"/>
      <c r="J27" s="294"/>
      <c r="K27" s="321" t="s">
        <v>1473</v>
      </c>
      <c r="L27" s="290" t="s">
        <v>1474</v>
      </c>
      <c r="M27" s="322">
        <f ca="1">INDIRECT("'数据-取费表'!ag"&amp;$G$1)</f>
        <v>0</v>
      </c>
    </row>
    <row r="28" spans="1:37" s="1784" customFormat="1" ht="18" customHeight="1">
      <c r="A28" s="1147"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1" t="s">
        <v>1038</v>
      </c>
      <c r="B29" s="1272" t="s">
        <v>1478</v>
      </c>
      <c r="C29" s="1273">
        <f ca="1">ROUND((C19+C20+C23+C26)/(1-F21-C24-C27-C28),0)</f>
        <v>0</v>
      </c>
      <c r="D29" s="1274"/>
      <c r="E29" s="1272"/>
      <c r="F29" s="1275"/>
      <c r="G29" s="1780"/>
      <c r="H29" s="323" t="s">
        <v>1033</v>
      </c>
      <c r="I29" s="324" t="s">
        <v>1479</v>
      </c>
      <c r="J29" s="325">
        <f ca="1">ROUND(J26/(1+F40)^F41,0)</f>
        <v>0</v>
      </c>
      <c r="K29" s="326" t="s">
        <v>1480</v>
      </c>
      <c r="L29" s="327"/>
      <c r="M29" s="328">
        <f ca="1">INDIRECT("'数据-取费表'!k"&amp;$G$1)</f>
        <v>0</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1" t="s">
        <v>1030</v>
      </c>
      <c r="B30" s="1262" t="s">
        <v>1424</v>
      </c>
      <c r="C30" s="298">
        <f ca="1">ROUND(C31+C36+C37+C38,0)</f>
        <v>0</v>
      </c>
      <c r="D30" s="1269" t="s">
        <v>1425</v>
      </c>
      <c r="E30" s="1270"/>
      <c r="F30" s="1226"/>
      <c r="G30" s="1777"/>
      <c r="H30" s="688"/>
      <c r="I30" s="689"/>
      <c r="J30" s="690"/>
      <c r="K30" s="691"/>
      <c r="L30" s="692"/>
      <c r="M30" s="693"/>
    </row>
    <row r="31" spans="1:37" ht="18" customHeight="1">
      <c r="A31" s="1147" t="s">
        <v>1035</v>
      </c>
      <c r="B31" s="290" t="s">
        <v>1429</v>
      </c>
      <c r="C31" s="24">
        <f ca="1">ROUND(IF(项目基本情况!B11="自然人",C5*F31,C32+C33+C34),0)</f>
        <v>0</v>
      </c>
      <c r="D31" s="1728" t="s">
        <v>1430</v>
      </c>
      <c r="E31" s="1726" t="s">
        <v>1481</v>
      </c>
      <c r="F31" s="311" t="str">
        <f ca="1">IF(项目基本情况!B11="企业","",IF(INDIRECT("'数据-取费表'!c"&amp;$G$1)="住宅",5%,IF(F6*F7*F8/12/(1+'数据-取费表'!C42)&gt;20000,12%,7%)))</f>
        <v/>
      </c>
      <c r="G31" s="1777"/>
      <c r="H31" s="688"/>
      <c r="I31" s="689"/>
      <c r="J31" s="690"/>
      <c r="K31" s="691"/>
      <c r="L31" s="692"/>
      <c r="M31" s="693"/>
    </row>
    <row r="32" spans="1:37" ht="18" customHeight="1">
      <c r="A32" s="1147" t="s">
        <v>1034</v>
      </c>
      <c r="B32" s="290" t="s">
        <v>1433</v>
      </c>
      <c r="C32" s="24">
        <f ca="1">IF(项目基本情况!B11="自然人","——",ROUND(C5*F32/(1+'数据-取费表'!C42),0))</f>
        <v>0</v>
      </c>
      <c r="D32" s="1726" t="s">
        <v>1434</v>
      </c>
      <c r="E32" s="290" t="s">
        <v>1422</v>
      </c>
      <c r="F32" s="320">
        <f>'数据-取费表'!B41</f>
        <v>5.6000000000000001E-2</v>
      </c>
      <c r="G32" s="1777"/>
      <c r="H32" s="688"/>
      <c r="I32" s="689"/>
      <c r="J32" s="690"/>
      <c r="K32" s="691"/>
      <c r="L32" s="692"/>
      <c r="M32" s="693"/>
    </row>
    <row r="33" spans="1:18" ht="18" customHeight="1">
      <c r="A33" s="1147" t="s">
        <v>1036</v>
      </c>
      <c r="B33" s="290" t="s">
        <v>1437</v>
      </c>
      <c r="C33" s="24">
        <f ca="1">IF(项目基本情况!B11="自然人","——",IF(D33="按租金收入计税",ROUND(C5*F33,0),IF(D33="按房产原值计税",ROUND(C29*F33*0.7,0),INDIRECT("'数据-取费表'!Aj"&amp;$G$1))))</f>
        <v>0</v>
      </c>
      <c r="D33" s="1754" t="s">
        <v>1438</v>
      </c>
      <c r="E33" s="290" t="s">
        <v>1422</v>
      </c>
      <c r="F33" s="310">
        <f>IF(D33="按票据","——",IF(D33="按租金收入计税",'数据-取费表'!B51,'数据-取费表'!B50))</f>
        <v>1.2E-2</v>
      </c>
      <c r="G33" s="1777"/>
      <c r="H33" s="1785"/>
      <c r="I33" s="1786"/>
      <c r="J33" s="1787"/>
      <c r="K33" s="1788"/>
      <c r="L33" s="1785"/>
      <c r="M33" s="1785"/>
    </row>
    <row r="34" spans="1:18" ht="18" customHeight="1">
      <c r="A34" s="1223" t="s">
        <v>1389</v>
      </c>
      <c r="B34" s="107" t="s">
        <v>1441</v>
      </c>
      <c r="C34" s="25">
        <f ca="1">IF(项目基本情况!B11="自然人","——",ROUND(F34*F35,))</f>
        <v>0</v>
      </c>
      <c r="D34" s="313" t="s">
        <v>1442</v>
      </c>
      <c r="E34" s="290" t="s">
        <v>1443</v>
      </c>
      <c r="F34" s="314">
        <f>'数据-取费表'!B52</f>
        <v>12</v>
      </c>
      <c r="G34" s="1777"/>
      <c r="H34" s="688"/>
      <c r="I34" s="1786"/>
      <c r="J34" s="1787"/>
      <c r="K34" s="1789"/>
      <c r="L34" s="1790"/>
      <c r="M34" s="1790"/>
    </row>
    <row r="35" spans="1:18" ht="18" customHeight="1">
      <c r="A35" s="1285"/>
      <c r="B35" s="1283"/>
      <c r="C35" s="29"/>
      <c r="D35" s="316"/>
      <c r="E35" s="290" t="s">
        <v>1447</v>
      </c>
      <c r="F35" s="291">
        <f ca="1">INDIRECT("'数据-取费表'!r"&amp;$G$1)</f>
        <v>0</v>
      </c>
      <c r="G35" s="1777"/>
      <c r="H35" s="688"/>
      <c r="I35" s="1786"/>
      <c r="J35" s="1787"/>
      <c r="K35" s="1788"/>
      <c r="L35" s="1785"/>
      <c r="M35" s="1785"/>
    </row>
    <row r="36" spans="1:18" ht="18" customHeight="1">
      <c r="A36" s="1284" t="s">
        <v>1039</v>
      </c>
      <c r="B36" s="290" t="s">
        <v>1449</v>
      </c>
      <c r="C36" s="24">
        <f ca="1">ROUND(C29*F36,0)</f>
        <v>0</v>
      </c>
      <c r="D36" s="1726" t="s">
        <v>1482</v>
      </c>
      <c r="E36" s="290" t="s">
        <v>1422</v>
      </c>
      <c r="F36" s="317">
        <f ca="1">INDIRECT("'数据-取费表'!Ak"&amp;$G$1)</f>
        <v>0</v>
      </c>
      <c r="G36" s="1777"/>
      <c r="H36" s="1785"/>
      <c r="I36" s="1786"/>
      <c r="J36" s="1787"/>
      <c r="K36" s="694"/>
      <c r="L36" s="1785"/>
      <c r="M36" s="1785"/>
    </row>
    <row r="37" spans="1:18" ht="18" customHeight="1">
      <c r="A37" s="1147" t="s">
        <v>1075</v>
      </c>
      <c r="B37" s="290" t="s">
        <v>1453</v>
      </c>
      <c r="C37" s="24">
        <f ca="1">ROUND(C13*F37,0)</f>
        <v>0</v>
      </c>
      <c r="D37" s="1726" t="s">
        <v>1454</v>
      </c>
      <c r="E37" s="290" t="s">
        <v>1455</v>
      </c>
      <c r="F37" s="319">
        <f ca="1">INDIRECT("'数据-取费表'!Al"&amp;$G$1)</f>
        <v>0</v>
      </c>
      <c r="G37" s="1777"/>
      <c r="H37" s="1785"/>
      <c r="I37" s="1786"/>
      <c r="J37" s="1787"/>
      <c r="K37" s="694"/>
      <c r="L37" s="1785"/>
      <c r="M37" s="1785"/>
    </row>
    <row r="38" spans="1:18" ht="18" customHeight="1" thickBot="1">
      <c r="A38" s="1271" t="s">
        <v>1393</v>
      </c>
      <c r="B38" s="1272" t="s">
        <v>1439</v>
      </c>
      <c r="C38" s="1273">
        <f ca="1">ROUND(C5*F38,1)</f>
        <v>0</v>
      </c>
      <c r="D38" s="1274" t="s">
        <v>1459</v>
      </c>
      <c r="E38" s="1272" t="s">
        <v>1455</v>
      </c>
      <c r="F38" s="1268">
        <f ca="1">INDIRECT("'数据-取费表'!Am"&amp;$G$1)</f>
        <v>0</v>
      </c>
      <c r="G38" s="1777"/>
      <c r="H38" s="1785"/>
      <c r="I38" s="1786"/>
      <c r="J38" s="1787"/>
      <c r="K38" s="1791"/>
      <c r="L38" s="1785"/>
      <c r="M38" s="1785"/>
    </row>
    <row r="39" spans="1:18" ht="24.6" customHeight="1" thickTop="1">
      <c r="A39" s="1261" t="s">
        <v>1031</v>
      </c>
      <c r="B39" s="1276" t="s">
        <v>1483</v>
      </c>
      <c r="C39" s="298">
        <f ca="1">C5-C30</f>
        <v>0</v>
      </c>
      <c r="D39" s="1277" t="s">
        <v>1484</v>
      </c>
      <c r="E39" s="1278"/>
      <c r="F39" s="1279"/>
      <c r="G39" s="1777"/>
      <c r="H39" s="1785"/>
      <c r="I39" s="1786"/>
      <c r="J39" s="1787"/>
      <c r="K39" s="1791"/>
      <c r="L39" s="1785"/>
      <c r="M39" s="1785"/>
    </row>
    <row r="40" spans="1:18" ht="18" customHeight="1">
      <c r="A40" s="287" t="s">
        <v>1032</v>
      </c>
      <c r="B40" s="288" t="s">
        <v>1485</v>
      </c>
      <c r="C40" s="289" t="e">
        <f ca="1">ROUND(C39*(1-((1+F42)/(1+F40))^F41)/(F40-F42),0)</f>
        <v>#DIV/0!</v>
      </c>
      <c r="D40" s="313" t="s">
        <v>1469</v>
      </c>
      <c r="E40" s="290" t="s">
        <v>1470</v>
      </c>
      <c r="F40" s="300">
        <f ca="1">INDIRECT("'数据-取费表'!I"&amp;$G$1)</f>
        <v>0</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0</v>
      </c>
      <c r="G41" s="1777"/>
      <c r="H41" s="675"/>
      <c r="I41" s="1786"/>
      <c r="J41" s="1787"/>
      <c r="K41" s="694"/>
      <c r="L41" s="675"/>
      <c r="M41" s="675"/>
    </row>
    <row r="42" spans="1:18" ht="18" customHeight="1">
      <c r="A42" s="296"/>
      <c r="B42" s="297"/>
      <c r="C42" s="298"/>
      <c r="D42" s="316"/>
      <c r="E42" s="290" t="s">
        <v>1477</v>
      </c>
      <c r="F42" s="300">
        <f ca="1">INDIRECT("'数据-取费表'!v"&amp;$G$1)</f>
        <v>0</v>
      </c>
      <c r="G42" s="1777"/>
      <c r="H42" s="675"/>
      <c r="I42" s="1786"/>
      <c r="J42" s="1787"/>
      <c r="K42" s="694"/>
      <c r="L42" s="675"/>
      <c r="M42" s="675"/>
    </row>
    <row r="43" spans="1:18" ht="18" customHeight="1" thickBot="1">
      <c r="A43" s="323" t="s">
        <v>1033</v>
      </c>
      <c r="B43" s="324" t="s">
        <v>1487</v>
      </c>
      <c r="C43" s="325" t="e">
        <f ca="1">ROUND(C40/F43,0)</f>
        <v>#DIV/0!</v>
      </c>
      <c r="D43" s="326" t="s">
        <v>1488</v>
      </c>
      <c r="E43" s="327" t="s">
        <v>1489</v>
      </c>
      <c r="F43" s="328">
        <f ca="1">INDIRECT("'数据-取费表'!k"&amp;$G$1)</f>
        <v>0</v>
      </c>
      <c r="G43" s="1777"/>
      <c r="H43" s="675"/>
      <c r="I43" s="675"/>
      <c r="J43" s="675"/>
      <c r="K43" s="694"/>
      <c r="L43" s="675"/>
      <c r="M43" s="675"/>
    </row>
    <row r="44" spans="1:18" s="1768" customFormat="1" ht="18" customHeight="1">
      <c r="A44" s="1792"/>
      <c r="B44" s="1792"/>
      <c r="C44" s="1793"/>
      <c r="D44" s="1792"/>
      <c r="E44" s="1792"/>
      <c r="F44" s="1792"/>
      <c r="K44" s="1794"/>
    </row>
    <row r="45" spans="1:18" s="1768" customFormat="1" ht="18" customHeight="1" thickBot="1">
      <c r="A45" s="1792"/>
      <c r="B45" s="1792"/>
      <c r="C45" s="1865" t="e">
        <f ca="1">C68-C40</f>
        <v>#DIV/0!</v>
      </c>
      <c r="D45" s="1866" t="s">
        <v>1604</v>
      </c>
      <c r="E45" s="1792"/>
      <c r="F45" s="1792"/>
      <c r="O45" s="1795" t="s">
        <v>1519</v>
      </c>
      <c r="P45" s="1765"/>
      <c r="Q45" s="1765"/>
      <c r="R45" s="1765"/>
    </row>
    <row r="46" spans="1:18" s="1768" customFormat="1" ht="13.5" thickBot="1">
      <c r="A46" s="1796" t="s">
        <v>1520</v>
      </c>
      <c r="C46" s="1797" t="e">
        <f ca="1">ROUND(C45/10000,0)</f>
        <v>#DIV/0!</v>
      </c>
      <c r="D46" s="1798" t="str">
        <f>C2</f>
        <v>万元</v>
      </c>
      <c r="I46" s="1799" t="s">
        <v>1521</v>
      </c>
      <c r="J46" s="1800"/>
      <c r="K46" s="1801"/>
      <c r="L46" s="1802" t="e">
        <f ca="1">IF(M47="住宅",0,IF(L48&gt;J51,L60,J60))</f>
        <v>#DIV/0!</v>
      </c>
      <c r="O46" s="1803" t="s">
        <v>1522</v>
      </c>
      <c r="P46" s="1804" t="s">
        <v>1523</v>
      </c>
      <c r="Q46" s="1805" t="s">
        <v>1524</v>
      </c>
      <c r="R46" s="1805" t="s">
        <v>1525</v>
      </c>
    </row>
    <row r="47" spans="1:18" s="1768" customFormat="1" ht="13.5" thickBot="1">
      <c r="A47" s="1111" t="s">
        <v>1396</v>
      </c>
      <c r="B47" s="1143" t="s">
        <v>1397</v>
      </c>
      <c r="C47" s="1143" t="s">
        <v>1398</v>
      </c>
      <c r="D47" s="1143" t="s">
        <v>1399</v>
      </c>
      <c r="E47" s="1211" t="s">
        <v>1400</v>
      </c>
      <c r="F47" s="1212"/>
      <c r="G47" s="735"/>
      <c r="I47" s="1806" t="s">
        <v>1526</v>
      </c>
      <c r="J47" s="1807"/>
      <c r="K47" s="1808" t="s">
        <v>1527</v>
      </c>
      <c r="L47" s="1809">
        <f ca="1">INDIRECT("'数据-取费表'!d"&amp;$G$1)</f>
        <v>0</v>
      </c>
      <c r="M47" s="1764" t="str">
        <f>IF(ISNUMBER(FIND("住宅",C1)),"住宅","非住宅")</f>
        <v>非住宅</v>
      </c>
      <c r="O47" s="1810" t="s">
        <v>1040</v>
      </c>
      <c r="P47" s="1811" t="s">
        <v>1528</v>
      </c>
      <c r="Q47" s="1812" t="e">
        <f ca="1">C40+J29</f>
        <v>#DIV/0!</v>
      </c>
      <c r="R47" s="1812" t="s">
        <v>1529</v>
      </c>
    </row>
    <row r="48" spans="1:18" s="1768" customFormat="1" ht="28.5" thickBot="1">
      <c r="A48" s="1292" t="s">
        <v>1135</v>
      </c>
      <c r="B48" s="288" t="s">
        <v>1401</v>
      </c>
      <c r="C48" s="1743">
        <f ca="1">C49+C53+C55</f>
        <v>0</v>
      </c>
      <c r="D48" s="1294"/>
      <c r="E48" s="1295"/>
      <c r="F48" s="1127"/>
      <c r="G48" s="735"/>
      <c r="H48" s="736"/>
      <c r="I48" s="1813" t="s">
        <v>1530</v>
      </c>
      <c r="J48" s="1814"/>
      <c r="K48" s="1815" t="s">
        <v>1531</v>
      </c>
      <c r="L48" s="1816">
        <f ca="1">INDIRECT("'数据-取费表'!f"&amp;$G$1)</f>
        <v>0</v>
      </c>
      <c r="O48" s="1810" t="s">
        <v>1041</v>
      </c>
      <c r="P48" s="1811" t="s">
        <v>1532</v>
      </c>
      <c r="Q48" s="1812" t="e">
        <f ca="1">J60</f>
        <v>#DIV/0!</v>
      </c>
      <c r="R48" s="1812" t="s">
        <v>1533</v>
      </c>
    </row>
    <row r="49" spans="1:18" s="1768" customFormat="1" ht="13.5" thickBot="1">
      <c r="A49" s="1140" t="s">
        <v>1136</v>
      </c>
      <c r="B49" s="1755" t="s">
        <v>1490</v>
      </c>
      <c r="C49" s="1296">
        <f ca="1">ROUND(F49*F51*F50*(1-F52),0)</f>
        <v>0</v>
      </c>
      <c r="D49" s="1208" t="s">
        <v>1404</v>
      </c>
      <c r="E49" s="1756" t="s">
        <v>1491</v>
      </c>
      <c r="F49" s="1213"/>
      <c r="G49" s="1817"/>
      <c r="H49" s="736"/>
      <c r="I49" s="1813" t="s">
        <v>1534</v>
      </c>
      <c r="J49" s="1818"/>
      <c r="K49" s="1815" t="s">
        <v>1535</v>
      </c>
      <c r="L49" s="1819"/>
      <c r="O49" s="1820" t="s">
        <v>1042</v>
      </c>
      <c r="P49" s="1811" t="s">
        <v>1536</v>
      </c>
      <c r="Q49" s="1812">
        <f ca="1">C29</f>
        <v>0</v>
      </c>
      <c r="R49" s="1812" t="s">
        <v>1529</v>
      </c>
    </row>
    <row r="50" spans="1:18" s="1768" customFormat="1" ht="13.5" thickBot="1">
      <c r="A50" s="1141"/>
      <c r="B50" s="1144"/>
      <c r="C50" s="1145"/>
      <c r="D50" s="1118"/>
      <c r="E50" s="1209" t="s">
        <v>1406</v>
      </c>
      <c r="F50" s="1210">
        <f ca="1">F7</f>
        <v>0</v>
      </c>
      <c r="H50" s="736"/>
      <c r="I50" s="1813" t="s">
        <v>1537</v>
      </c>
      <c r="J50" s="1821">
        <f>SUMPRODUCT((I63:I65=J47)*(J62:L62=J48)*(J63:L65))</f>
        <v>0</v>
      </c>
      <c r="K50" s="1815" t="s">
        <v>1538</v>
      </c>
      <c r="L50" s="1819"/>
      <c r="M50" s="1822"/>
      <c r="O50" s="1820" t="s">
        <v>1043</v>
      </c>
      <c r="P50" s="1811" t="s">
        <v>1539</v>
      </c>
      <c r="Q50" s="1823" t="e">
        <f ca="1">J58</f>
        <v>#DIV/0!</v>
      </c>
      <c r="R50" s="1812"/>
    </row>
    <row r="51" spans="1:18" s="1768" customFormat="1" ht="13.5" thickBot="1">
      <c r="A51" s="1142"/>
      <c r="B51" s="1144"/>
      <c r="C51" s="1145"/>
      <c r="D51" s="1118"/>
      <c r="E51" s="1146" t="s">
        <v>1407</v>
      </c>
      <c r="F51" s="291">
        <f ca="1">F8</f>
        <v>0</v>
      </c>
      <c r="I51" s="1824" t="s">
        <v>1540</v>
      </c>
      <c r="J51" s="1825">
        <f>IF(J49="",J50,J49+J50-YEAR('数据-取费表'!B2))</f>
        <v>0</v>
      </c>
      <c r="K51" s="1826" t="s">
        <v>1541</v>
      </c>
      <c r="L51" s="1827">
        <f ca="1">ROUND(-PV(INDIRECT("'数据-取费表'!h"&amp;$G$1),L48,(C39-C13*C76),0),0)</f>
        <v>0</v>
      </c>
      <c r="M51" s="1828"/>
      <c r="O51" s="1820" t="s">
        <v>1044</v>
      </c>
      <c r="P51" s="1811" t="s">
        <v>1542</v>
      </c>
      <c r="Q51" s="1823">
        <f>J52</f>
        <v>0</v>
      </c>
      <c r="R51" s="1812"/>
    </row>
    <row r="52" spans="1:18" s="1768" customFormat="1" ht="13.5" thickBot="1">
      <c r="A52" s="1142"/>
      <c r="B52" s="1144"/>
      <c r="C52" s="1145"/>
      <c r="D52" s="1118"/>
      <c r="E52" s="1146" t="s">
        <v>1408</v>
      </c>
      <c r="F52" s="1207"/>
      <c r="I52" s="1829" t="s">
        <v>1543</v>
      </c>
      <c r="J52" s="1830"/>
      <c r="K52" s="1829" t="s">
        <v>1544</v>
      </c>
      <c r="L52" s="1830"/>
      <c r="O52" s="1820" t="s">
        <v>1045</v>
      </c>
      <c r="P52" s="1811" t="s">
        <v>1545</v>
      </c>
      <c r="Q52" s="1812" t="b">
        <f>J53</f>
        <v>0</v>
      </c>
      <c r="R52" s="1812" t="s">
        <v>1546</v>
      </c>
    </row>
    <row r="53" spans="1:18" s="1768" customFormat="1" ht="30.75" customHeight="1" thickBot="1">
      <c r="A53" s="1293" t="s">
        <v>1137</v>
      </c>
      <c r="B53" s="312" t="s">
        <v>1409</v>
      </c>
      <c r="C53" s="304">
        <f ca="1">ROUND(IF(F53="押一",C49/12*F11,IF(F53="押二",C49/12*2*F11,IF(F53="押三",C49/12*3*F11,C54*F11))),0)</f>
        <v>0</v>
      </c>
      <c r="D53" s="1750" t="s">
        <v>2915</v>
      </c>
      <c r="E53" s="301" t="s">
        <v>1410</v>
      </c>
      <c r="F53" s="1298"/>
      <c r="I53" s="1831" t="s">
        <v>1547</v>
      </c>
      <c r="J53" s="1832" t="b">
        <f>IF(M47="住宅",IF(D1="——",MAX(J51,L48),IF(D1="在建（套用方法）",MAX(J51,L48-'数据-取费表'!B24),MAX(J51,L48-'数据-取费表'!B20))),IF(D1="——",MIN(J51,L48),IF(D1="在建（套用方法）",MIN(J51,L48-'数据-取费表'!B24),IF(D1="土地（套用方法）",MIN(J51,L48-'数据-取费表'!B20)))))</f>
        <v>0</v>
      </c>
      <c r="K53" s="3321" t="s">
        <v>1548</v>
      </c>
      <c r="L53" s="3322"/>
      <c r="O53" s="1810" t="s">
        <v>1046</v>
      </c>
      <c r="P53" s="1811" t="s">
        <v>1549</v>
      </c>
      <c r="Q53" s="1812" t="e">
        <f ca="1">Q47+Q48</f>
        <v>#DIV/0!</v>
      </c>
      <c r="R53" s="1812" t="s">
        <v>1047</v>
      </c>
    </row>
    <row r="54" spans="1:18" s="1768" customFormat="1" ht="13.5" thickBot="1">
      <c r="A54" s="1140"/>
      <c r="B54" s="1867" t="s">
        <v>1603</v>
      </c>
      <c r="C54" s="1124"/>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M54" s="1817"/>
      <c r="O54" s="1795" t="s">
        <v>1550</v>
      </c>
      <c r="P54" s="1765"/>
      <c r="Q54" s="1765"/>
      <c r="R54" s="1765"/>
    </row>
    <row r="55" spans="1:18" s="1768" customFormat="1" ht="13.5" thickBot="1">
      <c r="A55" s="1265" t="s">
        <v>1075</v>
      </c>
      <c r="B55" s="1753" t="s">
        <v>1413</v>
      </c>
      <c r="C55" s="1266"/>
      <c r="D55" s="1750"/>
      <c r="E55" s="1758"/>
      <c r="F55" s="1833"/>
      <c r="I55" s="1836" t="s">
        <v>1551</v>
      </c>
      <c r="J55" s="1837" t="e">
        <f ca="1">ROUND(IF(J47="钢混",J57/J50,1-(1-2%)*(J50-J57)/J50),3)</f>
        <v>#DIV/0!</v>
      </c>
      <c r="K55" s="1838" t="s">
        <v>1552</v>
      </c>
      <c r="L55" s="1839"/>
      <c r="O55" s="1803" t="s">
        <v>1522</v>
      </c>
      <c r="P55" s="1804" t="s">
        <v>1523</v>
      </c>
      <c r="Q55" s="1805" t="s">
        <v>1524</v>
      </c>
      <c r="R55" s="1805" t="s">
        <v>1525</v>
      </c>
    </row>
    <row r="56" spans="1:18" s="1768" customFormat="1" ht="36" customHeight="1" thickTop="1" thickBot="1">
      <c r="A56" s="1122">
        <v>2</v>
      </c>
      <c r="B56" s="1123" t="s">
        <v>1414</v>
      </c>
      <c r="C56" s="219">
        <f ca="1">C13</f>
        <v>0</v>
      </c>
      <c r="D56" s="1840"/>
      <c r="E56" s="1841"/>
      <c r="F56" s="1833"/>
      <c r="I56" s="1842" t="s">
        <v>1554</v>
      </c>
      <c r="J56" s="1843"/>
      <c r="K56" s="1813" t="s">
        <v>1555</v>
      </c>
      <c r="L56" s="1816">
        <f ca="1">IF(L48&lt;J51,"——",L48-J51)</f>
        <v>0</v>
      </c>
      <c r="O56" s="1810" t="s">
        <v>1040</v>
      </c>
      <c r="P56" s="1811" t="s">
        <v>1528</v>
      </c>
      <c r="Q56" s="1812" t="e">
        <f ca="1">C40+J29</f>
        <v>#DIV/0!</v>
      </c>
      <c r="R56" s="1812" t="s">
        <v>1529</v>
      </c>
    </row>
    <row r="57" spans="1:18" s="1768" customFormat="1" ht="24.75" thickBot="1">
      <c r="A57" s="1844"/>
      <c r="B57" s="1115" t="s">
        <v>1478</v>
      </c>
      <c r="C57" s="225">
        <f ca="1">C29</f>
        <v>0</v>
      </c>
      <c r="D57" s="1845"/>
      <c r="E57" s="1846"/>
      <c r="F57" s="1847"/>
      <c r="I57" s="1848" t="s">
        <v>1556</v>
      </c>
      <c r="J57" s="1849">
        <f ca="1">IF(OR(M47="住宅",J51&lt;L48,J56="是"),"——",J51-L48)</f>
        <v>0</v>
      </c>
      <c r="K57" s="1813" t="s">
        <v>1605</v>
      </c>
      <c r="L57" s="1816">
        <f ca="1">IF(L48&lt;J51,"——",IF(L55="比较法",L49,IF(L55="基准地价",L50,L51)))</f>
        <v>0</v>
      </c>
      <c r="O57" s="1810" t="s">
        <v>1041</v>
      </c>
      <c r="P57" s="1811" t="s">
        <v>1606</v>
      </c>
      <c r="Q57" s="1812" t="e">
        <f ca="1">L60</f>
        <v>#DIV/0!</v>
      </c>
      <c r="R57" s="1812" t="s">
        <v>1607</v>
      </c>
    </row>
    <row r="58" spans="1:18" s="1768" customFormat="1" ht="24.75" thickBot="1">
      <c r="A58" s="303" t="s">
        <v>1030</v>
      </c>
      <c r="B58" s="1123" t="s">
        <v>1424</v>
      </c>
      <c r="C58" s="304">
        <f ca="1">ROUND(C59+C64+C65+C66,0)</f>
        <v>0</v>
      </c>
      <c r="D58" s="1125" t="s">
        <v>1425</v>
      </c>
      <c r="E58" s="1126"/>
      <c r="F58" s="1127"/>
      <c r="I58" s="1848" t="s">
        <v>1560</v>
      </c>
      <c r="J58" s="1850" t="e">
        <f ca="1">IF(J55&lt;0.4,0.4,J55)</f>
        <v>#DIV/0!</v>
      </c>
      <c r="K58" s="1826" t="s">
        <v>1608</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7" t="s">
        <v>1035</v>
      </c>
      <c r="B59" s="1115" t="s">
        <v>1429</v>
      </c>
      <c r="C59" s="24">
        <f ca="1">ROUND(IF(项目基本情况!B11="自然人",C48*F59,C60+C61+C62),0)</f>
        <v>0</v>
      </c>
      <c r="D59" s="1128" t="s">
        <v>1430</v>
      </c>
      <c r="E59" s="1129" t="s">
        <v>1431</v>
      </c>
      <c r="F59" s="311" t="str">
        <f ca="1">IF(项目基本情况!B11="企业","",IF(INDIRECT("'数据-取费表'!c"&amp;$G$1)="住宅",5%,IF(F49*F50*F51/12/(1+'数据-取费表'!C42)&gt;20000,12%,7%)))</f>
        <v/>
      </c>
      <c r="I59" s="1848" t="s">
        <v>1563</v>
      </c>
      <c r="J59" s="1849" t="e">
        <f ca="1">IF(OR(M47="住宅",J51&lt;L48,J56="是"),"——",ROUND(C29*J58,0))</f>
        <v>#DIV/0!</v>
      </c>
      <c r="K59" s="18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6" t="e">
        <f ca="1">ROUND(IF(D1="在建（套用方法）",M59,IF(D1="土地（套用方法）",N59,POWER(1+L52,L47-J51)*(POWER(1+L52,J51)-1)/(POWER(1+L52,L47)-1))),4)</f>
        <v>#DIV/0!</v>
      </c>
      <c r="M59" s="1765" t="e">
        <f ca="1">ROUND(POWER(1+L52,L47-(J51+'数据-取费表'!B24))*(POWER(1+L52,(J51+'数据-取费表'!B24))-1)/(POWER(1+L52,L47)-1),4)</f>
        <v>#DIV/0!</v>
      </c>
      <c r="N59" s="1765" t="e">
        <f ca="1">ROUND(POWER(1+L52,L47-(J51+'数据-取费表'!B20))*(POWER(1+L52,(J51+'数据-取费表'!B20))-1)/(POWER(1+L52,L47)-1),4)</f>
        <v>#DIV/0!</v>
      </c>
      <c r="O59" s="1820" t="s">
        <v>1043</v>
      </c>
      <c r="P59" s="1811" t="s">
        <v>1564</v>
      </c>
      <c r="Q59" s="1823">
        <f>L52</f>
        <v>0</v>
      </c>
      <c r="R59" s="1812"/>
    </row>
    <row r="60" spans="1:18" s="1768" customFormat="1" ht="16.5" thickBot="1">
      <c r="A60" s="1147" t="s">
        <v>1034</v>
      </c>
      <c r="B60" s="1115" t="s">
        <v>1433</v>
      </c>
      <c r="C60" s="24">
        <f ca="1">IF(项目基本情况!B11="自然人","——",ROUND(C48*F60/(1+'数据-取费表'!C42),0))</f>
        <v>0</v>
      </c>
      <c r="D60" s="1129" t="s">
        <v>1434</v>
      </c>
      <c r="E60" s="1115" t="s">
        <v>1422</v>
      </c>
      <c r="F60" s="320">
        <f t="shared" ref="F60:F66" si="0">F32</f>
        <v>5.6000000000000001E-2</v>
      </c>
      <c r="I60" s="1851" t="s">
        <v>1565</v>
      </c>
      <c r="J60" s="1852" t="e">
        <f ca="1">IF(OR(M47="住宅",J51&lt;L48,J56="是"),"0",ROUND(J59/(1+J52)^J53,0))</f>
        <v>#DIV/0!</v>
      </c>
      <c r="K60" s="1853" t="s">
        <v>1566</v>
      </c>
      <c r="L60" s="1852" t="e">
        <f ca="1">IF(OR(M47="住宅",L48&lt;J51),0,ROUND(L57*(L58/L59-1),0))</f>
        <v>#DIV/0!</v>
      </c>
      <c r="O60" s="1820" t="s">
        <v>1044</v>
      </c>
      <c r="P60" s="1811" t="s">
        <v>1567</v>
      </c>
      <c r="Q60" s="1812" t="e">
        <f ca="1">L58</f>
        <v>#DIV/0!</v>
      </c>
      <c r="R60" s="1812" t="s">
        <v>1568</v>
      </c>
    </row>
    <row r="61" spans="1:18" s="1768" customFormat="1" ht="13.5" thickBot="1">
      <c r="A61" s="1147" t="s">
        <v>1492</v>
      </c>
      <c r="B61" s="1115" t="s">
        <v>1493</v>
      </c>
      <c r="C61" s="24">
        <f ca="1">IF(项目基本情况!B11="自然人","——",IF(D61="按租金收入计税",ROUND(C48*F61,0),IF(D61="按房产原值计税",ROUND(C57*F61*0.7,0),INDIRECT("'数据-取费表'!Aj"&amp;$G$1))))</f>
        <v>0</v>
      </c>
      <c r="D61" s="1754" t="s">
        <v>1438</v>
      </c>
      <c r="E61" s="1115" t="s">
        <v>1494</v>
      </c>
      <c r="F61" s="310">
        <f t="shared" si="0"/>
        <v>1.2E-2</v>
      </c>
      <c r="I61" s="1854"/>
      <c r="J61" s="1854"/>
      <c r="K61" s="1854"/>
      <c r="L61" s="1854"/>
      <c r="O61" s="1820" t="s">
        <v>1045</v>
      </c>
      <c r="P61" s="1811" t="str">
        <f>K59</f>
        <v>建设期及建筑物耐用年限下的土地年期修正系数Kn</v>
      </c>
      <c r="Q61" s="1812" t="e">
        <f ca="1">L59</f>
        <v>#DIV/0!</v>
      </c>
      <c r="R61" s="1812" t="s">
        <v>1569</v>
      </c>
    </row>
    <row r="62" spans="1:18" s="1768" customFormat="1" ht="13.5" thickBot="1">
      <c r="A62" s="1147" t="s">
        <v>1495</v>
      </c>
      <c r="B62" s="1114" t="s">
        <v>1496</v>
      </c>
      <c r="C62" s="25">
        <f ca="1">IF(项目基本情况!B11="自然人","——",ROUND(F62*F63,0))</f>
        <v>0</v>
      </c>
      <c r="D62" s="1130" t="s">
        <v>1497</v>
      </c>
      <c r="E62" s="1115" t="s">
        <v>1498</v>
      </c>
      <c r="F62" s="314">
        <f t="shared" si="0"/>
        <v>12</v>
      </c>
      <c r="I62" s="1855" t="s">
        <v>1570</v>
      </c>
      <c r="J62" s="1856" t="s">
        <v>1571</v>
      </c>
      <c r="K62" s="1856" t="s">
        <v>1572</v>
      </c>
      <c r="L62" s="1856" t="s">
        <v>1573</v>
      </c>
      <c r="M62" s="1857" t="s">
        <v>1574</v>
      </c>
      <c r="O62" s="1810" t="s">
        <v>1046</v>
      </c>
      <c r="P62" s="1811" t="s">
        <v>1575</v>
      </c>
      <c r="Q62" s="1812" t="e">
        <f ca="1">Q56+Q57</f>
        <v>#DIV/0!</v>
      </c>
      <c r="R62" s="1812" t="s">
        <v>1047</v>
      </c>
    </row>
    <row r="63" spans="1:18" s="1768" customFormat="1" ht="13.5" thickBot="1">
      <c r="A63" s="315"/>
      <c r="B63" s="1121"/>
      <c r="C63" s="29"/>
      <c r="D63" s="1131"/>
      <c r="E63" s="1115" t="s">
        <v>1499</v>
      </c>
      <c r="F63" s="291">
        <f t="shared" ca="1" si="0"/>
        <v>0</v>
      </c>
      <c r="I63" s="1855" t="s">
        <v>1576</v>
      </c>
      <c r="J63" s="1856">
        <v>70</v>
      </c>
      <c r="K63" s="1856">
        <v>50</v>
      </c>
      <c r="L63" s="1856">
        <v>80</v>
      </c>
      <c r="M63" s="1858">
        <v>0.02</v>
      </c>
      <c r="O63" s="1795" t="s">
        <v>1577</v>
      </c>
      <c r="P63" s="1765"/>
      <c r="Q63" s="1765"/>
      <c r="R63" s="1765"/>
    </row>
    <row r="64" spans="1:18" s="1768" customFormat="1" ht="13.5" thickBot="1">
      <c r="A64" s="1147" t="s">
        <v>1500</v>
      </c>
      <c r="B64" s="1115" t="s">
        <v>1501</v>
      </c>
      <c r="C64" s="24">
        <f ca="1">ROUND(C57*F64,0)</f>
        <v>0</v>
      </c>
      <c r="D64" s="1129" t="s">
        <v>1502</v>
      </c>
      <c r="E64" s="1115" t="s">
        <v>1494</v>
      </c>
      <c r="F64" s="317">
        <f t="shared" ca="1" si="0"/>
        <v>0</v>
      </c>
      <c r="I64" s="1855" t="s">
        <v>1578</v>
      </c>
      <c r="J64" s="1856">
        <v>50</v>
      </c>
      <c r="K64" s="1856">
        <v>35</v>
      </c>
      <c r="L64" s="1856">
        <v>60</v>
      </c>
      <c r="M64" s="1857">
        <v>0</v>
      </c>
      <c r="O64" s="1803" t="s">
        <v>1522</v>
      </c>
      <c r="P64" s="1804" t="s">
        <v>1523</v>
      </c>
      <c r="Q64" s="1805" t="s">
        <v>1524</v>
      </c>
      <c r="R64" s="1805" t="s">
        <v>1525</v>
      </c>
    </row>
    <row r="65" spans="1:18" s="1768" customFormat="1" ht="13.5" thickBot="1">
      <c r="A65" s="1147" t="s">
        <v>1503</v>
      </c>
      <c r="B65" s="1115" t="s">
        <v>1453</v>
      </c>
      <c r="C65" s="24">
        <f ca="1">ROUND(C56*F65,0)</f>
        <v>0</v>
      </c>
      <c r="D65" s="1129" t="s">
        <v>1454</v>
      </c>
      <c r="E65" s="1115" t="s">
        <v>1455</v>
      </c>
      <c r="F65" s="319">
        <f t="shared" ca="1" si="0"/>
        <v>0</v>
      </c>
      <c r="I65" s="1855" t="s">
        <v>1579</v>
      </c>
      <c r="J65" s="1856">
        <v>40</v>
      </c>
      <c r="K65" s="1856">
        <v>30</v>
      </c>
      <c r="L65" s="1856">
        <v>50</v>
      </c>
      <c r="M65" s="1858">
        <v>0.02</v>
      </c>
      <c r="O65" s="1810" t="s">
        <v>1040</v>
      </c>
      <c r="P65" s="1811" t="s">
        <v>1580</v>
      </c>
      <c r="Q65" s="1812" t="e">
        <f ca="1">C40+J29</f>
        <v>#DIV/0!</v>
      </c>
      <c r="R65" s="1812" t="s">
        <v>1529</v>
      </c>
    </row>
    <row r="66" spans="1:18" s="1768" customFormat="1" ht="16.5" thickBot="1">
      <c r="A66" s="1147" t="s">
        <v>1504</v>
      </c>
      <c r="B66" s="1115" t="s">
        <v>1439</v>
      </c>
      <c r="C66" s="24">
        <f ca="1">ROUND(C48*F66,0)</f>
        <v>0</v>
      </c>
      <c r="D66" s="1129" t="s">
        <v>1505</v>
      </c>
      <c r="E66" s="1115" t="s">
        <v>1422</v>
      </c>
      <c r="F66" s="300">
        <f t="shared" ca="1" si="0"/>
        <v>0</v>
      </c>
      <c r="O66" s="1810" t="s">
        <v>1041</v>
      </c>
      <c r="P66" s="1811" t="s">
        <v>1558</v>
      </c>
      <c r="Q66" s="1812" t="e">
        <f ca="1">L60</f>
        <v>#DIV/0!</v>
      </c>
      <c r="R66" s="1812" t="s">
        <v>1581</v>
      </c>
    </row>
    <row r="67" spans="1:18" s="1768" customFormat="1" ht="16.5" thickBot="1">
      <c r="A67" s="1122" t="s">
        <v>1031</v>
      </c>
      <c r="B67" s="1132" t="s">
        <v>1463</v>
      </c>
      <c r="C67" s="304">
        <f ca="1">C48-C58</f>
        <v>0</v>
      </c>
      <c r="D67" s="1128" t="s">
        <v>1464</v>
      </c>
      <c r="E67" s="1133"/>
      <c r="F67" s="1134"/>
      <c r="O67" s="1820" t="s">
        <v>1042</v>
      </c>
      <c r="P67" s="1811" t="s">
        <v>1562</v>
      </c>
      <c r="Q67" s="1859">
        <f ca="1">L51</f>
        <v>0</v>
      </c>
      <c r="R67" s="1812" t="s">
        <v>1582</v>
      </c>
    </row>
    <row r="68" spans="1:18" s="1768" customFormat="1" ht="16.5" thickBot="1">
      <c r="A68" s="1112" t="s">
        <v>1032</v>
      </c>
      <c r="B68" s="1113" t="s">
        <v>1485</v>
      </c>
      <c r="C68" s="289" t="e">
        <f ca="1">ROUND(C67*(1-((1+F70)/(1+F68))^F69)/(F68-F70),0)</f>
        <v>#DIV/0!</v>
      </c>
      <c r="D68" s="1130" t="s">
        <v>1469</v>
      </c>
      <c r="E68" s="1115" t="s">
        <v>1470</v>
      </c>
      <c r="F68" s="300">
        <f ca="1">F40</f>
        <v>0</v>
      </c>
      <c r="O68" s="1820" t="s">
        <v>1043</v>
      </c>
      <c r="P68" s="1860" t="s">
        <v>1583</v>
      </c>
      <c r="Q68" s="1812">
        <f ca="1">ROUND(Q69-Q70*Q71,0)</f>
        <v>0</v>
      </c>
      <c r="R68" s="1812" t="s">
        <v>1051</v>
      </c>
    </row>
    <row r="69" spans="1:18" s="1768" customFormat="1" ht="13.5" thickBot="1">
      <c r="A69" s="1116"/>
      <c r="B69" s="1117"/>
      <c r="C69" s="294"/>
      <c r="D69" s="1135" t="s">
        <v>1473</v>
      </c>
      <c r="E69" s="1115" t="s">
        <v>1474</v>
      </c>
      <c r="F69" s="322">
        <f ca="1">F41</f>
        <v>0</v>
      </c>
      <c r="O69" s="1820" t="s">
        <v>1048</v>
      </c>
      <c r="P69" s="1860" t="s">
        <v>1584</v>
      </c>
      <c r="Q69" s="1812">
        <f ca="1">C39</f>
        <v>0</v>
      </c>
      <c r="R69" s="1812" t="s">
        <v>1529</v>
      </c>
    </row>
    <row r="70" spans="1:18" s="1768" customFormat="1" ht="13.5" thickBot="1">
      <c r="A70" s="1119"/>
      <c r="B70" s="1120"/>
      <c r="C70" s="298"/>
      <c r="D70" s="1131"/>
      <c r="E70" s="1115" t="s">
        <v>1477</v>
      </c>
      <c r="F70" s="1207">
        <f ca="1">F42</f>
        <v>0</v>
      </c>
      <c r="O70" s="1820" t="s">
        <v>1049</v>
      </c>
      <c r="P70" s="1860" t="s">
        <v>1585</v>
      </c>
      <c r="Q70" s="1812">
        <f ca="1">C13</f>
        <v>0</v>
      </c>
      <c r="R70" s="1812" t="s">
        <v>1529</v>
      </c>
    </row>
    <row r="71" spans="1:18" s="1768" customFormat="1" ht="13.5" thickBot="1">
      <c r="A71" s="1136" t="s">
        <v>1033</v>
      </c>
      <c r="B71" s="1137" t="s">
        <v>1487</v>
      </c>
      <c r="C71" s="325" t="e">
        <f ca="1">ROUND(C68/F71,0)</f>
        <v>#DIV/0!</v>
      </c>
      <c r="D71" s="1138" t="s">
        <v>1488</v>
      </c>
      <c r="E71" s="1139" t="s">
        <v>1489</v>
      </c>
      <c r="F71" s="328">
        <f ca="1">F43</f>
        <v>0</v>
      </c>
      <c r="O71" s="1820" t="s">
        <v>1050</v>
      </c>
      <c r="P71" s="1860" t="s">
        <v>1586</v>
      </c>
      <c r="Q71" s="1823">
        <f ca="1">C76</f>
        <v>0</v>
      </c>
      <c r="R71" s="1812"/>
    </row>
    <row r="72" spans="1:18" s="1768" customFormat="1" ht="13.5" thickBot="1">
      <c r="B72" s="739"/>
      <c r="C72" s="739"/>
      <c r="O72" s="1820" t="s">
        <v>1044</v>
      </c>
      <c r="P72" s="1811" t="s">
        <v>1564</v>
      </c>
      <c r="Q72" s="1823">
        <f>L52</f>
        <v>0</v>
      </c>
      <c r="R72" s="1812"/>
    </row>
    <row r="73" spans="1:18" ht="16.5" thickBot="1">
      <c r="A73" s="1768"/>
      <c r="B73" s="739"/>
      <c r="C73" s="739"/>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建设期及建筑物耐用年限下的土地年期修正系数Kn</v>
      </c>
      <c r="Q74" s="1812" t="e">
        <f ca="1">L59</f>
        <v>#DIV/0!</v>
      </c>
      <c r="R74" s="1812" t="s">
        <v>1569</v>
      </c>
    </row>
    <row r="75" spans="1:18" ht="13.5" thickBot="1">
      <c r="A75" s="1768"/>
      <c r="B75" s="329" t="s">
        <v>1506</v>
      </c>
      <c r="C75" s="330">
        <f ca="1">ROUND(C13*C76,0)</f>
        <v>0</v>
      </c>
      <c r="D75" s="1768"/>
      <c r="E75" s="1768"/>
      <c r="F75" s="1768"/>
      <c r="K75" s="1794"/>
      <c r="L75" s="1768"/>
      <c r="O75" s="1810" t="s">
        <v>1046</v>
      </c>
      <c r="P75" s="1811" t="s">
        <v>1549</v>
      </c>
      <c r="Q75" s="1812" t="e">
        <f ca="1">Q65+Q66</f>
        <v>#DIV/0!</v>
      </c>
      <c r="R75" s="1812" t="s">
        <v>1047</v>
      </c>
    </row>
    <row r="76" spans="1:18">
      <c r="B76" s="331" t="s">
        <v>1507</v>
      </c>
      <c r="C76" s="332">
        <f ca="1">INDIRECT("'数据-取费表'!j"&amp;$G$1)</f>
        <v>0</v>
      </c>
      <c r="I76" s="1768"/>
      <c r="J76" s="1768"/>
      <c r="K76" s="1794"/>
      <c r="L76" s="1768"/>
    </row>
    <row r="77" spans="1:18">
      <c r="B77" s="333" t="s">
        <v>1508</v>
      </c>
      <c r="C77" s="334"/>
      <c r="I77" s="1768"/>
      <c r="J77" s="1768"/>
      <c r="K77" s="1794"/>
      <c r="L77" s="1768"/>
    </row>
    <row r="78" spans="1:18">
      <c r="B78" s="257" t="s">
        <v>1509</v>
      </c>
      <c r="C78" s="335"/>
    </row>
    <row r="79" spans="1:18">
      <c r="B79" s="329" t="s">
        <v>1510</v>
      </c>
      <c r="C79" s="261" t="e">
        <f ca="1">1-C80</f>
        <v>#DIV/0!</v>
      </c>
    </row>
    <row r="80" spans="1:18">
      <c r="B80" s="329" t="s">
        <v>1511</v>
      </c>
      <c r="C80" s="261" t="e">
        <f ca="1">ROUND(C75/C39,3)</f>
        <v>#DIV/0!</v>
      </c>
    </row>
    <row r="81" spans="2:3">
      <c r="B81" s="257" t="s">
        <v>1512</v>
      </c>
      <c r="C81" s="225"/>
    </row>
    <row r="82" spans="2:3">
      <c r="B82" s="260" t="s">
        <v>1513</v>
      </c>
      <c r="C82" s="262" t="e">
        <f ca="1">1-C83</f>
        <v>#DIV/0!</v>
      </c>
    </row>
    <row r="83" spans="2:3">
      <c r="B83" s="260" t="s">
        <v>1514</v>
      </c>
      <c r="C83" s="261"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9" sqref="C39"/>
    </sheetView>
  </sheetViews>
  <sheetFormatPr defaultRowHeight="14.25"/>
  <cols>
    <col min="1" max="1" width="23.625" style="1871" customWidth="1"/>
    <col min="2" max="2" width="12" style="1871" customWidth="1"/>
    <col min="3" max="3" width="9" style="1871"/>
    <col min="4" max="4" width="14.125" style="1871" customWidth="1"/>
    <col min="5" max="5" width="9" style="1871"/>
    <col min="6" max="6" width="12.875" style="1871" customWidth="1"/>
    <col min="7" max="16384" width="9" style="1871"/>
  </cols>
  <sheetData>
    <row r="1" spans="1:6" ht="21">
      <c r="A1" s="2426" t="s">
        <v>2397</v>
      </c>
      <c r="B1" s="2427"/>
      <c r="C1" s="2427"/>
      <c r="D1" s="2427"/>
      <c r="E1" s="2428"/>
    </row>
    <row r="2" spans="1:6" ht="15.75">
      <c r="A2" s="2429" t="s">
        <v>2201</v>
      </c>
      <c r="B2" s="2430">
        <f ca="1">SUMIF(B6:B13,"&lt;&gt;#ref!",B6:B13)</f>
        <v>11534</v>
      </c>
      <c r="C2" s="2431" t="s">
        <v>2390</v>
      </c>
      <c r="D2" s="2432" t="s">
        <v>2391</v>
      </c>
      <c r="E2" s="2433">
        <f>SUM(E6:E13)</f>
        <v>32023.289999999997</v>
      </c>
    </row>
    <row r="3" spans="1:6" ht="15.75">
      <c r="A3" s="2429" t="s">
        <v>1395</v>
      </c>
      <c r="B3" s="2430">
        <f ca="1">ROUND(B2*10000/E2,0)</f>
        <v>3602</v>
      </c>
      <c r="C3" s="2431" t="s">
        <v>2398</v>
      </c>
      <c r="D3" s="2434"/>
      <c r="E3" s="2435"/>
    </row>
    <row r="4" spans="1:6" ht="15.75">
      <c r="A4" s="2436"/>
      <c r="B4" s="2434"/>
      <c r="C4" s="2434"/>
      <c r="D4" s="2434"/>
      <c r="E4" s="2435"/>
    </row>
    <row r="5" spans="1:6" ht="15">
      <c r="A5" s="2437" t="s">
        <v>2392</v>
      </c>
      <c r="B5" s="3323" t="s">
        <v>2393</v>
      </c>
      <c r="C5" s="3323"/>
      <c r="D5" s="2438"/>
      <c r="E5" s="2439" t="s">
        <v>2394</v>
      </c>
      <c r="F5" s="2440" t="s">
        <v>2395</v>
      </c>
    </row>
    <row r="6" spans="1:6">
      <c r="A6" s="2441">
        <f>'数据-取费表'!AN6</f>
        <v>0</v>
      </c>
      <c r="B6" s="2440" t="e">
        <f ca="1">IF(F6="是",'数据-取费表'!AO6,0)</f>
        <v>#REF!</v>
      </c>
      <c r="C6" s="2431" t="s">
        <v>2390</v>
      </c>
      <c r="D6" s="2434"/>
      <c r="E6" s="2442">
        <f>IF(OR(A6=0,F6="否"),0,'数据-取费表'!K6+'数据-取费表'!S6)</f>
        <v>0</v>
      </c>
      <c r="F6" s="2443" t="s">
        <v>2396</v>
      </c>
    </row>
    <row r="7" spans="1:6">
      <c r="A7" s="2441">
        <f>'数据-取费表'!AN7</f>
        <v>0</v>
      </c>
      <c r="B7" s="2440" t="e">
        <f ca="1">IF(F7="是",'数据-取费表'!AO7,0)</f>
        <v>#REF!</v>
      </c>
      <c r="C7" s="2431" t="s">
        <v>2390</v>
      </c>
      <c r="D7" s="2434"/>
      <c r="E7" s="2442">
        <f>IF(OR(A7=0,F7="否"),0,'数据-取费表'!K7+'数据-取费表'!S7)</f>
        <v>0</v>
      </c>
      <c r="F7" s="2443" t="s">
        <v>2396</v>
      </c>
    </row>
    <row r="8" spans="1:6">
      <c r="A8" s="2441" t="str">
        <f>'数据-取费表'!AN8</f>
        <v>收益法</v>
      </c>
      <c r="B8" s="2440">
        <f ca="1">IF(F8="是",'数据-取费表'!AO8,0)</f>
        <v>11534</v>
      </c>
      <c r="C8" s="2431" t="s">
        <v>2390</v>
      </c>
      <c r="D8" s="2434"/>
      <c r="E8" s="2442">
        <f>IF(OR(A8=0,F8="否"),0,'数据-取费表'!K8+'数据-取费表'!S8)</f>
        <v>32023.289999999997</v>
      </c>
      <c r="F8" s="2443" t="s">
        <v>2396</v>
      </c>
    </row>
    <row r="9" spans="1:6">
      <c r="A9" s="2441">
        <f>'数据-取费表'!AN9</f>
        <v>0</v>
      </c>
      <c r="B9" s="2440" t="e">
        <f ca="1">IF(F9="是",'数据-取费表'!AO9,0)</f>
        <v>#REF!</v>
      </c>
      <c r="C9" s="2431" t="s">
        <v>2390</v>
      </c>
      <c r="D9" s="2434"/>
      <c r="E9" s="2442">
        <f>IF(OR(A9=0,F9="否"),0,'数据-取费表'!K9+'数据-取费表'!S9)</f>
        <v>0</v>
      </c>
      <c r="F9" s="2443" t="s">
        <v>2396</v>
      </c>
    </row>
    <row r="10" spans="1:6">
      <c r="A10" s="2441">
        <f>'数据-取费表'!AN10</f>
        <v>0</v>
      </c>
      <c r="B10" s="2440" t="e">
        <f ca="1">IF(F10="是",'数据-取费表'!AO10,0)</f>
        <v>#REF!</v>
      </c>
      <c r="C10" s="2431" t="s">
        <v>2390</v>
      </c>
      <c r="D10" s="2434"/>
      <c r="E10" s="2442">
        <f>IF(OR(A10=0,F10="否"),0,'数据-取费表'!K10+'数据-取费表'!S10)</f>
        <v>0</v>
      </c>
      <c r="F10" s="2443" t="s">
        <v>2396</v>
      </c>
    </row>
    <row r="11" spans="1:6">
      <c r="A11" s="2441">
        <f>'数据-取费表'!AN11</f>
        <v>0</v>
      </c>
      <c r="B11" s="2440" t="e">
        <f ca="1">IF(F11="是",'数据-取费表'!AO11,0)</f>
        <v>#REF!</v>
      </c>
      <c r="C11" s="2431" t="s">
        <v>2390</v>
      </c>
      <c r="D11" s="2434"/>
      <c r="E11" s="2442">
        <f>IF(OR(A11=0,F11="否"),0,'数据-取费表'!K11+'数据-取费表'!S11)</f>
        <v>0</v>
      </c>
      <c r="F11" s="2443" t="s">
        <v>2396</v>
      </c>
    </row>
    <row r="12" spans="1:6">
      <c r="A12" s="2441">
        <f>'数据-取费表'!AN12</f>
        <v>0</v>
      </c>
      <c r="B12" s="2440" t="e">
        <f ca="1">IF(F12="是",'数据-取费表'!AO12,0)</f>
        <v>#REF!</v>
      </c>
      <c r="C12" s="2431" t="s">
        <v>2390</v>
      </c>
      <c r="D12" s="2434"/>
      <c r="E12" s="2442">
        <f>IF(OR(A12=0,F12="否"),0,'数据-取费表'!K12+'数据-取费表'!S12)</f>
        <v>0</v>
      </c>
      <c r="F12" s="2443" t="s">
        <v>2396</v>
      </c>
    </row>
    <row r="13" spans="1:6" ht="15" thickBot="1">
      <c r="A13" s="2444">
        <f>'数据-取费表'!AN13</f>
        <v>0</v>
      </c>
      <c r="B13" s="2440" t="e">
        <f ca="1">IF(F13="是",'数据-取费表'!AO13,0)</f>
        <v>#REF!</v>
      </c>
      <c r="C13" s="2445" t="s">
        <v>2390</v>
      </c>
      <c r="D13" s="2446"/>
      <c r="E13" s="2442">
        <f>IF(OR(A13=0,F13="否"),0,'数据-取费表'!K13+'数据-取费表'!S13)</f>
        <v>0</v>
      </c>
      <c r="F13" s="2443" t="s">
        <v>2396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71" customWidth="1"/>
    <col min="2" max="16384" width="9" style="1871"/>
  </cols>
  <sheetData>
    <row r="1" spans="1:1" ht="23.25">
      <c r="A1" s="1870" t="s">
        <v>1611</v>
      </c>
    </row>
    <row r="2" spans="1:1">
      <c r="A2" s="1872"/>
    </row>
    <row r="3" spans="1:1" ht="18">
      <c r="A3" s="1873" t="str">
        <f>项目基本情况!B5&amp;"："</f>
        <v>中诚信托有限责任公司：</v>
      </c>
    </row>
    <row r="4" spans="1:1" ht="36">
      <c r="A4" s="1874" t="str">
        <f>"受贵公司委托，我公司对"&amp;项目基本情况!S1&amp;"进行了预评估。"</f>
        <v>受贵公司委托，我公司对上海市松江区泗泾镇7街坊4/20丘“融创壹号府”居住项目出让国有建设用地使用权及在建建筑物房地产抵押价值进行了预评估。</v>
      </c>
    </row>
    <row r="5" spans="1:1" ht="18.75">
      <c r="A5" s="1875" t="s">
        <v>1612</v>
      </c>
    </row>
    <row r="6" spans="1:1" ht="18.75">
      <c r="A6" s="1876" t="s">
        <v>1613</v>
      </c>
    </row>
    <row r="7" spans="1:1" ht="90">
      <c r="A7" s="18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松江区泗泾镇7街坊4/20丘“融创壹号府”居住项目出让国有建设用地使用权及在建建筑物房地产，为上海融创天衡置业有限公司所有。根据《房地产权证》[沪房地松字（2016）第043248号]，估价对象（分摊）出让国有建设用地使用权面积为43598.5平方米。根据《建设工程规划许可证》[沪松建（2017）FA31011720174170号]，估价对象建筑面积为119454.59平方米。</v>
      </c>
    </row>
    <row r="8" spans="1:1" ht="57.75">
      <c r="A8" s="1877" t="s">
        <v>1614</v>
      </c>
    </row>
    <row r="9" spans="1:1" ht="18.75">
      <c r="A9" s="1876" t="s">
        <v>1615</v>
      </c>
    </row>
    <row r="10" spans="1:1" ht="108">
      <c r="A10" s="18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松江区泗泾镇7街坊4/20丘“融创壹号府”居住项目出让国有建设用地使用权及在建建筑物房地产,为上海融创天衡置业有限公司开发建设的居住项目，该项目尚在开发建设中。根据《房地产权证》[沪房地松字（2016）第043248号]，估价对象（分摊）出让国有建设用地使用权面积为43598.5平方米。根据《建设工程规划许可证》[沪松建（2017）FA31011720174170号]，估价对象规划建筑面积为119454.59平方米。</v>
      </c>
    </row>
    <row r="11" spans="1:1" ht="76.5">
      <c r="A11" s="1877" t="s">
        <v>1616</v>
      </c>
    </row>
    <row r="12" spans="1:1" ht="18.75">
      <c r="A12" s="1875" t="s">
        <v>1617</v>
      </c>
    </row>
    <row r="13" spans="1:1" ht="38.25" customHeight="1">
      <c r="A13" s="1878" t="str">
        <f>IF(项目基本情况!B8="抵押",IF(项目基本情况!B5=项目基本情况!B6,定义!C51,定义!B51),定义!D51)</f>
        <v>上海融创天衡置业有限公司拟使用上海市松江区泗泾镇7街坊4/20丘“融创壹号府”居住项目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879" t="s">
        <v>1618</v>
      </c>
    </row>
    <row r="15" spans="1:1" ht="18">
      <c r="A15" s="1880" t="str">
        <f>TEXT(项目基本情况!D3,"yyyy年m月d日;;")&amp;IF(项目基本情况!D3=项目基本情况!B3,"（评估专业人员实地查勘之日）","")</f>
        <v>2018年7月3日（评估专业人员实地查勘之日）</v>
      </c>
    </row>
    <row r="16" spans="1:1" ht="18.75">
      <c r="A16" s="1879" t="s">
        <v>1619</v>
      </c>
    </row>
    <row r="17" spans="1:1" ht="75">
      <c r="A17" s="1874" t="s">
        <v>1620</v>
      </c>
    </row>
    <row r="18" spans="1:1" ht="72">
      <c r="A18" s="187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3日，估价对象规划用途为住宅、地下车库，土地取得方式为出让，出让国有建设用地使用权剩余土地使用年限为住宅68年、地下车库48年，假定未设立法定优先受偿款下的房地产市场价值。</v>
      </c>
    </row>
    <row r="19" spans="1:1" ht="157.5" customHeight="1">
      <c r="A19" s="187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六通”（即通路、通电、通讯、通上水、通下水、燃气）、红线内场地平整条件下，剩余土地使用年限为住宅68年、地下车库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87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8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79" t="s">
        <v>1609</v>
      </c>
    </row>
    <row r="24" spans="1:1" ht="18">
      <c r="A24" s="1881" t="str">
        <f>"本次评估采用的主估价方法为"&amp;结果表!K4&amp;"和"&amp;结果表!L4&amp;"。"</f>
        <v>本次评估采用的主估价方法为成本法和假设开发法。</v>
      </c>
    </row>
    <row r="25" spans="1:1" ht="18">
      <c r="A25" s="1881"/>
    </row>
    <row r="26" spans="1:1" ht="18.75">
      <c r="A26" s="1882" t="s">
        <v>1610</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9" sqref="C39"/>
    </sheetView>
  </sheetViews>
  <sheetFormatPr defaultRowHeight="13.5"/>
  <cols>
    <col min="1" max="1" width="10.5" customWidth="1"/>
    <col min="2" max="2" width="12.875" customWidth="1"/>
    <col min="3" max="3" width="8.75" customWidth="1"/>
  </cols>
  <sheetData>
    <row r="1" spans="1:9" ht="14.25">
      <c r="A1" s="3324" t="s">
        <v>1076</v>
      </c>
      <c r="B1" s="3325"/>
      <c r="C1" s="3326"/>
      <c r="D1" s="3327">
        <f>SUM(I10,I15,I20,I21,I23)</f>
        <v>0</v>
      </c>
      <c r="E1" s="3327"/>
      <c r="F1" s="3327"/>
      <c r="G1" s="3327"/>
      <c r="H1" s="3327"/>
      <c r="I1" s="3328"/>
    </row>
    <row r="2" spans="1:9">
      <c r="A2" s="3329" t="s">
        <v>1077</v>
      </c>
      <c r="B2" s="3330" t="s">
        <v>1078</v>
      </c>
      <c r="C2" s="3330"/>
      <c r="D2" s="1233" t="s">
        <v>1079</v>
      </c>
      <c r="E2" s="1233" t="s">
        <v>1080</v>
      </c>
      <c r="F2" s="1233" t="s">
        <v>1081</v>
      </c>
      <c r="G2" s="1233" t="s">
        <v>1082</v>
      </c>
      <c r="H2" s="1233" t="s">
        <v>1083</v>
      </c>
      <c r="I2" s="1234" t="s">
        <v>1084</v>
      </c>
    </row>
    <row r="3" spans="1:9">
      <c r="A3" s="3329"/>
      <c r="B3" s="3330" t="s">
        <v>1085</v>
      </c>
      <c r="C3" s="3330"/>
      <c r="D3" s="1235"/>
      <c r="E3" s="1233"/>
      <c r="F3" s="1236"/>
      <c r="G3" s="1236"/>
      <c r="H3" s="1237"/>
      <c r="I3" s="1238">
        <f>ROUND(D3*E3*F3*G3*H3/10000,0)</f>
        <v>0</v>
      </c>
    </row>
    <row r="4" spans="1:9">
      <c r="A4" s="3329"/>
      <c r="B4" s="3330" t="s">
        <v>1086</v>
      </c>
      <c r="C4" s="3330"/>
      <c r="D4" s="1235"/>
      <c r="E4" s="1233"/>
      <c r="F4" s="1236"/>
      <c r="G4" s="1236"/>
      <c r="H4" s="1237"/>
      <c r="I4" s="1238">
        <f t="shared" ref="I4:I9" si="0">ROUND(D4*E4*F4*G4*H4/10000,0)</f>
        <v>0</v>
      </c>
    </row>
    <row r="5" spans="1:9">
      <c r="A5" s="3329"/>
      <c r="B5" s="3330" t="s">
        <v>1087</v>
      </c>
      <c r="C5" s="3330"/>
      <c r="D5" s="1235"/>
      <c r="E5" s="1233"/>
      <c r="F5" s="1236"/>
      <c r="G5" s="1236"/>
      <c r="H5" s="1237"/>
      <c r="I5" s="1238">
        <f t="shared" si="0"/>
        <v>0</v>
      </c>
    </row>
    <row r="6" spans="1:9">
      <c r="A6" s="3329"/>
      <c r="B6" s="3330" t="s">
        <v>1088</v>
      </c>
      <c r="C6" s="3330"/>
      <c r="D6" s="1235"/>
      <c r="E6" s="1233"/>
      <c r="F6" s="1236"/>
      <c r="G6" s="1236"/>
      <c r="H6" s="1237"/>
      <c r="I6" s="1238">
        <f t="shared" si="0"/>
        <v>0</v>
      </c>
    </row>
    <row r="7" spans="1:9">
      <c r="A7" s="3329"/>
      <c r="B7" s="3330" t="s">
        <v>1089</v>
      </c>
      <c r="C7" s="3330"/>
      <c r="D7" s="1235"/>
      <c r="E7" s="1233"/>
      <c r="F7" s="1236"/>
      <c r="G7" s="1236"/>
      <c r="H7" s="1237"/>
      <c r="I7" s="1238">
        <f t="shared" si="0"/>
        <v>0</v>
      </c>
    </row>
    <row r="8" spans="1:9">
      <c r="A8" s="3329"/>
      <c r="B8" s="3330" t="s">
        <v>1090</v>
      </c>
      <c r="C8" s="3330"/>
      <c r="D8" s="1235"/>
      <c r="E8" s="1233"/>
      <c r="F8" s="1236"/>
      <c r="G8" s="1236"/>
      <c r="H8" s="1237"/>
      <c r="I8" s="1238">
        <f t="shared" si="0"/>
        <v>0</v>
      </c>
    </row>
    <row r="9" spans="1:9">
      <c r="A9" s="3329"/>
      <c r="B9" s="3330" t="s">
        <v>1091</v>
      </c>
      <c r="C9" s="3330"/>
      <c r="D9" s="1235"/>
      <c r="E9" s="1233"/>
      <c r="F9" s="1236"/>
      <c r="G9" s="1236"/>
      <c r="H9" s="1237"/>
      <c r="I9" s="1238">
        <f t="shared" si="0"/>
        <v>0</v>
      </c>
    </row>
    <row r="10" spans="1:9">
      <c r="A10" s="3329"/>
      <c r="B10" s="3331" t="s">
        <v>1092</v>
      </c>
      <c r="C10" s="3331"/>
      <c r="D10" s="1239"/>
      <c r="E10" s="1239" t="e">
        <f>ROUND(D1*10000/D10/H9,0)</f>
        <v>#DIV/0!</v>
      </c>
      <c r="F10" s="1240"/>
      <c r="G10" s="1240"/>
      <c r="H10" s="1241"/>
      <c r="I10" s="1242">
        <f>SUM(I3:I9)</f>
        <v>0</v>
      </c>
    </row>
    <row r="11" spans="1:9" ht="14.25">
      <c r="A11" s="3329" t="s">
        <v>1093</v>
      </c>
      <c r="B11" s="3330" t="s">
        <v>1094</v>
      </c>
      <c r="C11" s="3330"/>
      <c r="D11" s="1235" t="s">
        <v>1095</v>
      </c>
      <c r="E11" s="1235" t="s">
        <v>1096</v>
      </c>
      <c r="F11" s="1236" t="s">
        <v>1097</v>
      </c>
      <c r="G11" s="1236" t="s">
        <v>1083</v>
      </c>
      <c r="H11" s="1243" t="s">
        <v>1098</v>
      </c>
      <c r="I11" s="1234" t="s">
        <v>1084</v>
      </c>
    </row>
    <row r="12" spans="1:9">
      <c r="A12" s="3329"/>
      <c r="B12" s="3330" t="s">
        <v>1099</v>
      </c>
      <c r="C12" s="3330"/>
      <c r="D12" s="1235"/>
      <c r="E12" s="1235"/>
      <c r="F12" s="1236"/>
      <c r="G12" s="1237"/>
      <c r="H12" s="1244"/>
      <c r="I12" s="1234">
        <f>ROUND(D12*E12*F12*G12/10000,0)</f>
        <v>0</v>
      </c>
    </row>
    <row r="13" spans="1:9">
      <c r="A13" s="3329"/>
      <c r="B13" s="3330" t="s">
        <v>1100</v>
      </c>
      <c r="C13" s="3330"/>
      <c r="D13" s="1235"/>
      <c r="E13" s="1235"/>
      <c r="F13" s="1236"/>
      <c r="G13" s="1237"/>
      <c r="H13" s="1244"/>
      <c r="I13" s="1234">
        <f>ROUND(D13*E13*F13*G13/10000,0)</f>
        <v>0</v>
      </c>
    </row>
    <row r="14" spans="1:9">
      <c r="A14" s="3329"/>
      <c r="B14" s="3330" t="s">
        <v>1101</v>
      </c>
      <c r="C14" s="3330"/>
      <c r="D14" s="1235"/>
      <c r="E14" s="1235"/>
      <c r="F14" s="1236"/>
      <c r="G14" s="1237"/>
      <c r="H14" s="1244"/>
      <c r="I14" s="1234">
        <f>ROUND(D14*E14*F14*G14/10000,0)</f>
        <v>0</v>
      </c>
    </row>
    <row r="15" spans="1:9">
      <c r="A15" s="3329"/>
      <c r="B15" s="3331" t="s">
        <v>1092</v>
      </c>
      <c r="C15" s="3331"/>
      <c r="D15" s="1239"/>
      <c r="E15" s="1239">
        <f>SUM(E12:E14)</f>
        <v>0</v>
      </c>
      <c r="F15" s="1240"/>
      <c r="G15" s="1237"/>
      <c r="H15" s="1244"/>
      <c r="I15" s="1245">
        <f>SUM(I12:I14)</f>
        <v>0</v>
      </c>
    </row>
    <row r="16" spans="1:9" ht="24">
      <c r="A16" s="3329" t="s">
        <v>1102</v>
      </c>
      <c r="B16" s="3330" t="s">
        <v>1103</v>
      </c>
      <c r="C16" s="3330"/>
      <c r="D16" s="1235" t="s">
        <v>1079</v>
      </c>
      <c r="E16" s="1246" t="s">
        <v>1104</v>
      </c>
      <c r="F16" s="1236" t="s">
        <v>1105</v>
      </c>
      <c r="G16" s="1237" t="s">
        <v>1083</v>
      </c>
      <c r="H16" s="1243" t="s">
        <v>1098</v>
      </c>
      <c r="I16" s="1234" t="s">
        <v>1084</v>
      </c>
    </row>
    <row r="17" spans="1:9" ht="14.25">
      <c r="A17" s="3329"/>
      <c r="B17" s="3330" t="s">
        <v>1106</v>
      </c>
      <c r="C17" s="3330"/>
      <c r="D17" s="1235"/>
      <c r="E17" s="1235"/>
      <c r="F17" s="1236"/>
      <c r="G17" s="1237"/>
      <c r="H17" s="1247"/>
      <c r="I17" s="1248">
        <f>ROUND(D17*E17*F17*G17/10000,0)</f>
        <v>0</v>
      </c>
    </row>
    <row r="18" spans="1:9" ht="14.25">
      <c r="A18" s="3329"/>
      <c r="B18" s="3330" t="s">
        <v>1107</v>
      </c>
      <c r="C18" s="3330"/>
      <c r="D18" s="1235"/>
      <c r="E18" s="1235"/>
      <c r="F18" s="1236"/>
      <c r="G18" s="1237"/>
      <c r="H18" s="1247"/>
      <c r="I18" s="1248">
        <f>ROUND(D18*E18*F18*G18/10000,0)</f>
        <v>0</v>
      </c>
    </row>
    <row r="19" spans="1:9" ht="14.25">
      <c r="A19" s="3329"/>
      <c r="B19" s="3330" t="s">
        <v>1108</v>
      </c>
      <c r="C19" s="3330"/>
      <c r="D19" s="1235"/>
      <c r="E19" s="1235"/>
      <c r="F19" s="1236"/>
      <c r="G19" s="1237"/>
      <c r="H19" s="1247"/>
      <c r="I19" s="1248">
        <f>ROUND(D19*E19*F19*G19/10000,0)</f>
        <v>0</v>
      </c>
    </row>
    <row r="20" spans="1:9">
      <c r="A20" s="3329"/>
      <c r="B20" s="3331" t="s">
        <v>1092</v>
      </c>
      <c r="C20" s="3331"/>
      <c r="D20" s="1239">
        <f>SUM(D17:D19)</f>
        <v>0</v>
      </c>
      <c r="E20" s="1239"/>
      <c r="F20" s="1240"/>
      <c r="G20" s="1237"/>
      <c r="H20" s="1244"/>
      <c r="I20" s="1245">
        <f>SUM(I17:I19)</f>
        <v>0</v>
      </c>
    </row>
    <row r="21" spans="1:9">
      <c r="A21" s="3329" t="s">
        <v>1109</v>
      </c>
      <c r="B21" s="3333"/>
      <c r="C21" s="3333"/>
      <c r="D21" s="3333"/>
      <c r="E21" s="3333"/>
      <c r="F21" s="3333"/>
      <c r="G21" s="3333"/>
      <c r="H21" s="1694">
        <v>0.1</v>
      </c>
      <c r="I21" s="1242">
        <f>ROUND(I10*H21,0)</f>
        <v>0</v>
      </c>
    </row>
    <row r="22" spans="1:9" ht="14.25">
      <c r="A22" s="3334" t="s">
        <v>1110</v>
      </c>
      <c r="B22" s="3335"/>
      <c r="C22" s="3336"/>
      <c r="D22" s="1249" t="s">
        <v>1111</v>
      </c>
      <c r="E22" s="1249" t="s">
        <v>1112</v>
      </c>
      <c r="F22" s="1250" t="s">
        <v>1113</v>
      </c>
      <c r="G22" s="1250" t="s">
        <v>1114</v>
      </c>
      <c r="H22" s="1243" t="s">
        <v>1115</v>
      </c>
      <c r="I22" s="1234" t="s">
        <v>1116</v>
      </c>
    </row>
    <row r="23" spans="1:9" ht="14.25" thickBot="1">
      <c r="A23" s="3337"/>
      <c r="B23" s="3338"/>
      <c r="C23" s="3339"/>
      <c r="D23" s="1251"/>
      <c r="E23" s="1251"/>
      <c r="F23" s="1251"/>
      <c r="G23" s="1252"/>
      <c r="H23" s="1253"/>
      <c r="I23" s="1254">
        <f>ROUND(E23*D23*F23*(1-G23)/10000,0)</f>
        <v>0</v>
      </c>
    </row>
    <row r="26" spans="1:9">
      <c r="A26" s="1255" t="s">
        <v>1117</v>
      </c>
      <c r="B26" s="1255"/>
      <c r="C26" s="1255"/>
      <c r="D26" s="1255"/>
      <c r="E26" s="3340">
        <f>C27-C30-C31-C32</f>
        <v>0</v>
      </c>
      <c r="F26" s="3340"/>
      <c r="G26" s="3340"/>
      <c r="H26" s="1667" t="s">
        <v>1340</v>
      </c>
    </row>
    <row r="27" spans="1:9">
      <c r="A27" s="1256">
        <v>1</v>
      </c>
      <c r="B27" s="1257" t="s">
        <v>1118</v>
      </c>
      <c r="C27" s="1257">
        <f>C28+C29</f>
        <v>0</v>
      </c>
      <c r="D27" s="1257"/>
      <c r="E27" s="3341"/>
      <c r="F27" s="3341"/>
      <c r="G27" s="3341"/>
    </row>
    <row r="28" spans="1:9">
      <c r="A28" s="1258" t="s">
        <v>1119</v>
      </c>
      <c r="B28" s="1257" t="s">
        <v>1120</v>
      </c>
      <c r="C28" s="1257"/>
      <c r="D28" s="1257"/>
      <c r="E28" s="3341"/>
      <c r="F28" s="3341"/>
      <c r="G28" s="3341"/>
    </row>
    <row r="29" spans="1:9">
      <c r="A29" s="1258" t="s">
        <v>1121</v>
      </c>
      <c r="B29" s="1257" t="s">
        <v>1122</v>
      </c>
      <c r="C29" s="1257"/>
      <c r="D29" s="1257"/>
      <c r="E29" s="1257" t="s">
        <v>1123</v>
      </c>
      <c r="F29" s="1257"/>
      <c r="G29" s="1257"/>
    </row>
    <row r="30" spans="1:9">
      <c r="A30" s="1256">
        <v>2</v>
      </c>
      <c r="B30" s="1257" t="s">
        <v>1124</v>
      </c>
      <c r="C30" s="1257">
        <f>C27*D30</f>
        <v>0</v>
      </c>
      <c r="D30" s="1259">
        <v>0.2</v>
      </c>
      <c r="E30" s="1257" t="s">
        <v>1125</v>
      </c>
      <c r="F30" s="1257"/>
      <c r="G30" s="1257"/>
    </row>
    <row r="31" spans="1:9">
      <c r="A31" s="1256">
        <v>3</v>
      </c>
      <c r="B31" s="1257" t="s">
        <v>1126</v>
      </c>
      <c r="C31" s="1257">
        <f>C25*D31</f>
        <v>0</v>
      </c>
      <c r="D31" s="1259">
        <v>0.15</v>
      </c>
      <c r="E31" s="1257" t="s">
        <v>1127</v>
      </c>
      <c r="F31" s="1257"/>
      <c r="G31" s="1257"/>
    </row>
    <row r="32" spans="1:9">
      <c r="A32" s="1256">
        <v>4</v>
      </c>
      <c r="B32" s="1257" t="s">
        <v>1128</v>
      </c>
      <c r="C32" s="1257">
        <f>C27*D32</f>
        <v>0</v>
      </c>
      <c r="D32" s="1259">
        <v>0.05</v>
      </c>
      <c r="E32" s="3332"/>
      <c r="F32" s="3332"/>
      <c r="G32" s="3332"/>
    </row>
    <row r="33" spans="1:7" hidden="1">
      <c r="A33" s="3342" t="s">
        <v>1129</v>
      </c>
      <c r="B33" s="3343"/>
      <c r="C33" s="3343"/>
      <c r="D33" s="3344"/>
      <c r="E33" s="3340"/>
      <c r="F33" s="3340"/>
      <c r="G33" s="3340"/>
    </row>
    <row r="34" spans="1:7" hidden="1">
      <c r="A34" s="1260">
        <v>1</v>
      </c>
      <c r="B34" s="1257" t="s">
        <v>1130</v>
      </c>
      <c r="C34" s="1257"/>
      <c r="D34" s="1257"/>
      <c r="E34" s="3341"/>
      <c r="F34" s="3341"/>
      <c r="G34" s="3341"/>
    </row>
    <row r="35" spans="1:7" hidden="1">
      <c r="A35" s="1260">
        <v>2</v>
      </c>
      <c r="B35" s="1257" t="s">
        <v>1131</v>
      </c>
      <c r="C35" s="1257"/>
      <c r="D35" s="1257"/>
      <c r="E35" s="3341"/>
      <c r="F35" s="3341"/>
      <c r="G35" s="3341"/>
    </row>
    <row r="36" spans="1:7" hidden="1">
      <c r="A36" s="1260">
        <v>3</v>
      </c>
      <c r="B36" s="1257" t="s">
        <v>1132</v>
      </c>
      <c r="C36" s="1257"/>
      <c r="D36" s="1257"/>
      <c r="E36" s="3341"/>
      <c r="F36" s="3341"/>
      <c r="G36" s="3341"/>
    </row>
    <row r="37" spans="1:7" hidden="1">
      <c r="A37" s="1260">
        <v>4</v>
      </c>
      <c r="B37" s="1257" t="s">
        <v>1133</v>
      </c>
      <c r="C37" s="1257"/>
      <c r="D37" s="1257"/>
      <c r="E37" s="3341"/>
      <c r="F37" s="3341"/>
      <c r="G37" s="3341"/>
    </row>
    <row r="38" spans="1:7" hidden="1">
      <c r="A38" s="3342" t="s">
        <v>1134</v>
      </c>
      <c r="B38" s="3343"/>
      <c r="C38" s="3343"/>
      <c r="D38" s="3344"/>
      <c r="E38" s="3340"/>
      <c r="F38" s="3340"/>
      <c r="G38" s="33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90" zoomScaleNormal="90" workbookViewId="0">
      <selection activeCell="F15" sqref="F15"/>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2399</v>
      </c>
      <c r="B1" s="2447" t="s">
        <v>2400</v>
      </c>
      <c r="C1" s="1564" t="s">
        <v>2401</v>
      </c>
      <c r="D1" s="1551" t="s">
        <v>3236</v>
      </c>
      <c r="E1" s="2448"/>
      <c r="F1" s="2449" t="s">
        <v>2402</v>
      </c>
      <c r="G1" s="1561" t="s">
        <v>2403</v>
      </c>
      <c r="H1" s="1560"/>
      <c r="I1" s="1560"/>
      <c r="J1" s="1560"/>
      <c r="K1" s="1562"/>
      <c r="L1" s="1563"/>
      <c r="M1" s="1564"/>
      <c r="N1" s="1564"/>
      <c r="O1" s="1564"/>
      <c r="P1" s="2450"/>
      <c r="Q1" s="1550"/>
      <c r="R1" s="1550"/>
      <c r="S1" s="1550"/>
      <c r="T1" s="1550"/>
      <c r="U1" s="1550"/>
      <c r="V1" s="1550"/>
      <c r="W1" s="1550"/>
      <c r="X1" s="1550"/>
      <c r="Y1" s="1550"/>
      <c r="Z1" s="1550"/>
      <c r="AA1" s="1550"/>
      <c r="AB1" s="1550"/>
      <c r="AC1" s="1558"/>
    </row>
    <row r="2" spans="1:29" s="336" customFormat="1" ht="28.5" customHeight="1" thickTop="1">
      <c r="A2" s="1547" t="s">
        <v>1394</v>
      </c>
      <c r="B2" s="1350">
        <f>IF(C2="——",ROUND(C49*D3/10000,0),ROUND(C49*D3/10000,0)-D2)</f>
        <v>343750</v>
      </c>
      <c r="C2" s="2451" t="s">
        <v>70</v>
      </c>
      <c r="D2" s="1297" t="e">
        <f ca="1">SUMIF(INDIRECT("'"&amp;F2&amp;"'"&amp;"!A:A"),"承租人权益价值",INDIRECT("'"&amp;F2&amp;"'"&amp;"!c:c"))</f>
        <v>#REF!</v>
      </c>
      <c r="E2" s="2452" t="s">
        <v>2404</v>
      </c>
      <c r="F2" s="2453"/>
      <c r="G2" s="1070"/>
      <c r="H2" s="1070"/>
      <c r="I2" s="1070"/>
      <c r="J2" s="1070"/>
      <c r="K2" s="2454"/>
      <c r="L2" s="2455"/>
      <c r="M2" s="2456"/>
      <c r="N2" s="2456"/>
      <c r="O2" s="2456"/>
      <c r="P2" s="2457"/>
      <c r="Q2" s="2458"/>
      <c r="R2" s="2458"/>
      <c r="S2" s="2458"/>
      <c r="T2" s="2458"/>
      <c r="U2" s="2458"/>
      <c r="V2" s="2458"/>
      <c r="W2" s="2458"/>
      <c r="X2" s="2458"/>
      <c r="Y2" s="2458"/>
      <c r="Z2" s="2458"/>
      <c r="AA2" s="2458"/>
      <c r="AB2" s="2458"/>
      <c r="AC2" s="2459"/>
    </row>
    <row r="3" spans="1:29" s="336" customFormat="1" ht="28.5" customHeight="1" thickBot="1">
      <c r="A3" s="190" t="s">
        <v>1395</v>
      </c>
      <c r="B3" s="342">
        <f>IF(C2="——",C49,ROUND(B2*10000/D3,0))</f>
        <v>44819</v>
      </c>
      <c r="C3" s="343" t="s">
        <v>2405</v>
      </c>
      <c r="D3" s="342">
        <f>IF(D1="",'数据-汇总表'!E3,SUMIF('数据-汇总表'!$C19:$C33,D1,'数据-汇总表'!$E19:$E33))</f>
        <v>76697.34</v>
      </c>
      <c r="E3" s="1070"/>
      <c r="F3" s="2460"/>
      <c r="G3" s="1070"/>
      <c r="H3" s="1070"/>
      <c r="I3" s="1070"/>
      <c r="J3" s="1070"/>
      <c r="K3" s="2454"/>
      <c r="L3" s="2455"/>
      <c r="M3" s="2456"/>
      <c r="N3" s="2456"/>
      <c r="O3" s="2456"/>
      <c r="P3" s="2457"/>
      <c r="Q3" s="2458"/>
      <c r="R3" s="2458"/>
      <c r="S3" s="2458"/>
      <c r="T3" s="2458"/>
      <c r="U3" s="2458"/>
      <c r="V3" s="2458"/>
      <c r="W3" s="2458"/>
      <c r="X3" s="2458"/>
      <c r="Y3" s="2458"/>
      <c r="Z3" s="2458"/>
      <c r="AA3" s="2458"/>
      <c r="AB3" s="2458"/>
      <c r="AC3" s="1214"/>
    </row>
    <row r="4" spans="1:29" ht="15">
      <c r="A4" s="344" t="s">
        <v>2406</v>
      </c>
      <c r="B4" s="345"/>
      <c r="C4" s="3292" t="s">
        <v>2407</v>
      </c>
      <c r="D4" s="3293"/>
      <c r="E4" s="3294" t="s">
        <v>2408</v>
      </c>
      <c r="F4" s="3295"/>
      <c r="G4" s="3292" t="s">
        <v>2409</v>
      </c>
      <c r="H4" s="3293"/>
      <c r="I4" s="3292" t="s">
        <v>2410</v>
      </c>
      <c r="J4" s="3293"/>
      <c r="K4" s="2461" t="s">
        <v>2411</v>
      </c>
      <c r="L4" s="1076"/>
      <c r="M4" s="1077"/>
      <c r="N4" s="1077"/>
      <c r="O4" s="1077"/>
      <c r="P4" s="3296" t="s">
        <v>2412</v>
      </c>
      <c r="Q4" s="3297"/>
      <c r="R4" s="3279" t="s">
        <v>2408</v>
      </c>
      <c r="S4" s="3280"/>
      <c r="T4" s="3279" t="s">
        <v>2409</v>
      </c>
      <c r="U4" s="3280"/>
      <c r="V4" s="3304" t="s">
        <v>2410</v>
      </c>
      <c r="W4" s="3304"/>
      <c r="X4" s="1740"/>
      <c r="Y4" s="3279" t="s">
        <v>2412</v>
      </c>
      <c r="Z4" s="3280"/>
      <c r="AA4" s="3274" t="s">
        <v>2408</v>
      </c>
      <c r="AB4" s="3274" t="s">
        <v>2409</v>
      </c>
      <c r="AC4" s="3274" t="s">
        <v>2410</v>
      </c>
    </row>
    <row r="5" spans="1:29" ht="33" customHeight="1">
      <c r="A5" s="347"/>
      <c r="B5" s="348"/>
      <c r="C5" s="3285" t="s">
        <v>2413</v>
      </c>
      <c r="D5" s="3286"/>
      <c r="E5" s="3345" t="s">
        <v>3217</v>
      </c>
      <c r="F5" s="3284"/>
      <c r="G5" s="3346" t="s">
        <v>3219</v>
      </c>
      <c r="H5" s="3286"/>
      <c r="I5" s="3346" t="s">
        <v>3221</v>
      </c>
      <c r="J5" s="3286"/>
      <c r="K5" s="2462"/>
      <c r="L5" s="1076"/>
      <c r="M5" s="1077"/>
      <c r="N5" s="1077"/>
      <c r="O5" s="1077"/>
      <c r="P5" s="3298"/>
      <c r="Q5" s="3299"/>
      <c r="R5" s="3281"/>
      <c r="S5" s="3282"/>
      <c r="T5" s="3281"/>
      <c r="U5" s="3282"/>
      <c r="V5" s="3304"/>
      <c r="W5" s="3304"/>
      <c r="X5" s="1740"/>
      <c r="Y5" s="3281"/>
      <c r="Z5" s="3282"/>
      <c r="AA5" s="3275"/>
      <c r="AB5" s="3275"/>
      <c r="AC5" s="3275"/>
    </row>
    <row r="6" spans="1:29" ht="33" customHeight="1" thickBot="1">
      <c r="A6" s="349"/>
      <c r="B6" s="350"/>
      <c r="C6" s="3287" t="s">
        <v>2417</v>
      </c>
      <c r="D6" s="3288"/>
      <c r="E6" s="3347" t="s">
        <v>3218</v>
      </c>
      <c r="F6" s="3290"/>
      <c r="G6" s="3348" t="s">
        <v>3220</v>
      </c>
      <c r="H6" s="3288"/>
      <c r="I6" s="3348" t="s">
        <v>3222</v>
      </c>
      <c r="J6" s="3288"/>
      <c r="K6" s="2462" t="s">
        <v>2418</v>
      </c>
      <c r="L6" s="1076"/>
      <c r="M6" s="1077"/>
      <c r="N6" s="1077"/>
      <c r="O6" s="1077"/>
      <c r="P6" s="3300"/>
      <c r="Q6" s="3301"/>
      <c r="R6" s="3281"/>
      <c r="S6" s="3282"/>
      <c r="T6" s="3302"/>
      <c r="U6" s="3303"/>
      <c r="V6" s="3304"/>
      <c r="W6" s="3304"/>
      <c r="X6" s="1740"/>
      <c r="Y6" s="3302"/>
      <c r="Z6" s="3303"/>
      <c r="AA6" s="3276"/>
      <c r="AB6" s="3276"/>
      <c r="AC6" s="3276"/>
    </row>
    <row r="7" spans="1:29" s="72" customFormat="1" ht="15.75" thickBot="1">
      <c r="A7" s="351" t="s">
        <v>2419</v>
      </c>
      <c r="B7" s="352"/>
      <c r="C7" s="353">
        <f>'数据-取费表'!B2</f>
        <v>43284</v>
      </c>
      <c r="D7" s="354">
        <v>100</v>
      </c>
      <c r="E7" s="355">
        <v>43282</v>
      </c>
      <c r="F7" s="356">
        <f>SUMIF(58:58,YEAR(E7)&amp;"-"&amp;MONTH(E7),59:59)</f>
        <v>100</v>
      </c>
      <c r="G7" s="2559">
        <f>E7</f>
        <v>43282</v>
      </c>
      <c r="H7" s="354">
        <f>SUMIF(58:58,YEAR(G7)&amp;"-"&amp;MONTH(G7),59:59)</f>
        <v>100</v>
      </c>
      <c r="I7" s="355">
        <f>E7</f>
        <v>43282</v>
      </c>
      <c r="J7" s="354">
        <f>SUMIF(58:58,YEAR(I7)&amp;"-"&amp;MONTH(I7),59:59)</f>
        <v>100</v>
      </c>
      <c r="K7" s="2463"/>
      <c r="L7" s="1078"/>
      <c r="M7" s="1079"/>
      <c r="N7" s="1079"/>
      <c r="O7" s="1079"/>
      <c r="P7" s="3277" t="s">
        <v>2420</v>
      </c>
      <c r="Q7" s="3305"/>
      <c r="R7" s="713" t="s">
        <v>23</v>
      </c>
      <c r="S7" s="714">
        <f t="shared" ref="S7:S15" si="0">F7</f>
        <v>100</v>
      </c>
      <c r="T7" s="713" t="s">
        <v>23</v>
      </c>
      <c r="U7" s="714">
        <f t="shared" ref="U7:U15" si="1">H7</f>
        <v>100</v>
      </c>
      <c r="V7" s="713" t="s">
        <v>23</v>
      </c>
      <c r="W7" s="714">
        <f t="shared" ref="W7:W15" si="2">J7</f>
        <v>100</v>
      </c>
      <c r="X7" s="715"/>
      <c r="Y7" s="3277" t="s">
        <v>2420</v>
      </c>
      <c r="Z7" s="3278"/>
      <c r="AA7" s="716">
        <f>D7/F7</f>
        <v>1</v>
      </c>
      <c r="AB7" s="716">
        <f>D7/H7</f>
        <v>1</v>
      </c>
      <c r="AC7" s="716">
        <f>D7/J7</f>
        <v>1</v>
      </c>
    </row>
    <row r="8" spans="1:29" s="72" customFormat="1" ht="15.75" thickBot="1">
      <c r="A8" s="351" t="s">
        <v>2421</v>
      </c>
      <c r="B8" s="352"/>
      <c r="C8" s="357" t="s">
        <v>2422</v>
      </c>
      <c r="D8" s="354">
        <v>100</v>
      </c>
      <c r="E8" s="2464" t="s">
        <v>3163</v>
      </c>
      <c r="F8" s="356">
        <f>SUMIF(61:61,E8,62:62)-SUMIF(61:61,C8,62:62)+100</f>
        <v>100</v>
      </c>
      <c r="G8" s="357" t="s">
        <v>3163</v>
      </c>
      <c r="H8" s="354">
        <f>SUMIF(61:61,G8,62:62)-SUMIF(61:61,C8,62:62)+100</f>
        <v>100</v>
      </c>
      <c r="I8" s="2464" t="s">
        <v>3163</v>
      </c>
      <c r="J8" s="354">
        <f>SUMIF(61:61,I8,62:62)-SUMIF(61:61,C8,62:62)+100</f>
        <v>100</v>
      </c>
      <c r="K8" s="2463"/>
      <c r="L8" s="1078"/>
      <c r="M8" s="1079"/>
      <c r="N8" s="1079"/>
      <c r="O8" s="1079"/>
      <c r="P8" s="3277" t="s">
        <v>2423</v>
      </c>
      <c r="Q8" s="3278"/>
      <c r="R8" s="713" t="s">
        <v>23</v>
      </c>
      <c r="S8" s="714">
        <f t="shared" si="0"/>
        <v>100</v>
      </c>
      <c r="T8" s="713" t="s">
        <v>23</v>
      </c>
      <c r="U8" s="714">
        <f t="shared" si="1"/>
        <v>100</v>
      </c>
      <c r="V8" s="713" t="s">
        <v>23</v>
      </c>
      <c r="W8" s="714">
        <f t="shared" si="2"/>
        <v>100</v>
      </c>
      <c r="X8" s="715"/>
      <c r="Y8" s="3277" t="s">
        <v>2423</v>
      </c>
      <c r="Z8" s="3278"/>
      <c r="AA8" s="716">
        <f t="shared" ref="AA8:AA19" si="3">D8/F8</f>
        <v>1</v>
      </c>
      <c r="AB8" s="716">
        <f t="shared" ref="AB8:AB19" si="4">D8/H8</f>
        <v>1</v>
      </c>
      <c r="AC8" s="716">
        <f t="shared" ref="AC8:AC19" si="5">D8/J8</f>
        <v>1</v>
      </c>
    </row>
    <row r="9" spans="1:29" s="72" customFormat="1">
      <c r="A9" s="358" t="s">
        <v>2424</v>
      </c>
      <c r="B9" s="70" t="s">
        <v>2425</v>
      </c>
      <c r="C9" s="2831" t="s">
        <v>3223</v>
      </c>
      <c r="D9" s="78">
        <v>100</v>
      </c>
      <c r="E9" s="360" t="s">
        <v>3193</v>
      </c>
      <c r="F9" s="361">
        <f>SUMIF(63:63,E9,64:64)-SUMIF(63:63,C9,64:64)+100</f>
        <v>100</v>
      </c>
      <c r="G9" s="362" t="s">
        <v>3193</v>
      </c>
      <c r="H9" s="78">
        <f>SUMIF(63:63,G9,64:64)-SUMIF(63:63,C9,64:64)+100</f>
        <v>100</v>
      </c>
      <c r="I9" s="360" t="s">
        <v>3193</v>
      </c>
      <c r="J9" s="78">
        <f>SUMIF(63:63,I9,64:64)-SUMIF(63:63,C9,64:64)+100</f>
        <v>100</v>
      </c>
      <c r="K9" s="2463"/>
      <c r="L9" s="1078"/>
      <c r="M9" s="1079"/>
      <c r="N9" s="1079"/>
      <c r="O9" s="1079"/>
      <c r="P9" s="3315"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716">
        <f t="shared" si="5"/>
        <v>1</v>
      </c>
    </row>
    <row r="10" spans="1:29" s="370" customFormat="1" ht="27">
      <c r="A10" s="364"/>
      <c r="B10" s="365" t="s">
        <v>2428</v>
      </c>
      <c r="C10" s="366" t="s">
        <v>3224</v>
      </c>
      <c r="D10" s="79">
        <v>100</v>
      </c>
      <c r="E10" s="367" t="s">
        <v>3224</v>
      </c>
      <c r="F10" s="368">
        <f>SUMIF(65:65,E10,66:66)-SUMIF(65:65,C10,66:66)+100</f>
        <v>100</v>
      </c>
      <c r="G10" s="366" t="s">
        <v>3224</v>
      </c>
      <c r="H10" s="79">
        <f>SUMIF(65:65,G10,66:66)-SUMIF(65:65,C10,66:66)+100</f>
        <v>100</v>
      </c>
      <c r="I10" s="367" t="s">
        <v>3224</v>
      </c>
      <c r="J10" s="79">
        <f>SUMIF(65:65,I10,66:66)-SUMIF(65:65,C10,66:66)+100</f>
        <v>100</v>
      </c>
      <c r="K10" s="369">
        <v>1</v>
      </c>
      <c r="L10" s="1081"/>
      <c r="M10" s="1082"/>
      <c r="N10" s="1082"/>
      <c r="O10" s="1082"/>
      <c r="P10" s="3315"/>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716">
        <f t="shared" si="5"/>
        <v>1</v>
      </c>
    </row>
    <row r="11" spans="1:29" ht="15.75" thickBot="1">
      <c r="A11" s="371"/>
      <c r="B11" s="365" t="s">
        <v>2429</v>
      </c>
      <c r="C11" s="372">
        <f>'数据-汇总表'!I6</f>
        <v>1.9</v>
      </c>
      <c r="D11" s="79">
        <v>100</v>
      </c>
      <c r="E11" s="373">
        <v>2</v>
      </c>
      <c r="F11" s="368">
        <f>LOOKUP(E11,68:68,69:69)-LOOKUP(C11,68:68,69:69)+100</f>
        <v>98</v>
      </c>
      <c r="G11" s="2843">
        <v>1.5</v>
      </c>
      <c r="H11" s="80">
        <f>LOOKUP(G11,68:68,69:69)-LOOKUP(C11,68:68,69:69)+100</f>
        <v>100</v>
      </c>
      <c r="I11" s="372">
        <v>2</v>
      </c>
      <c r="J11" s="79">
        <f>LOOKUP(I11,68:68,69:69)-LOOKUP(C11,68:68,69:69)+100</f>
        <v>98</v>
      </c>
      <c r="K11" s="369">
        <v>2</v>
      </c>
      <c r="L11" s="1084"/>
      <c r="M11" s="1077"/>
      <c r="N11" s="1077"/>
      <c r="O11" s="1077"/>
      <c r="P11" s="3315"/>
      <c r="Q11" s="1723" t="str">
        <f t="shared" si="6"/>
        <v>容积率</v>
      </c>
      <c r="R11" s="713" t="s">
        <v>21</v>
      </c>
      <c r="S11" s="714">
        <f t="shared" si="0"/>
        <v>98</v>
      </c>
      <c r="T11" s="713" t="s">
        <v>21</v>
      </c>
      <c r="U11" s="714">
        <f t="shared" si="1"/>
        <v>100</v>
      </c>
      <c r="V11" s="713" t="s">
        <v>21</v>
      </c>
      <c r="W11" s="714">
        <f t="shared" si="2"/>
        <v>98</v>
      </c>
      <c r="X11" s="715"/>
      <c r="Y11" s="3113"/>
      <c r="Z11" s="54" t="str">
        <f t="shared" si="7"/>
        <v>容积率</v>
      </c>
      <c r="AA11" s="716">
        <f t="shared" si="3"/>
        <v>1.0204081632653061</v>
      </c>
      <c r="AB11" s="716">
        <f t="shared" si="4"/>
        <v>1</v>
      </c>
      <c r="AC11" s="716">
        <f t="shared" si="5"/>
        <v>1.0204081632653061</v>
      </c>
    </row>
    <row r="12" spans="1:29" s="72" customFormat="1" ht="15" hidden="1">
      <c r="A12" s="374"/>
      <c r="B12" s="2465"/>
      <c r="C12" s="375"/>
      <c r="D12" s="376">
        <v>100</v>
      </c>
      <c r="E12" s="375"/>
      <c r="F12" s="368">
        <f>SUMIF(70:70,E12,71:71)-SUMIF(70:70,C12,71:71)+100</f>
        <v>100</v>
      </c>
      <c r="G12" s="375"/>
      <c r="H12" s="405">
        <f>SUMIF(70:70,G12,71:71)-SUMIF(70:70,C12,71:71)+100</f>
        <v>100</v>
      </c>
      <c r="I12" s="375"/>
      <c r="J12" s="79">
        <f>SUMIF(70:70,I12,71:71)-SUMIF(70:70,C12,71:71)+100</f>
        <v>100</v>
      </c>
      <c r="K12" s="2466"/>
      <c r="L12" s="1078"/>
      <c r="M12" s="1079"/>
      <c r="N12" s="1079"/>
      <c r="O12" s="1079"/>
      <c r="P12" s="3315"/>
      <c r="Q12" s="1723">
        <f t="shared" si="6"/>
        <v>0</v>
      </c>
      <c r="R12" s="713" t="s">
        <v>21</v>
      </c>
      <c r="S12" s="714">
        <f t="shared" si="0"/>
        <v>100</v>
      </c>
      <c r="T12" s="713" t="s">
        <v>21</v>
      </c>
      <c r="U12" s="714">
        <f t="shared" si="1"/>
        <v>100</v>
      </c>
      <c r="V12" s="713" t="s">
        <v>21</v>
      </c>
      <c r="W12" s="714">
        <f t="shared" si="2"/>
        <v>100</v>
      </c>
      <c r="X12" s="715"/>
      <c r="Y12" s="3113"/>
      <c r="Z12" s="54">
        <f t="shared" si="7"/>
        <v>0</v>
      </c>
      <c r="AA12" s="716">
        <f>D12/F12</f>
        <v>1</v>
      </c>
      <c r="AB12" s="716">
        <f>D12/H12</f>
        <v>1</v>
      </c>
      <c r="AC12" s="716">
        <f>D12/J12</f>
        <v>1</v>
      </c>
    </row>
    <row r="13" spans="1:29" ht="15" hidden="1">
      <c r="A13" s="371"/>
      <c r="B13" s="2465"/>
      <c r="C13" s="377"/>
      <c r="D13" s="378">
        <v>100</v>
      </c>
      <c r="E13" s="377"/>
      <c r="F13" s="368">
        <f>SUMIF(72:72,E13,73:73)-SUMIF(72:72,C13,73:73)+100</f>
        <v>100</v>
      </c>
      <c r="G13" s="377"/>
      <c r="H13" s="378">
        <f>SUMIF(72:72,G13,73:73)-SUMIF(72:72,C13,73:73)+100</f>
        <v>100</v>
      </c>
      <c r="I13" s="377"/>
      <c r="J13" s="378">
        <f>SUMIF(72:72,I13,73:73)-SUMIF(72:72,C13,73:73)+100</f>
        <v>100</v>
      </c>
      <c r="K13" s="2466"/>
      <c r="L13" s="1086"/>
      <c r="M13" s="1077"/>
      <c r="N13" s="1077"/>
      <c r="O13" s="1077"/>
      <c r="P13" s="3315"/>
      <c r="Q13" s="1723">
        <f t="shared" si="6"/>
        <v>0</v>
      </c>
      <c r="R13" s="713" t="s">
        <v>21</v>
      </c>
      <c r="S13" s="714">
        <f t="shared" si="0"/>
        <v>100</v>
      </c>
      <c r="T13" s="713" t="s">
        <v>21</v>
      </c>
      <c r="U13" s="714">
        <f t="shared" si="1"/>
        <v>100</v>
      </c>
      <c r="V13" s="713" t="s">
        <v>21</v>
      </c>
      <c r="W13" s="714">
        <f t="shared" si="2"/>
        <v>100</v>
      </c>
      <c r="X13" s="715"/>
      <c r="Y13" s="3113"/>
      <c r="Z13" s="54">
        <f t="shared" si="7"/>
        <v>0</v>
      </c>
      <c r="AA13" s="716">
        <f t="shared" si="3"/>
        <v>1</v>
      </c>
      <c r="AB13" s="716">
        <f t="shared" si="4"/>
        <v>1</v>
      </c>
      <c r="AC13" s="716">
        <f t="shared" si="5"/>
        <v>1</v>
      </c>
    </row>
    <row r="14" spans="1:29" ht="15.75" hidden="1" thickBot="1">
      <c r="A14" s="379"/>
      <c r="B14" s="2467"/>
      <c r="C14" s="380"/>
      <c r="D14" s="381">
        <v>100</v>
      </c>
      <c r="E14" s="380"/>
      <c r="F14" s="382">
        <f>SUMIF(74:74,E14,75:75)-SUMIF(74:74,C14,75:75)+100</f>
        <v>100</v>
      </c>
      <c r="G14" s="380"/>
      <c r="H14" s="381">
        <f>SUMIF(74:74,G14,75:75)-SUMIF(74:74,C14,75:75)+100</f>
        <v>100</v>
      </c>
      <c r="I14" s="380"/>
      <c r="J14" s="381">
        <f>SUMIF(74:74,I14,75:75)-SUMIF(74:74,C14,75:75)+100</f>
        <v>100</v>
      </c>
      <c r="K14" s="2466"/>
      <c r="L14" s="1086"/>
      <c r="M14" s="1077"/>
      <c r="N14" s="1077"/>
      <c r="O14" s="1077"/>
      <c r="P14" s="3315"/>
      <c r="Q14" s="1723">
        <f t="shared" si="6"/>
        <v>0</v>
      </c>
      <c r="R14" s="713" t="s">
        <v>21</v>
      </c>
      <c r="S14" s="714">
        <f t="shared" si="0"/>
        <v>100</v>
      </c>
      <c r="T14" s="713" t="s">
        <v>21</v>
      </c>
      <c r="U14" s="714">
        <f t="shared" si="1"/>
        <v>100</v>
      </c>
      <c r="V14" s="713" t="s">
        <v>21</v>
      </c>
      <c r="W14" s="714">
        <f t="shared" si="2"/>
        <v>100</v>
      </c>
      <c r="X14" s="715"/>
      <c r="Y14" s="3113"/>
      <c r="Z14" s="54">
        <f t="shared" si="7"/>
        <v>0</v>
      </c>
      <c r="AA14" s="716">
        <f t="shared" si="3"/>
        <v>1</v>
      </c>
      <c r="AB14" s="716">
        <f t="shared" si="4"/>
        <v>1</v>
      </c>
      <c r="AC14" s="716">
        <f t="shared" si="5"/>
        <v>1</v>
      </c>
    </row>
    <row r="15" spans="1:29" ht="99.75">
      <c r="A15" s="383" t="s">
        <v>2430</v>
      </c>
      <c r="B15" s="68" t="s">
        <v>1968</v>
      </c>
      <c r="C15" s="2468"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v>5</v>
      </c>
      <c r="L15" s="1086"/>
      <c r="M15" s="1077"/>
      <c r="N15" s="1077"/>
      <c r="O15" s="1077"/>
      <c r="P15" s="3355" t="s">
        <v>2431</v>
      </c>
      <c r="Q15" s="1737" t="str">
        <f t="shared" si="6"/>
        <v>居住社区成熟度</v>
      </c>
      <c r="R15" s="717" t="s">
        <v>21</v>
      </c>
      <c r="S15" s="718">
        <f t="shared" si="0"/>
        <v>100</v>
      </c>
      <c r="T15" s="717" t="s">
        <v>21</v>
      </c>
      <c r="U15" s="718">
        <f t="shared" si="1"/>
        <v>100</v>
      </c>
      <c r="V15" s="717" t="s">
        <v>21</v>
      </c>
      <c r="W15" s="718">
        <f t="shared" si="2"/>
        <v>100</v>
      </c>
      <c r="X15" s="1740"/>
      <c r="Y15" s="3306" t="s">
        <v>2431</v>
      </c>
      <c r="Z15" s="1741" t="str">
        <f t="shared" si="7"/>
        <v>居住社区成熟度</v>
      </c>
      <c r="AA15" s="1738">
        <f t="shared" si="3"/>
        <v>1</v>
      </c>
      <c r="AB15" s="1738">
        <f t="shared" si="4"/>
        <v>1</v>
      </c>
      <c r="AC15" s="1738">
        <f t="shared" si="5"/>
        <v>1</v>
      </c>
    </row>
    <row r="16" spans="1:29" ht="15">
      <c r="A16" s="371"/>
      <c r="B16" s="389"/>
      <c r="C16" s="390" t="s">
        <v>3185</v>
      </c>
      <c r="D16" s="391"/>
      <c r="E16" s="2469" t="s">
        <v>3185</v>
      </c>
      <c r="F16" s="391"/>
      <c r="G16" s="2470" t="s">
        <v>3185</v>
      </c>
      <c r="H16" s="393"/>
      <c r="I16" s="2470" t="s">
        <v>3185</v>
      </c>
      <c r="J16" s="391"/>
      <c r="K16" s="2471"/>
      <c r="L16" s="1086"/>
      <c r="M16" s="1077"/>
      <c r="N16" s="1077"/>
      <c r="O16" s="1077"/>
      <c r="P16" s="3356"/>
      <c r="Q16" s="1737"/>
      <c r="R16" s="717"/>
      <c r="S16" s="718"/>
      <c r="T16" s="717"/>
      <c r="U16" s="718"/>
      <c r="V16" s="717"/>
      <c r="W16" s="718"/>
      <c r="X16" s="1740"/>
      <c r="Y16" s="3307"/>
      <c r="Z16" s="1741"/>
      <c r="AA16" s="1738">
        <v>1</v>
      </c>
      <c r="AB16" s="1738">
        <v>1</v>
      </c>
      <c r="AC16" s="1738">
        <v>1</v>
      </c>
    </row>
    <row r="17" spans="1:29" ht="85.5">
      <c r="A17" s="371"/>
      <c r="B17" s="394" t="s">
        <v>1977</v>
      </c>
      <c r="C17" s="2472"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v>3</v>
      </c>
      <c r="L17" s="1086"/>
      <c r="M17" s="1077"/>
      <c r="N17" s="1077"/>
      <c r="O17" s="1077"/>
      <c r="P17" s="3356"/>
      <c r="Q17" s="1737" t="str">
        <f>B17</f>
        <v>交通便捷度</v>
      </c>
      <c r="R17" s="717" t="s">
        <v>21</v>
      </c>
      <c r="S17" s="718">
        <f>F17</f>
        <v>100</v>
      </c>
      <c r="T17" s="717" t="s">
        <v>21</v>
      </c>
      <c r="U17" s="718">
        <f>H17</f>
        <v>100</v>
      </c>
      <c r="V17" s="717" t="s">
        <v>21</v>
      </c>
      <c r="W17" s="718">
        <f>J17</f>
        <v>100</v>
      </c>
      <c r="X17" s="1740"/>
      <c r="Y17" s="3307"/>
      <c r="Z17" s="1741" t="str">
        <f>Q17</f>
        <v>交通便捷度</v>
      </c>
      <c r="AA17" s="1738">
        <f t="shared" si="3"/>
        <v>1</v>
      </c>
      <c r="AB17" s="1738">
        <f t="shared" si="4"/>
        <v>1</v>
      </c>
      <c r="AC17" s="1738">
        <f t="shared" si="5"/>
        <v>1</v>
      </c>
    </row>
    <row r="18" spans="1:29" ht="15">
      <c r="A18" s="371"/>
      <c r="B18" s="399"/>
      <c r="C18" s="2473" t="s">
        <v>3178</v>
      </c>
      <c r="D18" s="393"/>
      <c r="E18" s="2474" t="s">
        <v>3178</v>
      </c>
      <c r="F18" s="393"/>
      <c r="G18" s="2475" t="s">
        <v>3178</v>
      </c>
      <c r="H18" s="391"/>
      <c r="I18" s="2475" t="s">
        <v>3178</v>
      </c>
      <c r="J18" s="391"/>
      <c r="K18" s="2471"/>
      <c r="L18" s="1086"/>
      <c r="M18" s="1077"/>
      <c r="N18" s="1077"/>
      <c r="O18" s="1077"/>
      <c r="P18" s="3356"/>
      <c r="Q18" s="1737"/>
      <c r="R18" s="717"/>
      <c r="S18" s="718"/>
      <c r="T18" s="717"/>
      <c r="U18" s="718"/>
      <c r="V18" s="717"/>
      <c r="W18" s="718"/>
      <c r="X18" s="1740"/>
      <c r="Y18" s="3307"/>
      <c r="Z18" s="1741"/>
      <c r="AA18" s="1738">
        <v>1</v>
      </c>
      <c r="AB18" s="1738">
        <v>1</v>
      </c>
      <c r="AC18" s="1738">
        <v>1</v>
      </c>
    </row>
    <row r="19" spans="1:29" ht="15">
      <c r="A19" s="371"/>
      <c r="B19" s="394" t="s">
        <v>1976</v>
      </c>
      <c r="C19" s="2472">
        <f>估价对象房地状况!C7</f>
        <v>0</v>
      </c>
      <c r="D19" s="398">
        <v>100</v>
      </c>
      <c r="E19" s="402"/>
      <c r="F19" s="398">
        <f>SUMIF(80:80,E20,81:81)-SUMIF(80:80,C20,81:81)+100</f>
        <v>100</v>
      </c>
      <c r="G19" s="400"/>
      <c r="H19" s="393">
        <f>SUMIF(80:80,G20,81:81)-SUMIF(80:80,C20,81:81)+100</f>
        <v>100</v>
      </c>
      <c r="I19" s="400"/>
      <c r="J19" s="393">
        <f>SUMIF(80:80,I20,81:81)-SUMIF(80:80,C20,81:81)+100</f>
        <v>100</v>
      </c>
      <c r="K19" s="388">
        <v>5</v>
      </c>
      <c r="L19" s="1086"/>
      <c r="M19" s="1077"/>
      <c r="N19" s="1077"/>
      <c r="O19" s="1077"/>
      <c r="P19" s="3356"/>
      <c r="Q19" s="1737" t="str">
        <f>B19</f>
        <v>公共配套设施</v>
      </c>
      <c r="R19" s="717" t="s">
        <v>21</v>
      </c>
      <c r="S19" s="718">
        <f>F19</f>
        <v>100</v>
      </c>
      <c r="T19" s="717" t="s">
        <v>21</v>
      </c>
      <c r="U19" s="718">
        <f>H19</f>
        <v>100</v>
      </c>
      <c r="V19" s="717" t="s">
        <v>21</v>
      </c>
      <c r="W19" s="718">
        <f>J19</f>
        <v>100</v>
      </c>
      <c r="X19" s="1740"/>
      <c r="Y19" s="3307"/>
      <c r="Z19" s="1741" t="str">
        <f>Q19</f>
        <v>公共配套设施</v>
      </c>
      <c r="AA19" s="1738">
        <f t="shared" si="3"/>
        <v>1</v>
      </c>
      <c r="AB19" s="1738">
        <f t="shared" si="4"/>
        <v>1</v>
      </c>
      <c r="AC19" s="1738">
        <f t="shared" si="5"/>
        <v>1</v>
      </c>
    </row>
    <row r="20" spans="1:29" ht="15">
      <c r="A20" s="371"/>
      <c r="B20" s="399"/>
      <c r="C20" s="390" t="s">
        <v>3185</v>
      </c>
      <c r="D20" s="391"/>
      <c r="E20" s="2469" t="s">
        <v>3185</v>
      </c>
      <c r="F20" s="391"/>
      <c r="G20" s="2470" t="s">
        <v>3185</v>
      </c>
      <c r="H20" s="391"/>
      <c r="I20" s="2470" t="s">
        <v>3185</v>
      </c>
      <c r="J20" s="391"/>
      <c r="K20" s="2471"/>
      <c r="L20" s="1086"/>
      <c r="M20" s="1077"/>
      <c r="N20" s="1077"/>
      <c r="O20" s="1077"/>
      <c r="P20" s="3356"/>
      <c r="Q20" s="1737"/>
      <c r="R20" s="717"/>
      <c r="S20" s="718"/>
      <c r="T20" s="717"/>
      <c r="U20" s="718"/>
      <c r="V20" s="717"/>
      <c r="W20" s="718"/>
      <c r="X20" s="1740"/>
      <c r="Y20" s="3307"/>
      <c r="Z20" s="1741"/>
      <c r="AA20" s="1738">
        <v>1</v>
      </c>
      <c r="AB20" s="1738">
        <v>1</v>
      </c>
      <c r="AC20" s="1738">
        <v>1</v>
      </c>
    </row>
    <row r="21" spans="1:29" ht="15">
      <c r="A21" s="371"/>
      <c r="B21" s="1316" t="s">
        <v>1978</v>
      </c>
      <c r="C21" s="2472">
        <f>估价对象房地状况!C8</f>
        <v>0</v>
      </c>
      <c r="D21" s="393">
        <v>100</v>
      </c>
      <c r="E21" s="402"/>
      <c r="F21" s="398">
        <f>SUMIF(82:82,E22,83:83)-SUMIF(82:82,C22,83:83)+100</f>
        <v>100</v>
      </c>
      <c r="G21" s="400"/>
      <c r="H21" s="393">
        <f>SUMIF(82:82,G22,83:83)-SUMIF(82:82,C22,83:83)+100</f>
        <v>100</v>
      </c>
      <c r="I21" s="400"/>
      <c r="J21" s="393">
        <f>SUMIF(82:82,I22,83:83)-SUMIF(82:82,C22,83:83)+100</f>
        <v>100</v>
      </c>
      <c r="K21" s="388">
        <v>2</v>
      </c>
      <c r="L21" s="1086"/>
      <c r="M21" s="1077"/>
      <c r="N21" s="1077"/>
      <c r="O21" s="1077"/>
      <c r="P21" s="3356"/>
      <c r="Q21" s="1737" t="str">
        <f>B21</f>
        <v>基础设施水平</v>
      </c>
      <c r="R21" s="717" t="s">
        <v>17</v>
      </c>
      <c r="S21" s="718">
        <f>F21</f>
        <v>100</v>
      </c>
      <c r="T21" s="717" t="s">
        <v>17</v>
      </c>
      <c r="U21" s="718">
        <f>H21</f>
        <v>100</v>
      </c>
      <c r="V21" s="717" t="s">
        <v>17</v>
      </c>
      <c r="W21" s="718">
        <f>J21</f>
        <v>100</v>
      </c>
      <c r="X21" s="1740"/>
      <c r="Y21" s="3307"/>
      <c r="Z21" s="1741" t="str">
        <f>Q21</f>
        <v>基础设施水平</v>
      </c>
      <c r="AA21" s="1738">
        <f t="shared" ref="AA21" si="8">D21/F21</f>
        <v>1</v>
      </c>
      <c r="AB21" s="1738">
        <f t="shared" ref="AB21" si="9">D21/H21</f>
        <v>1</v>
      </c>
      <c r="AC21" s="1738">
        <f t="shared" ref="AC21" si="10">D21/J21</f>
        <v>1</v>
      </c>
    </row>
    <row r="22" spans="1:29" ht="15">
      <c r="A22" s="371"/>
      <c r="B22" s="1316"/>
      <c r="C22" s="2473" t="s">
        <v>3186</v>
      </c>
      <c r="D22" s="391"/>
      <c r="E22" s="390" t="s">
        <v>3186</v>
      </c>
      <c r="F22" s="391"/>
      <c r="G22" s="2476" t="s">
        <v>3186</v>
      </c>
      <c r="H22" s="391"/>
      <c r="I22" s="2476" t="s">
        <v>3186</v>
      </c>
      <c r="J22" s="391"/>
      <c r="K22" s="2477"/>
      <c r="L22" s="1086"/>
      <c r="M22" s="1077"/>
      <c r="N22" s="1077"/>
      <c r="O22" s="1077"/>
      <c r="P22" s="3356"/>
      <c r="Q22" s="1737"/>
      <c r="R22" s="717"/>
      <c r="S22" s="718"/>
      <c r="T22" s="717"/>
      <c r="U22" s="718"/>
      <c r="V22" s="717"/>
      <c r="W22" s="718"/>
      <c r="X22" s="1740"/>
      <c r="Y22" s="3307"/>
      <c r="Z22" s="1741"/>
      <c r="AA22" s="1738">
        <v>1</v>
      </c>
      <c r="AB22" s="1738">
        <v>1</v>
      </c>
      <c r="AC22" s="1738">
        <v>1</v>
      </c>
    </row>
    <row r="23" spans="1:29" ht="15">
      <c r="A23" s="371"/>
      <c r="B23" s="394" t="s">
        <v>1980</v>
      </c>
      <c r="C23" s="2472">
        <f>估价对象房地状况!C9</f>
        <v>0</v>
      </c>
      <c r="D23" s="393">
        <v>100</v>
      </c>
      <c r="E23" s="397"/>
      <c r="F23" s="393">
        <f>SUMIF(84:84,E24,85:85)-SUMIF(84:84,C24,85:85)+100</f>
        <v>100</v>
      </c>
      <c r="G23" s="395"/>
      <c r="H23" s="393">
        <f>SUMIF(84:84,G24,85:85)-SUMIF(84:84,C24,85:85)+100</f>
        <v>100</v>
      </c>
      <c r="I23" s="395"/>
      <c r="J23" s="393">
        <f>SUMIF(84:84,I24,85:85)-SUMIF(84:84,C24,85:85)+100</f>
        <v>100</v>
      </c>
      <c r="K23" s="388">
        <v>3</v>
      </c>
      <c r="L23" s="1086"/>
      <c r="M23" s="1077"/>
      <c r="N23" s="1077"/>
      <c r="O23" s="1077"/>
      <c r="P23" s="3356"/>
      <c r="Q23" s="1737" t="str">
        <f>B23</f>
        <v>自然及人文环境</v>
      </c>
      <c r="R23" s="717" t="s">
        <v>21</v>
      </c>
      <c r="S23" s="718">
        <f>F23</f>
        <v>100</v>
      </c>
      <c r="T23" s="717" t="s">
        <v>21</v>
      </c>
      <c r="U23" s="718">
        <f>H23</f>
        <v>100</v>
      </c>
      <c r="V23" s="717" t="s">
        <v>21</v>
      </c>
      <c r="W23" s="718">
        <f>J23</f>
        <v>100</v>
      </c>
      <c r="X23" s="1740"/>
      <c r="Y23" s="3307"/>
      <c r="Z23" s="1741" t="str">
        <f>Q23</f>
        <v>自然及人文环境</v>
      </c>
      <c r="AA23" s="1738">
        <f>D23/F23</f>
        <v>1</v>
      </c>
      <c r="AB23" s="1738">
        <f>D23/H23</f>
        <v>1</v>
      </c>
      <c r="AC23" s="1738">
        <f>D23/J23</f>
        <v>1</v>
      </c>
    </row>
    <row r="24" spans="1:29" ht="15.75" thickBot="1">
      <c r="A24" s="371"/>
      <c r="B24" s="399"/>
      <c r="C24" s="390" t="s">
        <v>3178</v>
      </c>
      <c r="D24" s="391"/>
      <c r="E24" s="2469" t="s">
        <v>3178</v>
      </c>
      <c r="F24" s="391"/>
      <c r="G24" s="2470" t="s">
        <v>3178</v>
      </c>
      <c r="H24" s="391"/>
      <c r="I24" s="2470" t="s">
        <v>3178</v>
      </c>
      <c r="J24" s="391"/>
      <c r="K24" s="2471"/>
      <c r="L24" s="1086"/>
      <c r="M24" s="1077"/>
      <c r="N24" s="1077"/>
      <c r="O24" s="1077"/>
      <c r="P24" s="3356"/>
      <c r="Q24" s="1737"/>
      <c r="R24" s="717"/>
      <c r="S24" s="718"/>
      <c r="T24" s="717"/>
      <c r="U24" s="718"/>
      <c r="V24" s="717"/>
      <c r="W24" s="718"/>
      <c r="X24" s="1740"/>
      <c r="Y24" s="3307"/>
      <c r="Z24" s="1741"/>
      <c r="AA24" s="1738">
        <v>1</v>
      </c>
      <c r="AB24" s="1738">
        <v>1</v>
      </c>
      <c r="AC24" s="1738">
        <v>1</v>
      </c>
    </row>
    <row r="25" spans="1:29" ht="15" hidden="1">
      <c r="A25" s="371"/>
      <c r="B25" s="365" t="s">
        <v>2432</v>
      </c>
      <c r="C25" s="403"/>
      <c r="D25" s="378">
        <v>100</v>
      </c>
      <c r="E25" s="2478"/>
      <c r="F25" s="378">
        <f>SUMIF(86:86,E25,87:87)-SUMIF(86:86,C25,87:87)+100</f>
        <v>100</v>
      </c>
      <c r="G25" s="2479"/>
      <c r="H25" s="378">
        <f>SUMIF(86:86,G25,87:87)-SUMIF(86:86,C25,87:87)+100</f>
        <v>100</v>
      </c>
      <c r="I25" s="2479"/>
      <c r="J25" s="378">
        <f>SUMIF(86:86,I25,87:87)-SUMIF(86:86,C25,87:87)+100</f>
        <v>100</v>
      </c>
      <c r="K25" s="369"/>
      <c r="L25" s="1086"/>
      <c r="M25" s="1077"/>
      <c r="N25" s="1077"/>
      <c r="O25" s="1077"/>
      <c r="P25" s="3356"/>
      <c r="Q25" s="1737" t="str">
        <f t="shared" ref="Q25:Q46" si="11">B25</f>
        <v>楼层-1</v>
      </c>
      <c r="R25" s="717" t="s">
        <v>21</v>
      </c>
      <c r="S25" s="718">
        <f t="shared" ref="S25:S46" si="12">F25</f>
        <v>100</v>
      </c>
      <c r="T25" s="717" t="s">
        <v>21</v>
      </c>
      <c r="U25" s="718">
        <f t="shared" ref="U25:U46" si="13">H25</f>
        <v>100</v>
      </c>
      <c r="V25" s="717" t="s">
        <v>21</v>
      </c>
      <c r="W25" s="718">
        <f t="shared" ref="W25:W46" si="14">J25</f>
        <v>100</v>
      </c>
      <c r="X25" s="1740"/>
      <c r="Y25" s="3307"/>
      <c r="Z25" s="1741" t="str">
        <f>Q25</f>
        <v>楼层-1</v>
      </c>
      <c r="AA25" s="1738">
        <f t="shared" ref="AA25:AA46" si="15">D25/F25</f>
        <v>1</v>
      </c>
      <c r="AB25" s="1738">
        <f t="shared" ref="AB25:AB46" si="16">D25/H25</f>
        <v>1</v>
      </c>
      <c r="AC25" s="1738">
        <f t="shared" ref="AC25:AC46" si="17">D25/J25</f>
        <v>1</v>
      </c>
    </row>
    <row r="26" spans="1:29" ht="15" hidden="1">
      <c r="A26" s="371"/>
      <c r="B26" s="365" t="s">
        <v>2433</v>
      </c>
      <c r="C26" s="403"/>
      <c r="D26" s="378">
        <v>100</v>
      </c>
      <c r="E26" s="2478"/>
      <c r="F26" s="378">
        <f>SUMIF(88:88,E26,89:89)-SUMIF(88:88,C26,89:89)+100</f>
        <v>100</v>
      </c>
      <c r="G26" s="2479"/>
      <c r="H26" s="378">
        <f>SUMIF(88:88,G26,89:89)-SUMIF(88:88,C26,89:89)+100</f>
        <v>100</v>
      </c>
      <c r="I26" s="2479"/>
      <c r="J26" s="378">
        <f>SUMIF(88:88,I26,89:89)-SUMIF(88:88,C26,89:89)+100</f>
        <v>100</v>
      </c>
      <c r="K26" s="369"/>
      <c r="L26" s="1086"/>
      <c r="M26" s="1077"/>
      <c r="N26" s="1077"/>
      <c r="O26" s="1077"/>
      <c r="P26" s="3356"/>
      <c r="Q26" s="1737" t="str">
        <f t="shared" si="11"/>
        <v>朝向</v>
      </c>
      <c r="R26" s="717" t="s">
        <v>21</v>
      </c>
      <c r="S26" s="718">
        <f t="shared" si="12"/>
        <v>100</v>
      </c>
      <c r="T26" s="717" t="s">
        <v>21</v>
      </c>
      <c r="U26" s="718">
        <f t="shared" si="13"/>
        <v>100</v>
      </c>
      <c r="V26" s="717" t="s">
        <v>21</v>
      </c>
      <c r="W26" s="718">
        <f t="shared" si="14"/>
        <v>100</v>
      </c>
      <c r="X26" s="1740"/>
      <c r="Y26" s="3307"/>
      <c r="Z26" s="1741" t="str">
        <f>Q26</f>
        <v>朝向</v>
      </c>
      <c r="AA26" s="1738">
        <f t="shared" si="15"/>
        <v>1</v>
      </c>
      <c r="AB26" s="1738">
        <f t="shared" si="16"/>
        <v>1</v>
      </c>
      <c r="AC26" s="1738">
        <f t="shared" si="17"/>
        <v>1</v>
      </c>
    </row>
    <row r="27" spans="1:29" s="72" customFormat="1" ht="15" hidden="1">
      <c r="A27" s="374"/>
      <c r="B27" s="1318"/>
      <c r="C27" s="375"/>
      <c r="D27" s="405">
        <v>100</v>
      </c>
      <c r="E27" s="408"/>
      <c r="F27" s="405">
        <f>SUMIF(90:90,E27,91:91)-SUMIF(90:90,C27,91:91)+100</f>
        <v>100</v>
      </c>
      <c r="G27" s="406"/>
      <c r="H27" s="405">
        <f>SUMIF(90:90,G27,91:91)-SUMIF(90:90,C27,91:91)+100</f>
        <v>100</v>
      </c>
      <c r="I27" s="406"/>
      <c r="J27" s="405">
        <f>SUMIF(90:90,I27,91:91)-SUMIF(90:90,C27,91:91)+100</f>
        <v>100</v>
      </c>
      <c r="K27" s="2466"/>
      <c r="L27" s="1078"/>
      <c r="M27" s="1079"/>
      <c r="N27" s="1079"/>
      <c r="O27" s="1079"/>
      <c r="P27" s="3356"/>
      <c r="Q27" s="1723">
        <f t="shared" si="11"/>
        <v>0</v>
      </c>
      <c r="R27" s="713" t="s">
        <v>21</v>
      </c>
      <c r="S27" s="714">
        <f t="shared" si="12"/>
        <v>100</v>
      </c>
      <c r="T27" s="713" t="s">
        <v>21</v>
      </c>
      <c r="U27" s="714">
        <f t="shared" si="13"/>
        <v>100</v>
      </c>
      <c r="V27" s="713" t="s">
        <v>21</v>
      </c>
      <c r="W27" s="714">
        <f t="shared" si="14"/>
        <v>100</v>
      </c>
      <c r="X27" s="715"/>
      <c r="Y27" s="3307"/>
      <c r="Z27" s="54">
        <f>Q27</f>
        <v>0</v>
      </c>
      <c r="AA27" s="1738">
        <f t="shared" si="15"/>
        <v>1</v>
      </c>
      <c r="AB27" s="1738">
        <f t="shared" si="16"/>
        <v>1</v>
      </c>
      <c r="AC27" s="1738">
        <f t="shared" si="17"/>
        <v>1</v>
      </c>
    </row>
    <row r="28" spans="1:29" ht="15" hidden="1">
      <c r="A28" s="371"/>
      <c r="B28" s="1318"/>
      <c r="C28" s="377"/>
      <c r="D28" s="378">
        <v>100</v>
      </c>
      <c r="E28" s="377"/>
      <c r="F28" s="378">
        <f>SUMIF(92:92,E28,93:93)-SUMIF(92:92,C28,93:93)+100</f>
        <v>100</v>
      </c>
      <c r="G28" s="2480"/>
      <c r="H28" s="378">
        <f>SUMIF(92:92,G28,93:93)-SUMIF(92:92,C28,93:93)+100</f>
        <v>100</v>
      </c>
      <c r="I28" s="377"/>
      <c r="J28" s="378">
        <f>SUMIF(92:92,I28,93:93)-SUMIF(92:92,C28,93:93)+100</f>
        <v>100</v>
      </c>
      <c r="K28" s="2466"/>
      <c r="L28" s="1086"/>
      <c r="M28" s="1077"/>
      <c r="N28" s="1077"/>
      <c r="O28" s="1077"/>
      <c r="P28" s="3356"/>
      <c r="Q28" s="1737">
        <f t="shared" si="11"/>
        <v>0</v>
      </c>
      <c r="R28" s="717" t="s">
        <v>21</v>
      </c>
      <c r="S28" s="718">
        <f t="shared" si="12"/>
        <v>100</v>
      </c>
      <c r="T28" s="717" t="s">
        <v>21</v>
      </c>
      <c r="U28" s="718">
        <f t="shared" si="13"/>
        <v>100</v>
      </c>
      <c r="V28" s="717" t="s">
        <v>21</v>
      </c>
      <c r="W28" s="718">
        <f t="shared" si="14"/>
        <v>100</v>
      </c>
      <c r="X28" s="1740"/>
      <c r="Y28" s="3307"/>
      <c r="Z28" s="1741">
        <f t="shared" ref="Z28:Z46" si="18">Q28</f>
        <v>0</v>
      </c>
      <c r="AA28" s="1738">
        <f t="shared" si="15"/>
        <v>1</v>
      </c>
      <c r="AB28" s="1738">
        <f t="shared" si="16"/>
        <v>1</v>
      </c>
      <c r="AC28" s="1738">
        <f t="shared" si="17"/>
        <v>1</v>
      </c>
    </row>
    <row r="29" spans="1:29" ht="15" hidden="1">
      <c r="A29" s="371"/>
      <c r="B29" s="1318"/>
      <c r="C29" s="377"/>
      <c r="D29" s="378">
        <v>100</v>
      </c>
      <c r="E29" s="377"/>
      <c r="F29" s="378">
        <f>SUMIF(94:94,E29,95:95)-SUMIF(94:94,C29,95:95)+100</f>
        <v>100</v>
      </c>
      <c r="G29" s="2480"/>
      <c r="H29" s="378">
        <f>SUMIF(94:94,G29,95:95)-SUMIF(94:94,C29,95:95)+100</f>
        <v>100</v>
      </c>
      <c r="I29" s="377"/>
      <c r="J29" s="378">
        <f>SUMIF(94:94,I29,95:95)-SUMIF(94:94,C29,95:95)+100</f>
        <v>100</v>
      </c>
      <c r="K29" s="2466"/>
      <c r="L29" s="1086"/>
      <c r="M29" s="1077"/>
      <c r="N29" s="1077"/>
      <c r="O29" s="1077"/>
      <c r="P29" s="3356"/>
      <c r="Q29" s="1737">
        <f t="shared" si="11"/>
        <v>0</v>
      </c>
      <c r="R29" s="717" t="s">
        <v>21</v>
      </c>
      <c r="S29" s="718">
        <f t="shared" si="12"/>
        <v>100</v>
      </c>
      <c r="T29" s="717" t="s">
        <v>21</v>
      </c>
      <c r="U29" s="718">
        <f t="shared" si="13"/>
        <v>100</v>
      </c>
      <c r="V29" s="717" t="s">
        <v>21</v>
      </c>
      <c r="W29" s="718">
        <f t="shared" si="14"/>
        <v>100</v>
      </c>
      <c r="X29" s="1740"/>
      <c r="Y29" s="3307"/>
      <c r="Z29" s="1741">
        <f t="shared" si="18"/>
        <v>0</v>
      </c>
      <c r="AA29" s="1738">
        <f t="shared" si="15"/>
        <v>1</v>
      </c>
      <c r="AB29" s="1738">
        <f t="shared" si="16"/>
        <v>1</v>
      </c>
      <c r="AC29" s="1738">
        <f t="shared" si="17"/>
        <v>1</v>
      </c>
    </row>
    <row r="30" spans="1:29" ht="15" hidden="1">
      <c r="A30" s="371"/>
      <c r="B30" s="1318"/>
      <c r="C30" s="377"/>
      <c r="D30" s="378">
        <v>100</v>
      </c>
      <c r="E30" s="377"/>
      <c r="F30" s="378">
        <f>SUMIF(96:96,E30,97:97)-SUMIF(96:96,C30,97:97)+100</f>
        <v>100</v>
      </c>
      <c r="G30" s="2480"/>
      <c r="H30" s="378">
        <f>SUMIF(96:96,G30,97:97)-SUMIF(96:96,C30,97:97)+100</f>
        <v>100</v>
      </c>
      <c r="I30" s="377"/>
      <c r="J30" s="378">
        <f>SUMIF(96:96,I30,97:97)-SUMIF(96:96,C30,97:97)+100</f>
        <v>100</v>
      </c>
      <c r="K30" s="2466"/>
      <c r="L30" s="1086"/>
      <c r="M30" s="1077"/>
      <c r="N30" s="1077"/>
      <c r="O30" s="1077"/>
      <c r="P30" s="3356"/>
      <c r="Q30" s="1737">
        <f t="shared" si="11"/>
        <v>0</v>
      </c>
      <c r="R30" s="717" t="s">
        <v>21</v>
      </c>
      <c r="S30" s="718">
        <f t="shared" si="12"/>
        <v>100</v>
      </c>
      <c r="T30" s="717" t="s">
        <v>21</v>
      </c>
      <c r="U30" s="718">
        <f t="shared" si="13"/>
        <v>100</v>
      </c>
      <c r="V30" s="717" t="s">
        <v>21</v>
      </c>
      <c r="W30" s="718">
        <f t="shared" si="14"/>
        <v>100</v>
      </c>
      <c r="X30" s="1740"/>
      <c r="Y30" s="3307"/>
      <c r="Z30" s="1741">
        <f t="shared" si="18"/>
        <v>0</v>
      </c>
      <c r="AA30" s="1738">
        <f t="shared" si="15"/>
        <v>1</v>
      </c>
      <c r="AB30" s="1738">
        <f t="shared" si="16"/>
        <v>1</v>
      </c>
      <c r="AC30" s="1738">
        <f t="shared" si="17"/>
        <v>1</v>
      </c>
    </row>
    <row r="31" spans="1:29" ht="15.75" hidden="1" thickBot="1">
      <c r="A31" s="379"/>
      <c r="B31" s="1318"/>
      <c r="C31" s="380"/>
      <c r="D31" s="381">
        <v>100</v>
      </c>
      <c r="E31" s="380"/>
      <c r="F31" s="381">
        <f>SUMIF(98:98,E31,99:99)-SUMIF(98:98,C31,99:99)+100</f>
        <v>100</v>
      </c>
      <c r="G31" s="2481"/>
      <c r="H31" s="381">
        <f>SUMIF(98:98,G31,99:99)-SUMIF(98:98,C31,99:99)+100</f>
        <v>100</v>
      </c>
      <c r="I31" s="380"/>
      <c r="J31" s="381">
        <f>SUMIF(98:98,I31,99:99)-SUMIF(98:98,C31,99:99)+100</f>
        <v>100</v>
      </c>
      <c r="K31" s="2466"/>
      <c r="L31" s="1086"/>
      <c r="M31" s="1077"/>
      <c r="N31" s="1077"/>
      <c r="O31" s="1077"/>
      <c r="P31" s="3356"/>
      <c r="Q31" s="1737">
        <f t="shared" si="11"/>
        <v>0</v>
      </c>
      <c r="R31" s="717" t="s">
        <v>21</v>
      </c>
      <c r="S31" s="718">
        <f t="shared" si="12"/>
        <v>100</v>
      </c>
      <c r="T31" s="717" t="s">
        <v>21</v>
      </c>
      <c r="U31" s="718">
        <f t="shared" si="13"/>
        <v>100</v>
      </c>
      <c r="V31" s="717" t="s">
        <v>21</v>
      </c>
      <c r="W31" s="718">
        <f t="shared" si="14"/>
        <v>100</v>
      </c>
      <c r="X31" s="1740"/>
      <c r="Y31" s="3307"/>
      <c r="Z31" s="1741">
        <f t="shared" si="18"/>
        <v>0</v>
      </c>
      <c r="AA31" s="1738">
        <f t="shared" si="15"/>
        <v>1</v>
      </c>
      <c r="AB31" s="1738">
        <f t="shared" si="16"/>
        <v>1</v>
      </c>
      <c r="AC31" s="1738">
        <f t="shared" si="17"/>
        <v>1</v>
      </c>
    </row>
    <row r="32" spans="1:29" ht="15">
      <c r="A32" s="383" t="s">
        <v>2434</v>
      </c>
      <c r="B32" s="70" t="s">
        <v>2435</v>
      </c>
      <c r="C32" s="2482" t="s">
        <v>3236</v>
      </c>
      <c r="D32" s="410">
        <v>100</v>
      </c>
      <c r="E32" s="2482" t="s">
        <v>3236</v>
      </c>
      <c r="F32" s="404">
        <f>SUMIF(100:100,E32,101:101)-SUMIF(100:100,C32,101:101)+100</f>
        <v>100</v>
      </c>
      <c r="G32" s="2482" t="s">
        <v>3236</v>
      </c>
      <c r="H32" s="410">
        <f>SUMIF(100:100,G32,101:101)-SUMIF(100:100,C32,101:101)+100</f>
        <v>100</v>
      </c>
      <c r="I32" s="2482" t="s">
        <v>3236</v>
      </c>
      <c r="J32" s="378">
        <f>SUMIF(100:100,I32,101:101)-SUMIF(100:100,C32,101:101)+100</f>
        <v>100</v>
      </c>
      <c r="K32" s="369">
        <v>3</v>
      </c>
      <c r="L32" s="1086"/>
      <c r="M32" s="1077"/>
      <c r="N32" s="1077"/>
      <c r="O32" s="1077"/>
      <c r="P32" s="3351" t="s">
        <v>2436</v>
      </c>
      <c r="Q32" s="1737" t="str">
        <f t="shared" si="11"/>
        <v>建筑类型</v>
      </c>
      <c r="R32" s="717" t="s">
        <v>21</v>
      </c>
      <c r="S32" s="718">
        <f t="shared" si="12"/>
        <v>100</v>
      </c>
      <c r="T32" s="717" t="s">
        <v>21</v>
      </c>
      <c r="U32" s="718">
        <f t="shared" si="13"/>
        <v>100</v>
      </c>
      <c r="V32" s="717" t="s">
        <v>21</v>
      </c>
      <c r="W32" s="718">
        <f t="shared" si="14"/>
        <v>100</v>
      </c>
      <c r="X32" s="1740"/>
      <c r="Y32" s="3309" t="s">
        <v>2436</v>
      </c>
      <c r="Z32" s="1741" t="str">
        <f t="shared" si="18"/>
        <v>建筑类型</v>
      </c>
      <c r="AA32" s="1738">
        <f t="shared" si="15"/>
        <v>1</v>
      </c>
      <c r="AB32" s="1738">
        <f t="shared" si="16"/>
        <v>1</v>
      </c>
      <c r="AC32" s="1738">
        <f t="shared" si="17"/>
        <v>1</v>
      </c>
    </row>
    <row r="33" spans="1:29" s="414" customFormat="1" ht="15">
      <c r="A33" s="411"/>
      <c r="B33" s="365" t="s">
        <v>2437</v>
      </c>
      <c r="C33" s="412">
        <f>'数据-汇总表'!E3</f>
        <v>119454.59</v>
      </c>
      <c r="D33" s="79">
        <v>100</v>
      </c>
      <c r="E33" s="412">
        <v>113314</v>
      </c>
      <c r="F33" s="368">
        <f>LOOKUP(E33,103:103,104:104)-LOOKUP(C33,103:103,104:104)+100</f>
        <v>100</v>
      </c>
      <c r="G33" s="372">
        <v>142205</v>
      </c>
      <c r="H33" s="79">
        <f>LOOKUP(G33,103:103,104:104)-LOOKUP(C33,103:103,104:104)+100</f>
        <v>100</v>
      </c>
      <c r="I33" s="373">
        <v>125133</v>
      </c>
      <c r="J33" s="79">
        <f>LOOKUP(I33,103:103,104:104)-LOOKUP(C33,103:103,104:104)+100</f>
        <v>100</v>
      </c>
      <c r="K33" s="2466"/>
      <c r="L33" s="1084"/>
      <c r="M33" s="1087"/>
      <c r="N33" s="1087"/>
      <c r="O33" s="1087"/>
      <c r="P33" s="3352"/>
      <c r="Q33" s="719" t="str">
        <f t="shared" si="11"/>
        <v>项目建筑规模</v>
      </c>
      <c r="R33" s="720" t="s">
        <v>21</v>
      </c>
      <c r="S33" s="721">
        <f t="shared" si="12"/>
        <v>100</v>
      </c>
      <c r="T33" s="720" t="s">
        <v>21</v>
      </c>
      <c r="U33" s="721">
        <f t="shared" si="13"/>
        <v>100</v>
      </c>
      <c r="V33" s="720" t="s">
        <v>21</v>
      </c>
      <c r="W33" s="721">
        <f t="shared" si="14"/>
        <v>100</v>
      </c>
      <c r="X33" s="722"/>
      <c r="Y33" s="3309"/>
      <c r="Z33" s="723" t="str">
        <f t="shared" si="18"/>
        <v>项目建筑规模</v>
      </c>
      <c r="AA33" s="1738">
        <f t="shared" si="15"/>
        <v>1</v>
      </c>
      <c r="AB33" s="1738">
        <f t="shared" si="16"/>
        <v>1</v>
      </c>
      <c r="AC33" s="1738">
        <f t="shared" si="17"/>
        <v>1</v>
      </c>
    </row>
    <row r="34" spans="1:29" ht="15">
      <c r="A34" s="415"/>
      <c r="B34" s="365" t="s">
        <v>2438</v>
      </c>
      <c r="C34" s="2483" t="s">
        <v>3234</v>
      </c>
      <c r="D34" s="378">
        <v>100</v>
      </c>
      <c r="E34" s="2483" t="s">
        <v>3234</v>
      </c>
      <c r="F34" s="404">
        <f>SUMIF(105:105,E34,106:106)-SUMIF(105:105,C34,106:106)+100</f>
        <v>100</v>
      </c>
      <c r="G34" s="2483" t="s">
        <v>3234</v>
      </c>
      <c r="H34" s="378">
        <f>SUMIF(105:105,G34,106:106)-SUMIF(105:105,C34,106:106)+100</f>
        <v>100</v>
      </c>
      <c r="I34" s="2483" t="s">
        <v>3234</v>
      </c>
      <c r="J34" s="378">
        <f>SUMIF(105:105,I34,106:106)-SUMIF(105:105,C34,106:106)+100</f>
        <v>100</v>
      </c>
      <c r="K34" s="369">
        <v>2</v>
      </c>
      <c r="L34" s="1086"/>
      <c r="M34" s="1077"/>
      <c r="N34" s="1077"/>
      <c r="O34" s="1077"/>
      <c r="P34" s="3352"/>
      <c r="Q34" s="1737" t="str">
        <f t="shared" si="11"/>
        <v>建筑结构</v>
      </c>
      <c r="R34" s="717" t="s">
        <v>21</v>
      </c>
      <c r="S34" s="718">
        <f t="shared" si="12"/>
        <v>100</v>
      </c>
      <c r="T34" s="717" t="s">
        <v>21</v>
      </c>
      <c r="U34" s="718">
        <f t="shared" si="13"/>
        <v>100</v>
      </c>
      <c r="V34" s="717" t="s">
        <v>21</v>
      </c>
      <c r="W34" s="718">
        <f t="shared" si="14"/>
        <v>100</v>
      </c>
      <c r="X34" s="1740"/>
      <c r="Y34" s="3309"/>
      <c r="Z34" s="1741" t="str">
        <f t="shared" si="18"/>
        <v>建筑结构</v>
      </c>
      <c r="AA34" s="1738">
        <f t="shared" si="15"/>
        <v>1</v>
      </c>
      <c r="AB34" s="1738">
        <f t="shared" si="16"/>
        <v>1</v>
      </c>
      <c r="AC34" s="1738">
        <f t="shared" si="17"/>
        <v>1</v>
      </c>
    </row>
    <row r="35" spans="1:29" ht="15">
      <c r="A35" s="415"/>
      <c r="B35" s="365" t="s">
        <v>2439</v>
      </c>
      <c r="C35" s="2478" t="s">
        <v>3457</v>
      </c>
      <c r="D35" s="378">
        <v>100</v>
      </c>
      <c r="E35" s="2478" t="s">
        <v>3233</v>
      </c>
      <c r="F35" s="404">
        <f>SUMIF(107:107,E35,108:108)-SUMIF(107:107,C35,108:108)+100</f>
        <v>95</v>
      </c>
      <c r="G35" s="2478" t="s">
        <v>3233</v>
      </c>
      <c r="H35" s="378">
        <f>SUMIF(107:107,G35,108:108)-SUMIF(107:107,C35,108:108)+100</f>
        <v>95</v>
      </c>
      <c r="I35" s="2478" t="s">
        <v>3233</v>
      </c>
      <c r="J35" s="378">
        <f>SUMIF(107:107,I35,108:108)-SUMIF(107:107,C35,108:108)+100</f>
        <v>95</v>
      </c>
      <c r="K35" s="369">
        <v>5</v>
      </c>
      <c r="L35" s="1086"/>
      <c r="M35" s="1077"/>
      <c r="N35" s="1077"/>
      <c r="O35" s="1077"/>
      <c r="P35" s="3352"/>
      <c r="Q35" s="1737" t="str">
        <f t="shared" si="11"/>
        <v>建筑品质</v>
      </c>
      <c r="R35" s="717" t="s">
        <v>21</v>
      </c>
      <c r="S35" s="718">
        <f t="shared" si="12"/>
        <v>95</v>
      </c>
      <c r="T35" s="717" t="s">
        <v>21</v>
      </c>
      <c r="U35" s="718">
        <f t="shared" si="13"/>
        <v>95</v>
      </c>
      <c r="V35" s="717" t="s">
        <v>21</v>
      </c>
      <c r="W35" s="718">
        <f t="shared" si="14"/>
        <v>95</v>
      </c>
      <c r="X35" s="1740"/>
      <c r="Y35" s="3309"/>
      <c r="Z35" s="1741" t="str">
        <f t="shared" si="18"/>
        <v>建筑品质</v>
      </c>
      <c r="AA35" s="1738">
        <f t="shared" si="15"/>
        <v>1.0526315789473684</v>
      </c>
      <c r="AB35" s="1738">
        <f t="shared" si="16"/>
        <v>1.0526315789473684</v>
      </c>
      <c r="AC35" s="1738">
        <f t="shared" si="17"/>
        <v>1.0526315789473684</v>
      </c>
    </row>
    <row r="36" spans="1:29" ht="15">
      <c r="A36" s="415"/>
      <c r="B36" s="365" t="s">
        <v>2440</v>
      </c>
      <c r="C36" s="2478" t="s">
        <v>3225</v>
      </c>
      <c r="D36" s="378">
        <v>100</v>
      </c>
      <c r="E36" s="2478" t="s">
        <v>3225</v>
      </c>
      <c r="F36" s="404">
        <f>SUMIF(109:109,E36,110:110)-SUMIF(109:109,C36,110:110)+100</f>
        <v>100</v>
      </c>
      <c r="G36" s="2478" t="s">
        <v>3225</v>
      </c>
      <c r="H36" s="378">
        <f>SUMIF(109:109,G36,110:110)-SUMIF(109:109,C36,110:110)+100</f>
        <v>100</v>
      </c>
      <c r="I36" s="2478" t="s">
        <v>3225</v>
      </c>
      <c r="J36" s="378">
        <f>SUMIF(109:109,I36,110:110)-SUMIF(109:109,C36,110:110)+100</f>
        <v>100</v>
      </c>
      <c r="K36" s="369">
        <v>0</v>
      </c>
      <c r="L36" s="1086"/>
      <c r="M36" s="1077"/>
      <c r="N36" s="1077"/>
      <c r="O36" s="1077"/>
      <c r="P36" s="3352"/>
      <c r="Q36" s="1737" t="str">
        <f t="shared" si="11"/>
        <v>公共部分装修</v>
      </c>
      <c r="R36" s="717" t="s">
        <v>21</v>
      </c>
      <c r="S36" s="718">
        <f t="shared" si="12"/>
        <v>100</v>
      </c>
      <c r="T36" s="717" t="s">
        <v>21</v>
      </c>
      <c r="U36" s="718">
        <f t="shared" si="13"/>
        <v>100</v>
      </c>
      <c r="V36" s="717" t="s">
        <v>21</v>
      </c>
      <c r="W36" s="718">
        <f t="shared" si="14"/>
        <v>100</v>
      </c>
      <c r="X36" s="1740"/>
      <c r="Y36" s="3309"/>
      <c r="Z36" s="1741" t="str">
        <f t="shared" si="18"/>
        <v>公共部分装修</v>
      </c>
      <c r="AA36" s="1738">
        <f t="shared" si="15"/>
        <v>1</v>
      </c>
      <c r="AB36" s="1738">
        <f t="shared" si="16"/>
        <v>1</v>
      </c>
      <c r="AC36" s="1738">
        <f t="shared" si="17"/>
        <v>1</v>
      </c>
    </row>
    <row r="37" spans="1:29" s="72" customFormat="1" ht="15">
      <c r="A37" s="416"/>
      <c r="B37" s="365" t="s">
        <v>2441</v>
      </c>
      <c r="C37" s="417">
        <v>1</v>
      </c>
      <c r="D37" s="79">
        <v>100</v>
      </c>
      <c r="E37" s="417">
        <v>1</v>
      </c>
      <c r="F37" s="368">
        <f>LOOKUP(E37,112:112,113:113)-LOOKUP(C37,112:112,113:113)+100</f>
        <v>100</v>
      </c>
      <c r="G37" s="417">
        <v>1</v>
      </c>
      <c r="H37" s="79">
        <f>LOOKUP(G37,112:112,113:113)-LOOKUP(C37,112:112,113:113)+100</f>
        <v>100</v>
      </c>
      <c r="I37" s="417">
        <v>1</v>
      </c>
      <c r="J37" s="79">
        <f>LOOKUP(I37,112:112,113:113)-LOOKUP(C37,112:112,113:113)+100</f>
        <v>100</v>
      </c>
      <c r="K37" s="369">
        <v>2</v>
      </c>
      <c r="L37" s="1078"/>
      <c r="M37" s="1079"/>
      <c r="N37" s="1079"/>
      <c r="O37" s="1079"/>
      <c r="P37" s="3352"/>
      <c r="Q37" s="1723" t="str">
        <f t="shared" si="11"/>
        <v>成新度</v>
      </c>
      <c r="R37" s="713" t="s">
        <v>21</v>
      </c>
      <c r="S37" s="714">
        <f t="shared" si="12"/>
        <v>100</v>
      </c>
      <c r="T37" s="713" t="s">
        <v>21</v>
      </c>
      <c r="U37" s="714">
        <f t="shared" si="13"/>
        <v>100</v>
      </c>
      <c r="V37" s="713" t="s">
        <v>21</v>
      </c>
      <c r="W37" s="714">
        <f t="shared" si="14"/>
        <v>100</v>
      </c>
      <c r="X37" s="715"/>
      <c r="Y37" s="3309"/>
      <c r="Z37" s="54" t="str">
        <f t="shared" si="18"/>
        <v>成新度</v>
      </c>
      <c r="AA37" s="716">
        <f t="shared" si="15"/>
        <v>1</v>
      </c>
      <c r="AB37" s="716">
        <f t="shared" si="16"/>
        <v>1</v>
      </c>
      <c r="AC37" s="716">
        <f t="shared" si="17"/>
        <v>1</v>
      </c>
    </row>
    <row r="38" spans="1:29" ht="15">
      <c r="A38" s="415"/>
      <c r="B38" s="365" t="s">
        <v>2442</v>
      </c>
      <c r="C38" s="2478" t="s">
        <v>3231</v>
      </c>
      <c r="D38" s="378">
        <v>100</v>
      </c>
      <c r="E38" s="2478" t="s">
        <v>3231</v>
      </c>
      <c r="F38" s="404">
        <f>SUMIF(114:114,E38,115:115)-SUMIF(114:114,C38,115:115)+100</f>
        <v>100</v>
      </c>
      <c r="G38" s="2478" t="s">
        <v>3231</v>
      </c>
      <c r="H38" s="378">
        <f>SUMIF(114:114,G38,115:115)-SUMIF(114:114,C38,115:115)+100</f>
        <v>100</v>
      </c>
      <c r="I38" s="2478" t="s">
        <v>3231</v>
      </c>
      <c r="J38" s="378">
        <f>SUMIF(114:114,I38,115:115)-SUMIF(114:114,C38,115:115)+100</f>
        <v>100</v>
      </c>
      <c r="K38" s="369">
        <v>2</v>
      </c>
      <c r="L38" s="1086"/>
      <c r="M38" s="1077"/>
      <c r="N38" s="1077"/>
      <c r="O38" s="1077"/>
      <c r="P38" s="3352" t="s">
        <v>2436</v>
      </c>
      <c r="Q38" s="1737" t="str">
        <f t="shared" si="11"/>
        <v>物业管理</v>
      </c>
      <c r="R38" s="717" t="s">
        <v>21</v>
      </c>
      <c r="S38" s="718">
        <f t="shared" si="12"/>
        <v>100</v>
      </c>
      <c r="T38" s="717" t="s">
        <v>21</v>
      </c>
      <c r="U38" s="718">
        <f t="shared" si="13"/>
        <v>100</v>
      </c>
      <c r="V38" s="717" t="s">
        <v>21</v>
      </c>
      <c r="W38" s="718">
        <f t="shared" si="14"/>
        <v>100</v>
      </c>
      <c r="X38" s="1740"/>
      <c r="Y38" s="3309" t="s">
        <v>2436</v>
      </c>
      <c r="Z38" s="1741" t="str">
        <f t="shared" si="18"/>
        <v>物业管理</v>
      </c>
      <c r="AA38" s="1738">
        <f t="shared" si="15"/>
        <v>1</v>
      </c>
      <c r="AB38" s="1738">
        <f t="shared" si="16"/>
        <v>1</v>
      </c>
      <c r="AC38" s="1738">
        <f t="shared" si="17"/>
        <v>1</v>
      </c>
    </row>
    <row r="39" spans="1:29" ht="15">
      <c r="A39" s="415"/>
      <c r="B39" s="365" t="s">
        <v>2443</v>
      </c>
      <c r="C39" s="2478" t="s">
        <v>3186</v>
      </c>
      <c r="D39" s="378">
        <v>100</v>
      </c>
      <c r="E39" s="2478" t="s">
        <v>3186</v>
      </c>
      <c r="F39" s="404">
        <f>SUMIF(116:116,E39,117:117)-SUMIF(116:116,C39,117:117)+100</f>
        <v>100</v>
      </c>
      <c r="G39" s="2478" t="s">
        <v>3186</v>
      </c>
      <c r="H39" s="378">
        <f>SUMIF(116:116,G39,117:117)-SUMIF(116:116,C39,117:117)+100</f>
        <v>100</v>
      </c>
      <c r="I39" s="2478" t="s">
        <v>3186</v>
      </c>
      <c r="J39" s="378">
        <f>SUMIF(116:116,I39,117:117)-SUMIF(116:116,C39,117:117)+100</f>
        <v>100</v>
      </c>
      <c r="K39" s="369">
        <v>2</v>
      </c>
      <c r="L39" s="1086"/>
      <c r="M39" s="1077"/>
      <c r="N39" s="1077"/>
      <c r="O39" s="1077"/>
      <c r="P39" s="3352"/>
      <c r="Q39" s="1737" t="str">
        <f t="shared" si="11"/>
        <v>市政基础设施</v>
      </c>
      <c r="R39" s="717" t="s">
        <v>21</v>
      </c>
      <c r="S39" s="718">
        <f t="shared" si="12"/>
        <v>100</v>
      </c>
      <c r="T39" s="717" t="s">
        <v>21</v>
      </c>
      <c r="U39" s="718">
        <f t="shared" si="13"/>
        <v>100</v>
      </c>
      <c r="V39" s="717" t="s">
        <v>21</v>
      </c>
      <c r="W39" s="718">
        <f t="shared" si="14"/>
        <v>100</v>
      </c>
      <c r="X39" s="1740"/>
      <c r="Y39" s="3309"/>
      <c r="Z39" s="1741" t="str">
        <f t="shared" si="18"/>
        <v>市政基础设施</v>
      </c>
      <c r="AA39" s="1738">
        <f t="shared" si="15"/>
        <v>1</v>
      </c>
      <c r="AB39" s="1738">
        <f t="shared" si="16"/>
        <v>1</v>
      </c>
      <c r="AC39" s="1738">
        <f t="shared" si="17"/>
        <v>1</v>
      </c>
    </row>
    <row r="40" spans="1:29" ht="15">
      <c r="A40" s="415"/>
      <c r="B40" s="365" t="s">
        <v>2444</v>
      </c>
      <c r="C40" s="2478" t="s">
        <v>3228</v>
      </c>
      <c r="D40" s="378">
        <v>100</v>
      </c>
      <c r="E40" s="2478" t="s">
        <v>3228</v>
      </c>
      <c r="F40" s="404">
        <f>SUMIF(118:118,E40,119:119)-SUMIF(118:118,C40,119:119)+100</f>
        <v>100</v>
      </c>
      <c r="G40" s="2478" t="s">
        <v>3228</v>
      </c>
      <c r="H40" s="378">
        <f>SUMIF(118:118,G40,119:119)-SUMIF(118:118,C40,119:119)+100</f>
        <v>100</v>
      </c>
      <c r="I40" s="2478" t="s">
        <v>3228</v>
      </c>
      <c r="J40" s="378">
        <f>SUMIF(118:118,I40,119:119)-SUMIF(118:118,C40,119:119)+100</f>
        <v>100</v>
      </c>
      <c r="K40" s="369">
        <v>5</v>
      </c>
      <c r="L40" s="1086"/>
      <c r="M40" s="1077"/>
      <c r="N40" s="1077"/>
      <c r="O40" s="1077"/>
      <c r="P40" s="3352"/>
      <c r="Q40" s="1737" t="str">
        <f t="shared" si="11"/>
        <v>房型</v>
      </c>
      <c r="R40" s="717" t="s">
        <v>21</v>
      </c>
      <c r="S40" s="718">
        <f t="shared" si="12"/>
        <v>100</v>
      </c>
      <c r="T40" s="717" t="s">
        <v>21</v>
      </c>
      <c r="U40" s="718">
        <f t="shared" si="13"/>
        <v>100</v>
      </c>
      <c r="V40" s="717" t="s">
        <v>21</v>
      </c>
      <c r="W40" s="718">
        <f t="shared" si="14"/>
        <v>100</v>
      </c>
      <c r="X40" s="1740"/>
      <c r="Y40" s="3309"/>
      <c r="Z40" s="1741" t="str">
        <f t="shared" si="18"/>
        <v>房型</v>
      </c>
      <c r="AA40" s="1738">
        <f t="shared" si="15"/>
        <v>1</v>
      </c>
      <c r="AB40" s="1738">
        <f t="shared" si="16"/>
        <v>1</v>
      </c>
      <c r="AC40" s="1738">
        <f t="shared" si="17"/>
        <v>1</v>
      </c>
    </row>
    <row r="41" spans="1:29" s="414" customFormat="1" ht="28.5">
      <c r="A41" s="411"/>
      <c r="B41" s="365" t="s">
        <v>2445</v>
      </c>
      <c r="C41" s="412" t="s">
        <v>3321</v>
      </c>
      <c r="D41" s="79">
        <v>100</v>
      </c>
      <c r="E41" s="412" t="s">
        <v>3240</v>
      </c>
      <c r="F41" s="368">
        <f>SUMIF(120:120,E41,121:121)-SUMIF(120:120,C41,121:121)+100</f>
        <v>100</v>
      </c>
      <c r="G41" s="372" t="s">
        <v>3241</v>
      </c>
      <c r="H41" s="79">
        <f>SUMIF(120:120,G41,121:121)-SUMIF(120:120,C41,121:121)+100</f>
        <v>100</v>
      </c>
      <c r="I41" s="372" t="s">
        <v>3242</v>
      </c>
      <c r="J41" s="378">
        <f>SUMIF(120:120,I41,121:121)-SUMIF(120:120,C41,121:121)+100</f>
        <v>100</v>
      </c>
      <c r="K41" s="2466"/>
      <c r="L41" s="1084"/>
      <c r="M41" s="1087"/>
      <c r="N41" s="1087"/>
      <c r="O41" s="1087"/>
      <c r="P41" s="3352"/>
      <c r="Q41" s="719" t="str">
        <f t="shared" si="11"/>
        <v>单套/主力户型建筑面积</v>
      </c>
      <c r="R41" s="720" t="s">
        <v>21</v>
      </c>
      <c r="S41" s="721">
        <f t="shared" si="12"/>
        <v>100</v>
      </c>
      <c r="T41" s="720" t="s">
        <v>21</v>
      </c>
      <c r="U41" s="721">
        <f t="shared" si="13"/>
        <v>100</v>
      </c>
      <c r="V41" s="720" t="s">
        <v>21</v>
      </c>
      <c r="W41" s="721">
        <f t="shared" si="14"/>
        <v>100</v>
      </c>
      <c r="X41" s="722"/>
      <c r="Y41" s="3309"/>
      <c r="Z41" s="723" t="str">
        <f t="shared" si="18"/>
        <v>单套/主力户型建筑面积</v>
      </c>
      <c r="AA41" s="1738">
        <f t="shared" si="15"/>
        <v>1</v>
      </c>
      <c r="AB41" s="1738">
        <f t="shared" si="16"/>
        <v>1</v>
      </c>
      <c r="AC41" s="1738">
        <f t="shared" si="17"/>
        <v>1</v>
      </c>
    </row>
    <row r="42" spans="1:29" ht="15">
      <c r="A42" s="415"/>
      <c r="B42" s="365" t="s">
        <v>2446</v>
      </c>
      <c r="C42" s="2478" t="s">
        <v>3225</v>
      </c>
      <c r="D42" s="378">
        <v>100</v>
      </c>
      <c r="E42" s="2478" t="s">
        <v>3225</v>
      </c>
      <c r="F42" s="404">
        <f>SUMIF(122:122,E42,123:123)-SUMIF(122:122,C42,123:123)+100</f>
        <v>100</v>
      </c>
      <c r="G42" s="2478" t="s">
        <v>3225</v>
      </c>
      <c r="H42" s="378">
        <f>SUMIF(122:122,G42,123:123)-SUMIF(122:122,C42,123:123)+100</f>
        <v>100</v>
      </c>
      <c r="I42" s="2478" t="s">
        <v>3225</v>
      </c>
      <c r="J42" s="378">
        <f>SUMIF(122:122,I42,123:123)-SUMIF(122:122,C42,123:123)+100</f>
        <v>100</v>
      </c>
      <c r="K42" s="369">
        <v>5</v>
      </c>
      <c r="L42" s="1086"/>
      <c r="M42" s="1077"/>
      <c r="N42" s="1077"/>
      <c r="O42" s="1077"/>
      <c r="P42" s="3352"/>
      <c r="Q42" s="1737" t="str">
        <f t="shared" si="11"/>
        <v>内部装修</v>
      </c>
      <c r="R42" s="717" t="s">
        <v>21</v>
      </c>
      <c r="S42" s="718">
        <f t="shared" si="12"/>
        <v>100</v>
      </c>
      <c r="T42" s="717" t="s">
        <v>21</v>
      </c>
      <c r="U42" s="718">
        <f t="shared" si="13"/>
        <v>100</v>
      </c>
      <c r="V42" s="717" t="s">
        <v>21</v>
      </c>
      <c r="W42" s="718">
        <f t="shared" si="14"/>
        <v>100</v>
      </c>
      <c r="X42" s="1740"/>
      <c r="Y42" s="3309"/>
      <c r="Z42" s="1741" t="str">
        <f t="shared" si="18"/>
        <v>内部装修</v>
      </c>
      <c r="AA42" s="1738">
        <f t="shared" si="15"/>
        <v>1</v>
      </c>
      <c r="AB42" s="1738">
        <f t="shared" si="16"/>
        <v>1</v>
      </c>
      <c r="AC42" s="1738">
        <f t="shared" si="17"/>
        <v>1</v>
      </c>
    </row>
    <row r="43" spans="1:29" ht="15.75" thickBot="1">
      <c r="A43" s="415"/>
      <c r="B43" s="365" t="s">
        <v>2447</v>
      </c>
      <c r="C43" s="2478" t="s">
        <v>3178</v>
      </c>
      <c r="D43" s="378">
        <v>100</v>
      </c>
      <c r="E43" s="2478" t="s">
        <v>3178</v>
      </c>
      <c r="F43" s="404">
        <f>SUMIF(124:124,E43,125:125)-SUMIF(124:124,C43,125:125)+100</f>
        <v>100</v>
      </c>
      <c r="G43" s="2478" t="s">
        <v>3178</v>
      </c>
      <c r="H43" s="378">
        <f>SUMIF(124:124,G43,125:125)-SUMIF(124:124,C43,125:125)+100</f>
        <v>100</v>
      </c>
      <c r="I43" s="2478" t="s">
        <v>3178</v>
      </c>
      <c r="J43" s="378">
        <f>SUMIF(124:124,I43,125:125)-SUMIF(124:124,C43,125:125)+100</f>
        <v>100</v>
      </c>
      <c r="K43" s="369">
        <v>2</v>
      </c>
      <c r="L43" s="1086"/>
      <c r="M43" s="1077"/>
      <c r="N43" s="1077"/>
      <c r="O43" s="1077"/>
      <c r="P43" s="3352"/>
      <c r="Q43" s="1737" t="str">
        <f t="shared" si="11"/>
        <v>内部装修维护情况</v>
      </c>
      <c r="R43" s="717" t="s">
        <v>21</v>
      </c>
      <c r="S43" s="718">
        <f t="shared" si="12"/>
        <v>100</v>
      </c>
      <c r="T43" s="717" t="s">
        <v>21</v>
      </c>
      <c r="U43" s="718">
        <f t="shared" si="13"/>
        <v>100</v>
      </c>
      <c r="V43" s="717" t="s">
        <v>21</v>
      </c>
      <c r="W43" s="718">
        <f t="shared" si="14"/>
        <v>100</v>
      </c>
      <c r="X43" s="1740"/>
      <c r="Y43" s="3309"/>
      <c r="Z43" s="1741" t="str">
        <f t="shared" si="18"/>
        <v>内部装修维护情况</v>
      </c>
      <c r="AA43" s="1738">
        <f t="shared" si="15"/>
        <v>1</v>
      </c>
      <c r="AB43" s="1738">
        <f t="shared" si="16"/>
        <v>1</v>
      </c>
      <c r="AC43" s="1738">
        <f t="shared" si="17"/>
        <v>1</v>
      </c>
    </row>
    <row r="44" spans="1:29" s="72" customFormat="1" ht="15" hidden="1">
      <c r="A44" s="416"/>
      <c r="B44" s="1318"/>
      <c r="C44" s="412"/>
      <c r="D44" s="79">
        <v>100</v>
      </c>
      <c r="E44" s="412"/>
      <c r="F44" s="368">
        <f>SUMIF(126:126,E44,127:127)-SUMIF(126:126,C44,127:127)+100</f>
        <v>100</v>
      </c>
      <c r="G44" s="412"/>
      <c r="H44" s="79">
        <f>SUMIF(126:126,G44,127:127)-SUMIF(126:126,C44,127:127)+100</f>
        <v>100</v>
      </c>
      <c r="I44" s="412"/>
      <c r="J44" s="79">
        <f>SUMIF(126:126,I44,127:127)-SUMIF(126:126,C44,127:127)+100</f>
        <v>100</v>
      </c>
      <c r="K44" s="2466"/>
      <c r="L44" s="1078"/>
      <c r="M44" s="1079"/>
      <c r="N44" s="1079"/>
      <c r="O44" s="1079"/>
      <c r="P44" s="3352"/>
      <c r="Q44" s="1723">
        <f t="shared" si="11"/>
        <v>0</v>
      </c>
      <c r="R44" s="713" t="s">
        <v>21</v>
      </c>
      <c r="S44" s="714">
        <f t="shared" si="12"/>
        <v>100</v>
      </c>
      <c r="T44" s="713" t="s">
        <v>21</v>
      </c>
      <c r="U44" s="714">
        <f t="shared" si="13"/>
        <v>100</v>
      </c>
      <c r="V44" s="713" t="s">
        <v>21</v>
      </c>
      <c r="W44" s="714">
        <f t="shared" si="14"/>
        <v>100</v>
      </c>
      <c r="X44" s="715"/>
      <c r="Y44" s="3309"/>
      <c r="Z44" s="54">
        <f t="shared" si="18"/>
        <v>0</v>
      </c>
      <c r="AA44" s="716">
        <f t="shared" si="15"/>
        <v>1</v>
      </c>
      <c r="AB44" s="716">
        <f t="shared" si="16"/>
        <v>1</v>
      </c>
      <c r="AC44" s="716">
        <f t="shared" si="17"/>
        <v>1</v>
      </c>
    </row>
    <row r="45" spans="1:29" ht="15" hidden="1">
      <c r="A45" s="415"/>
      <c r="B45" s="1318"/>
      <c r="C45" s="377"/>
      <c r="D45" s="378">
        <v>100</v>
      </c>
      <c r="E45" s="377"/>
      <c r="F45" s="404">
        <f>SUMIF(128:128,E45,129:129)-SUMIF(128:128,C45,129:129)+100</f>
        <v>100</v>
      </c>
      <c r="G45" s="377"/>
      <c r="H45" s="378">
        <f>SUMIF(128:128,G45,129:129)-SUMIF(128:128,C45,129:129)+100</f>
        <v>100</v>
      </c>
      <c r="I45" s="377"/>
      <c r="J45" s="378">
        <f>SUMIF(128:128,I45,129:129)-SUMIF(128:128,C45,129:129)+100</f>
        <v>100</v>
      </c>
      <c r="K45" s="2466"/>
      <c r="L45" s="1086"/>
      <c r="M45" s="1077"/>
      <c r="N45" s="1077"/>
      <c r="O45" s="1077"/>
      <c r="P45" s="3352"/>
      <c r="Q45" s="1737">
        <f t="shared" si="11"/>
        <v>0</v>
      </c>
      <c r="R45" s="717" t="s">
        <v>21</v>
      </c>
      <c r="S45" s="718">
        <f t="shared" si="12"/>
        <v>100</v>
      </c>
      <c r="T45" s="717" t="s">
        <v>21</v>
      </c>
      <c r="U45" s="718">
        <f t="shared" si="13"/>
        <v>100</v>
      </c>
      <c r="V45" s="717" t="s">
        <v>21</v>
      </c>
      <c r="W45" s="718">
        <f t="shared" si="14"/>
        <v>100</v>
      </c>
      <c r="X45" s="1740"/>
      <c r="Y45" s="3309"/>
      <c r="Z45" s="1741">
        <f t="shared" si="18"/>
        <v>0</v>
      </c>
      <c r="AA45" s="1738">
        <f t="shared" si="15"/>
        <v>1</v>
      </c>
      <c r="AB45" s="1738">
        <f t="shared" si="16"/>
        <v>1</v>
      </c>
      <c r="AC45" s="1738">
        <f t="shared" si="17"/>
        <v>1</v>
      </c>
    </row>
    <row r="46" spans="1:29" ht="15.75" hidden="1" thickBot="1">
      <c r="A46" s="421"/>
      <c r="B46" s="2467"/>
      <c r="C46" s="380"/>
      <c r="D46" s="381">
        <v>100</v>
      </c>
      <c r="E46" s="380"/>
      <c r="F46" s="382">
        <f>SUMIF(130:130,E46,131:131)-SUMIF(130:130,C46,131:131)+100</f>
        <v>100</v>
      </c>
      <c r="G46" s="380"/>
      <c r="H46" s="381">
        <f>SUMIF(130:130,G46,131:131)-SUMIF(130:130,C46,131:131)+100</f>
        <v>100</v>
      </c>
      <c r="I46" s="380"/>
      <c r="J46" s="381">
        <f>SUMIF(130:130,I46,131:131)-SUMIF(130:130,C46,131:131)+100</f>
        <v>100</v>
      </c>
      <c r="K46" s="2466"/>
      <c r="L46" s="1086"/>
      <c r="M46" s="1077"/>
      <c r="N46" s="1077"/>
      <c r="O46" s="1077"/>
      <c r="P46" s="3353"/>
      <c r="Q46" s="1737">
        <f t="shared" si="11"/>
        <v>0</v>
      </c>
      <c r="R46" s="717" t="s">
        <v>20</v>
      </c>
      <c r="S46" s="718">
        <f t="shared" si="12"/>
        <v>100</v>
      </c>
      <c r="T46" s="717" t="s">
        <v>20</v>
      </c>
      <c r="U46" s="718">
        <f t="shared" si="13"/>
        <v>100</v>
      </c>
      <c r="V46" s="717" t="s">
        <v>20</v>
      </c>
      <c r="W46" s="718">
        <f t="shared" si="14"/>
        <v>100</v>
      </c>
      <c r="X46" s="1740"/>
      <c r="Y46" s="3354"/>
      <c r="Z46" s="1741">
        <f t="shared" si="18"/>
        <v>0</v>
      </c>
      <c r="AA46" s="1738">
        <f t="shared" si="15"/>
        <v>1</v>
      </c>
      <c r="AB46" s="1738">
        <f t="shared" si="16"/>
        <v>1</v>
      </c>
      <c r="AC46" s="1738">
        <f t="shared" si="17"/>
        <v>1</v>
      </c>
    </row>
    <row r="47" spans="1:29" ht="15">
      <c r="A47" s="422" t="s">
        <v>2448</v>
      </c>
      <c r="B47" s="423"/>
      <c r="C47" s="1339" t="s">
        <v>19</v>
      </c>
      <c r="D47" s="1340"/>
      <c r="E47" s="1341">
        <v>41000</v>
      </c>
      <c r="F47" s="1342"/>
      <c r="G47" s="1343">
        <v>41000</v>
      </c>
      <c r="H47" s="1344"/>
      <c r="I47" s="1341">
        <v>44000</v>
      </c>
      <c r="J47" s="1344"/>
      <c r="K47" s="2484"/>
      <c r="L47" s="1089"/>
      <c r="M47" s="1090"/>
      <c r="N47" s="1077"/>
      <c r="O47" s="1090"/>
      <c r="P47" s="3291" t="str">
        <f>A47</f>
        <v>成交单价（元/平方米）</v>
      </c>
      <c r="Q47" s="3291"/>
      <c r="R47" s="3350">
        <f>E47</f>
        <v>41000</v>
      </c>
      <c r="S47" s="3350"/>
      <c r="T47" s="3350">
        <f>G47</f>
        <v>41000</v>
      </c>
      <c r="U47" s="3350"/>
      <c r="V47" s="3350">
        <f>I47</f>
        <v>44000</v>
      </c>
      <c r="W47" s="3350"/>
      <c r="X47" s="702"/>
      <c r="Y47" s="724"/>
      <c r="Z47" s="702"/>
      <c r="AA47" s="702"/>
      <c r="AB47" s="702"/>
      <c r="AC47" s="702"/>
    </row>
    <row r="48" spans="1:29" ht="15.75" thickBot="1">
      <c r="A48" s="429" t="s">
        <v>2449</v>
      </c>
      <c r="B48" s="430"/>
      <c r="C48" s="1345">
        <f>R49</f>
        <v>44819</v>
      </c>
      <c r="D48" s="1346"/>
      <c r="E48" s="1347">
        <f>R48</f>
        <v>44039</v>
      </c>
      <c r="F48" s="1347"/>
      <c r="G48" s="1345">
        <f>T48</f>
        <v>43158</v>
      </c>
      <c r="H48" s="1346"/>
      <c r="I48" s="1347">
        <f>V48</f>
        <v>47261</v>
      </c>
      <c r="J48" s="1346"/>
      <c r="K48" s="2485"/>
      <c r="L48" s="1089"/>
      <c r="M48" s="1090"/>
      <c r="N48" s="1090"/>
      <c r="O48" s="1090"/>
      <c r="P48" s="3291" t="str">
        <f>A48</f>
        <v>比较价值（元/平方米）</v>
      </c>
      <c r="Q48" s="3291"/>
      <c r="R48" s="3350">
        <f>IF(F1="售价",ROUND(PRODUCT(R47,AA7:AA46),0),ROUND(PRODUCT(R47,AA7:AA46),1))</f>
        <v>44039</v>
      </c>
      <c r="S48" s="3350"/>
      <c r="T48" s="3350">
        <f>IF(F1="售价",ROUND(PRODUCT(T47,AB7:AB46),0),ROUND(PRODUCT(T47,AB7:AB46),1))</f>
        <v>43158</v>
      </c>
      <c r="U48" s="3350"/>
      <c r="V48" s="3350">
        <f>IF(F1="售价",ROUND(PRODUCT(V47,AC7:AC46),0),ROUND(PRODUCT(V47,AC7:AC46),1))</f>
        <v>47261</v>
      </c>
      <c r="W48" s="3350"/>
      <c r="X48" s="702"/>
      <c r="Y48" s="702"/>
      <c r="Z48" s="702"/>
      <c r="AA48" s="702"/>
      <c r="AB48" s="702"/>
      <c r="AC48" s="702"/>
    </row>
    <row r="49" spans="1:29" ht="15.75" thickBot="1">
      <c r="A49" s="435" t="s">
        <v>2450</v>
      </c>
      <c r="B49" s="436"/>
      <c r="C49" s="1348">
        <f>R49</f>
        <v>44819</v>
      </c>
      <c r="D49" s="1349"/>
      <c r="E49" s="1349"/>
      <c r="F49" s="1349"/>
      <c r="G49" s="1349"/>
      <c r="H49" s="1349"/>
      <c r="I49" s="1349"/>
      <c r="J49" s="1349"/>
      <c r="K49" s="2486"/>
      <c r="L49" s="1089"/>
      <c r="M49" s="1090"/>
      <c r="N49" s="1090"/>
      <c r="O49" s="1090"/>
      <c r="P49" s="3311" t="str">
        <f>A49</f>
        <v>估价对象XX用房的比较价值（楼面单价，元/平方米）</v>
      </c>
      <c r="Q49" s="3312"/>
      <c r="R49" s="3349">
        <f>IF(F1="售价",ROUND(AVERAGE(R48:V48),0),ROUND(AVERAGE(R48:V48),1))</f>
        <v>44819</v>
      </c>
      <c r="S49" s="3349"/>
      <c r="T49" s="3349"/>
      <c r="U49" s="3349"/>
      <c r="V49" s="3349"/>
      <c r="W49" s="3349"/>
      <c r="X49" s="702"/>
      <c r="Y49" s="702"/>
      <c r="Z49" s="702"/>
      <c r="AA49" s="702"/>
      <c r="AB49" s="702"/>
      <c r="AC49" s="702"/>
    </row>
    <row r="50" spans="1:29">
      <c r="A50" s="1090"/>
      <c r="B50" s="1090"/>
      <c r="C50" s="1090"/>
      <c r="D50" s="1090"/>
      <c r="E50" s="1090"/>
      <c r="F50" s="1090"/>
      <c r="G50" s="1093"/>
      <c r="H50" s="1090"/>
      <c r="I50" s="1090"/>
      <c r="J50" s="1090"/>
      <c r="K50" s="1051"/>
      <c r="L50" s="1052"/>
      <c r="M50" s="1090"/>
      <c r="N50" s="1090"/>
      <c r="O50" s="1090"/>
    </row>
    <row r="51" spans="1:29">
      <c r="A51" s="1090"/>
      <c r="B51" s="1090"/>
      <c r="C51" s="1090"/>
      <c r="D51" s="1090"/>
      <c r="E51" s="1090"/>
      <c r="F51" s="1090"/>
      <c r="G51" s="1090"/>
      <c r="H51" s="1090"/>
      <c r="I51" s="1090"/>
      <c r="J51" s="1090"/>
      <c r="K51" s="1051"/>
      <c r="L51" s="1052"/>
      <c r="M51" s="1090"/>
      <c r="N51" s="1090"/>
      <c r="O51" s="1090"/>
    </row>
    <row r="52" spans="1:29" ht="13.5" customHeight="1">
      <c r="A52" s="1090"/>
      <c r="B52" s="1090"/>
      <c r="C52" s="440" t="s">
        <v>2451</v>
      </c>
      <c r="D52" s="441"/>
      <c r="E52" s="442">
        <f>IF(E47&lt;E48,E48/E47-1,E47/E48-1)</f>
        <v>7.412195121951215E-2</v>
      </c>
      <c r="F52" s="443" t="str">
        <f>IF(OR(E52&gt;=0.3,E52&lt;=-0.3),"超过30%","")</f>
        <v/>
      </c>
      <c r="G52" s="442">
        <f>IF(G47&lt;G48,G48/G47-1,G47/G48-1)</f>
        <v>5.2634146341463461E-2</v>
      </c>
      <c r="H52" s="443" t="str">
        <f>IF(OR(G52&gt;=0.3,G52&lt;=-0.3),"超过30%","")</f>
        <v/>
      </c>
      <c r="I52" s="442">
        <f>IF(I47&lt;I48,I48/I47-1,I47/I48-1)</f>
        <v>7.4113636363636326E-2</v>
      </c>
      <c r="J52" s="443" t="str">
        <f>IF(OR(I52&gt;=0.3,I52&lt;=-0.3),"超过30%","")</f>
        <v/>
      </c>
      <c r="K52" s="1051"/>
      <c r="L52" s="1052"/>
      <c r="M52" s="1090"/>
      <c r="N52" s="1090"/>
      <c r="O52" s="1090"/>
    </row>
    <row r="53" spans="1:29" ht="13.5" customHeight="1">
      <c r="A53" s="1090"/>
      <c r="B53" s="1090"/>
      <c r="C53" s="440" t="s">
        <v>2452</v>
      </c>
      <c r="D53" s="444"/>
      <c r="E53" s="442">
        <f>IF(E48&lt;G48,G48/E48-1,E48/G48-1)</f>
        <v>2.0413364845451643E-2</v>
      </c>
      <c r="F53" s="443" t="str">
        <f>IF(OR(E53&gt;=0.2,E53&lt;=-0.2),"超过20%","")</f>
        <v/>
      </c>
      <c r="G53" s="442">
        <f>IF(G48&lt;I48,I48/G48-1,G48/I48-1)</f>
        <v>9.5069280318828442E-2</v>
      </c>
      <c r="H53" s="443" t="str">
        <f>IF(OR(G53&gt;=0.2,G53&lt;=-0.2),"超过20%","")</f>
        <v/>
      </c>
      <c r="I53" s="442">
        <f>IF(I48&lt;E48,E48/I48-1,I48/E48-1)</f>
        <v>7.316242421490049E-2</v>
      </c>
      <c r="J53" s="443" t="str">
        <f>IF(OR(I53&gt;=0.2,I53&lt;=-0.2),"超过20%","")</f>
        <v/>
      </c>
      <c r="K53" s="1051"/>
      <c r="L53" s="1052"/>
      <c r="M53" s="1090"/>
      <c r="N53" s="1090"/>
      <c r="O53" s="1090"/>
    </row>
    <row r="54" spans="1:29" s="445" customFormat="1" ht="13.5" customHeight="1">
      <c r="A54" s="1091"/>
      <c r="B54" s="1091"/>
      <c r="C54" s="440" t="s">
        <v>2453</v>
      </c>
      <c r="D54" s="444"/>
      <c r="E54" s="442">
        <f>IF(E47&lt;G47,G47/E47-1,E47/G47-1)</f>
        <v>0</v>
      </c>
      <c r="F54" s="443" t="str">
        <f>IF(OR(E54&gt;=0.3,E54&lt;=-0.3),"超过30%","")</f>
        <v/>
      </c>
      <c r="G54" s="442">
        <f>IF(G47&lt;I47,I47/G47-1,G47/I47-1)</f>
        <v>7.3170731707317138E-2</v>
      </c>
      <c r="H54" s="443" t="str">
        <f>IF(OR(G54&gt;=0.3,G54&lt;=-0.3),"超过30%","")</f>
        <v/>
      </c>
      <c r="I54" s="442">
        <f>IF(I47&lt;E47,E47/I47-1,I47/E47-1)</f>
        <v>7.3170731707317138E-2</v>
      </c>
      <c r="J54" s="443" t="str">
        <f>IF(OR(I54&gt;=0.3,I54&lt;=-0.3),"超过30%","")</f>
        <v/>
      </c>
      <c r="K54" s="1094"/>
      <c r="L54" s="1095"/>
      <c r="M54" s="1091"/>
      <c r="N54" s="1091"/>
      <c r="O54" s="1091"/>
      <c r="P54" s="2488"/>
    </row>
    <row r="55" spans="1:29" s="445" customFormat="1">
      <c r="A55" s="1091"/>
      <c r="B55" s="1092"/>
      <c r="C55" s="1096"/>
      <c r="D55" s="1091"/>
      <c r="E55" s="1091"/>
      <c r="F55" s="1091"/>
      <c r="G55" s="1091"/>
      <c r="H55" s="1091"/>
      <c r="I55" s="1091"/>
      <c r="J55" s="1091"/>
      <c r="K55" s="1094"/>
      <c r="L55" s="1095"/>
      <c r="M55" s="1091"/>
      <c r="N55" s="1091"/>
      <c r="O55" s="1091"/>
      <c r="P55" s="2488"/>
    </row>
    <row r="56" spans="1:29">
      <c r="A56" s="1090"/>
      <c r="B56" s="1092"/>
      <c r="C56" s="1096"/>
      <c r="D56" s="1090"/>
      <c r="E56" s="1090"/>
      <c r="F56" s="1090"/>
      <c r="G56" s="1090"/>
      <c r="H56" s="1090"/>
      <c r="I56" s="1090"/>
      <c r="J56" s="1090"/>
      <c r="K56" s="1051"/>
      <c r="L56" s="1052"/>
      <c r="M56" s="1090"/>
      <c r="N56" s="1090"/>
      <c r="O56" s="1090"/>
    </row>
    <row r="57" spans="1:29" ht="21.75" thickBot="1">
      <c r="A57" s="706" t="s">
        <v>2454</v>
      </c>
      <c r="B57" s="702"/>
      <c r="C57" s="707"/>
      <c r="D57" s="707"/>
      <c r="E57" s="707"/>
      <c r="F57" s="708"/>
      <c r="G57" s="708"/>
      <c r="H57" s="707"/>
      <c r="I57" s="707"/>
      <c r="J57" s="707"/>
      <c r="K57" s="1106"/>
      <c r="L57" s="1107"/>
      <c r="M57" s="1105"/>
      <c r="N57" s="1105"/>
      <c r="O57" s="1105"/>
      <c r="P57" s="2489"/>
      <c r="Q57" s="447"/>
    </row>
    <row r="58" spans="1:29" s="451" customFormat="1" ht="15">
      <c r="A58" s="448" t="s">
        <v>2455</v>
      </c>
      <c r="B58" s="449"/>
      <c r="C58" s="1506" t="str">
        <f>YEAR(C7)&amp;"-"&amp;MONTH(C7)</f>
        <v>2018-7</v>
      </c>
      <c r="D58" s="1505">
        <f>EDATE(C58,-1)</f>
        <v>43252</v>
      </c>
      <c r="E58" s="1505">
        <f>EDATE(D58,-1)</f>
        <v>43221</v>
      </c>
      <c r="F58" s="1505">
        <f t="shared" ref="F58:O58" si="19">EDATE(E58,-1)</f>
        <v>43191</v>
      </c>
      <c r="G58" s="1505">
        <f t="shared" si="19"/>
        <v>43160</v>
      </c>
      <c r="H58" s="1505">
        <f t="shared" si="19"/>
        <v>43132</v>
      </c>
      <c r="I58" s="1505">
        <f t="shared" si="19"/>
        <v>43101</v>
      </c>
      <c r="J58" s="1505">
        <f t="shared" si="19"/>
        <v>43070</v>
      </c>
      <c r="K58" s="1505">
        <f t="shared" si="19"/>
        <v>43040</v>
      </c>
      <c r="L58" s="1505">
        <f t="shared" si="19"/>
        <v>43009</v>
      </c>
      <c r="M58" s="1505">
        <f t="shared" si="19"/>
        <v>42979</v>
      </c>
      <c r="N58" s="1505">
        <f t="shared" si="19"/>
        <v>42948</v>
      </c>
      <c r="O58" s="1505">
        <f t="shared" si="19"/>
        <v>42917</v>
      </c>
      <c r="P58" s="1500"/>
    </row>
    <row r="59" spans="1:29" s="72" customFormat="1" ht="15">
      <c r="A59" s="452"/>
      <c r="B59" s="2490"/>
      <c r="C59" s="1503">
        <v>100</v>
      </c>
      <c r="D59" s="454"/>
      <c r="E59" s="455"/>
      <c r="F59" s="455"/>
      <c r="G59" s="455"/>
      <c r="H59" s="455"/>
      <c r="I59" s="455"/>
      <c r="J59" s="455"/>
      <c r="K59" s="455"/>
      <c r="L59" s="455"/>
      <c r="M59" s="456"/>
      <c r="N59" s="455"/>
      <c r="O59" s="456"/>
      <c r="P59" s="2491"/>
    </row>
    <row r="60" spans="1:29" s="72" customFormat="1" ht="15.75" thickBot="1">
      <c r="A60" s="458" t="s">
        <v>2456</v>
      </c>
      <c r="B60" s="459"/>
      <c r="C60" s="460"/>
      <c r="D60" s="461"/>
      <c r="E60" s="461"/>
      <c r="F60" s="461"/>
      <c r="G60" s="461"/>
      <c r="H60" s="461"/>
      <c r="I60" s="461"/>
      <c r="J60" s="461"/>
      <c r="K60" s="461"/>
      <c r="L60" s="461"/>
      <c r="M60" s="462"/>
      <c r="N60" s="461"/>
      <c r="O60" s="462"/>
      <c r="P60" s="2491"/>
      <c r="Q60" s="447"/>
    </row>
    <row r="61" spans="1:29" s="72" customFormat="1" ht="15">
      <c r="A61" s="464" t="s">
        <v>2457</v>
      </c>
      <c r="B61" s="453"/>
      <c r="C61" s="465" t="s">
        <v>2458</v>
      </c>
      <c r="D61" s="466"/>
      <c r="E61" s="466"/>
      <c r="F61" s="466"/>
      <c r="G61" s="466"/>
      <c r="H61" s="466"/>
      <c r="I61" s="466"/>
      <c r="J61" s="466"/>
      <c r="K61" s="466"/>
      <c r="L61" s="467"/>
      <c r="M61" s="468"/>
      <c r="N61" s="1097"/>
      <c r="O61" s="1097"/>
      <c r="P61" s="2492"/>
      <c r="Q61" s="447"/>
    </row>
    <row r="62" spans="1:29" s="72" customFormat="1" ht="15.75" thickBot="1">
      <c r="A62" s="464"/>
      <c r="B62" s="453"/>
      <c r="C62" s="454">
        <v>100</v>
      </c>
      <c r="D62" s="455"/>
      <c r="E62" s="455"/>
      <c r="F62" s="455"/>
      <c r="G62" s="455"/>
      <c r="H62" s="455"/>
      <c r="I62" s="455"/>
      <c r="J62" s="455"/>
      <c r="K62" s="455"/>
      <c r="L62" s="455"/>
      <c r="M62" s="457"/>
      <c r="N62" s="1097"/>
      <c r="O62" s="1097"/>
      <c r="P62" s="2491"/>
      <c r="Q62" s="447"/>
    </row>
    <row r="63" spans="1:29">
      <c r="A63" s="470" t="s">
        <v>2459</v>
      </c>
      <c r="B63" s="471" t="s">
        <v>2425</v>
      </c>
      <c r="C63" s="472" t="str">
        <f>C9</f>
        <v>住宅</v>
      </c>
      <c r="D63" s="473"/>
      <c r="E63" s="473"/>
      <c r="F63" s="473"/>
      <c r="G63" s="473"/>
      <c r="H63" s="473"/>
      <c r="I63" s="473"/>
      <c r="J63" s="473"/>
      <c r="K63" s="474"/>
      <c r="L63" s="475"/>
      <c r="M63" s="476"/>
      <c r="N63" s="1098"/>
      <c r="O63" s="1098"/>
      <c r="P63" s="2493"/>
      <c r="Q63" s="447"/>
    </row>
    <row r="64" spans="1:29" ht="15.75" thickBot="1">
      <c r="A64" s="477"/>
      <c r="B64" s="478"/>
      <c r="C64" s="479">
        <v>100</v>
      </c>
      <c r="D64" s="479"/>
      <c r="E64" s="479"/>
      <c r="F64" s="479"/>
      <c r="G64" s="479"/>
      <c r="H64" s="479"/>
      <c r="I64" s="479"/>
      <c r="J64" s="479"/>
      <c r="K64" s="479"/>
      <c r="L64" s="479"/>
      <c r="M64" s="480"/>
      <c r="N64" s="1099"/>
      <c r="O64" s="1099"/>
      <c r="P64" s="2493"/>
      <c r="Q64" s="447"/>
    </row>
    <row r="65" spans="1:17" ht="27.75" thickTop="1">
      <c r="A65" s="477"/>
      <c r="B65" s="481" t="s">
        <v>2428</v>
      </c>
      <c r="C65" s="482" t="s">
        <v>2460</v>
      </c>
      <c r="D65" s="482" t="s">
        <v>2461</v>
      </c>
      <c r="E65" s="482" t="s">
        <v>2462</v>
      </c>
      <c r="F65" s="482" t="s">
        <v>2463</v>
      </c>
      <c r="G65" s="482" t="s">
        <v>2464</v>
      </c>
      <c r="H65" s="482" t="s">
        <v>2465</v>
      </c>
      <c r="I65" s="482" t="s">
        <v>2466</v>
      </c>
      <c r="J65" s="482"/>
      <c r="K65" s="483"/>
      <c r="L65" s="484"/>
      <c r="M65" s="485"/>
      <c r="N65" s="1098"/>
      <c r="O65" s="1098"/>
      <c r="P65" s="2493"/>
      <c r="Q65" s="447"/>
    </row>
    <row r="66" spans="1:17" ht="15.75" thickBot="1">
      <c r="A66" s="477"/>
      <c r="B66" s="486"/>
      <c r="C66" s="487">
        <v>100</v>
      </c>
      <c r="D66" s="487">
        <f t="shared" ref="D66:I66" si="20">C66-$K10</f>
        <v>99</v>
      </c>
      <c r="E66" s="487">
        <f t="shared" si="20"/>
        <v>98</v>
      </c>
      <c r="F66" s="487">
        <f t="shared" si="20"/>
        <v>97</v>
      </c>
      <c r="G66" s="487">
        <f t="shared" si="20"/>
        <v>96</v>
      </c>
      <c r="H66" s="487">
        <f t="shared" si="20"/>
        <v>95</v>
      </c>
      <c r="I66" s="487">
        <f t="shared" si="20"/>
        <v>94</v>
      </c>
      <c r="J66" s="487"/>
      <c r="K66" s="487"/>
      <c r="L66" s="487"/>
      <c r="M66" s="488"/>
      <c r="N66" s="1099"/>
      <c r="O66" s="1099"/>
      <c r="P66" s="2493"/>
      <c r="Q66" s="447"/>
    </row>
    <row r="67" spans="1:17" ht="15.75" thickTop="1">
      <c r="A67" s="477"/>
      <c r="B67" s="489" t="s">
        <v>2429</v>
      </c>
      <c r="C67" s="490" t="str">
        <f>C68&amp;"（含）"&amp;"-"&amp;D68</f>
        <v>1（含）-1.5</v>
      </c>
      <c r="D67" s="490" t="str">
        <f t="shared" ref="D67:L67" si="21">D68&amp;"（含）"&amp;"-"&amp;E68</f>
        <v>1.5（含）-2</v>
      </c>
      <c r="E67" s="490" t="str">
        <f t="shared" si="21"/>
        <v>2（含）-</v>
      </c>
      <c r="F67" s="490" t="str">
        <f t="shared" si="21"/>
        <v>（含）-</v>
      </c>
      <c r="G67" s="490" t="str">
        <f t="shared" si="21"/>
        <v>（含）-</v>
      </c>
      <c r="H67" s="490" t="str">
        <f t="shared" si="21"/>
        <v>（含）-</v>
      </c>
      <c r="I67" s="490" t="str">
        <f t="shared" si="21"/>
        <v>（含）-</v>
      </c>
      <c r="J67" s="490" t="str">
        <f t="shared" si="21"/>
        <v>（含）-</v>
      </c>
      <c r="K67" s="490" t="str">
        <f>K68&amp;"（含）"&amp;"-"&amp;L68</f>
        <v>（含）-</v>
      </c>
      <c r="L67" s="490" t="str">
        <f t="shared" si="21"/>
        <v>（含）-</v>
      </c>
      <c r="M67" s="391" t="str">
        <f>M68&amp;"（含）"&amp;"-"&amp;P68</f>
        <v>（含）-</v>
      </c>
      <c r="N67" s="1099"/>
      <c r="O67" s="1099"/>
      <c r="P67" s="2493"/>
      <c r="Q67" s="447"/>
    </row>
    <row r="68" spans="1:17" ht="15">
      <c r="A68" s="477"/>
      <c r="B68" s="491"/>
      <c r="C68" s="492">
        <v>1</v>
      </c>
      <c r="D68" s="492">
        <v>1.5</v>
      </c>
      <c r="E68" s="492">
        <v>2</v>
      </c>
      <c r="F68" s="492"/>
      <c r="G68" s="492"/>
      <c r="H68" s="492"/>
      <c r="I68" s="492"/>
      <c r="J68" s="492"/>
      <c r="K68" s="493"/>
      <c r="L68" s="494"/>
      <c r="M68" s="495"/>
      <c r="N68" s="1098"/>
      <c r="O68" s="1098"/>
      <c r="P68" s="2493"/>
      <c r="Q68" s="447"/>
    </row>
    <row r="69" spans="1:17" ht="15.75" thickBot="1">
      <c r="A69" s="477"/>
      <c r="B69" s="478"/>
      <c r="C69" s="487">
        <v>100</v>
      </c>
      <c r="D69" s="487">
        <f t="shared" ref="D69:M69" si="22">C69-$K11</f>
        <v>98</v>
      </c>
      <c r="E69" s="487">
        <f t="shared" si="22"/>
        <v>96</v>
      </c>
      <c r="F69" s="487">
        <f t="shared" si="22"/>
        <v>94</v>
      </c>
      <c r="G69" s="487">
        <f t="shared" si="22"/>
        <v>92</v>
      </c>
      <c r="H69" s="487">
        <f t="shared" si="22"/>
        <v>90</v>
      </c>
      <c r="I69" s="487">
        <f t="shared" si="22"/>
        <v>88</v>
      </c>
      <c r="J69" s="487">
        <f t="shared" si="22"/>
        <v>86</v>
      </c>
      <c r="K69" s="487">
        <f t="shared" si="22"/>
        <v>84</v>
      </c>
      <c r="L69" s="487">
        <f t="shared" si="22"/>
        <v>82</v>
      </c>
      <c r="M69" s="488">
        <f t="shared" si="22"/>
        <v>80</v>
      </c>
      <c r="N69" s="1099"/>
      <c r="O69" s="1099"/>
      <c r="P69" s="2493"/>
      <c r="Q69" s="447"/>
    </row>
    <row r="70" spans="1:17" s="414" customFormat="1" ht="15.75" hidden="1" thickTop="1">
      <c r="A70" s="496"/>
      <c r="B70" s="481">
        <f>B12</f>
        <v>0</v>
      </c>
      <c r="C70" s="497"/>
      <c r="D70" s="497"/>
      <c r="E70" s="497"/>
      <c r="F70" s="497"/>
      <c r="G70" s="497"/>
      <c r="H70" s="498"/>
      <c r="I70" s="498"/>
      <c r="J70" s="498"/>
      <c r="K70" s="498"/>
      <c r="L70" s="499"/>
      <c r="M70" s="500"/>
      <c r="N70" s="1100"/>
      <c r="O70" s="1100"/>
      <c r="P70" s="2494"/>
      <c r="Q70" s="502"/>
    </row>
    <row r="71" spans="1:17" s="414" customFormat="1" ht="15.75" hidden="1" thickBot="1">
      <c r="A71" s="496"/>
      <c r="B71" s="486"/>
      <c r="C71" s="503"/>
      <c r="D71" s="479"/>
      <c r="E71" s="479"/>
      <c r="F71" s="479"/>
      <c r="G71" s="479"/>
      <c r="H71" s="479"/>
      <c r="I71" s="479"/>
      <c r="J71" s="479"/>
      <c r="K71" s="479"/>
      <c r="L71" s="479"/>
      <c r="M71" s="480"/>
      <c r="N71" s="1099"/>
      <c r="O71" s="1099"/>
      <c r="P71" s="2494"/>
      <c r="Q71" s="502"/>
    </row>
    <row r="72" spans="1:17" s="414" customFormat="1" ht="15.75" hidden="1" thickTop="1">
      <c r="A72" s="496"/>
      <c r="B72" s="481">
        <f>B13</f>
        <v>0</v>
      </c>
      <c r="C72" s="497"/>
      <c r="D72" s="497"/>
      <c r="E72" s="497"/>
      <c r="F72" s="497"/>
      <c r="G72" s="497"/>
      <c r="H72" s="498"/>
      <c r="I72" s="498"/>
      <c r="J72" s="498"/>
      <c r="K72" s="498"/>
      <c r="L72" s="499"/>
      <c r="M72" s="500"/>
      <c r="N72" s="1100"/>
      <c r="O72" s="1100"/>
      <c r="P72" s="2495"/>
      <c r="Q72" s="504"/>
    </row>
    <row r="73" spans="1:17" s="414" customFormat="1" ht="15.75" hidden="1" thickBot="1">
      <c r="A73" s="496"/>
      <c r="B73" s="486"/>
      <c r="C73" s="503"/>
      <c r="D73" s="503"/>
      <c r="E73" s="503"/>
      <c r="F73" s="503"/>
      <c r="G73" s="503"/>
      <c r="H73" s="505"/>
      <c r="I73" s="505"/>
      <c r="J73" s="505"/>
      <c r="K73" s="505"/>
      <c r="L73" s="505"/>
      <c r="M73" s="506"/>
      <c r="N73" s="1100"/>
      <c r="O73" s="1100"/>
      <c r="P73" s="2494"/>
      <c r="Q73" s="502"/>
    </row>
    <row r="74" spans="1:17" s="414" customFormat="1" ht="15.75" hidden="1" thickTop="1">
      <c r="A74" s="496"/>
      <c r="B74" s="489">
        <f>B14</f>
        <v>0</v>
      </c>
      <c r="C74" s="497"/>
      <c r="D74" s="497"/>
      <c r="E74" s="497"/>
      <c r="F74" s="497"/>
      <c r="G74" s="466"/>
      <c r="H74" s="507"/>
      <c r="I74" s="507"/>
      <c r="J74" s="507"/>
      <c r="K74" s="507"/>
      <c r="L74" s="508"/>
      <c r="M74" s="509"/>
      <c r="N74" s="1100"/>
      <c r="O74" s="1100"/>
      <c r="P74" s="2496"/>
      <c r="Q74" s="502"/>
    </row>
    <row r="75" spans="1:17" s="414" customFormat="1" ht="15.75" hidden="1" thickBot="1">
      <c r="A75" s="511"/>
      <c r="B75" s="512"/>
      <c r="C75" s="513"/>
      <c r="D75" s="513"/>
      <c r="E75" s="513"/>
      <c r="F75" s="513"/>
      <c r="G75" s="513"/>
      <c r="H75" s="514"/>
      <c r="I75" s="514"/>
      <c r="J75" s="514"/>
      <c r="K75" s="514"/>
      <c r="L75" s="514"/>
      <c r="M75" s="515"/>
      <c r="N75" s="1100"/>
      <c r="O75" s="1100"/>
      <c r="P75" s="2494"/>
      <c r="Q75" s="502"/>
    </row>
    <row r="76" spans="1:17" ht="15" thickTop="1">
      <c r="A76" s="470" t="s">
        <v>2430</v>
      </c>
      <c r="B76" s="471" t="s">
        <v>2467</v>
      </c>
      <c r="C76" s="516" t="s">
        <v>2468</v>
      </c>
      <c r="D76" s="516" t="s">
        <v>2469</v>
      </c>
      <c r="E76" s="516" t="s">
        <v>2470</v>
      </c>
      <c r="F76" s="516" t="s">
        <v>2471</v>
      </c>
      <c r="G76" s="516" t="s">
        <v>2472</v>
      </c>
      <c r="H76" s="472"/>
      <c r="I76" s="472"/>
      <c r="J76" s="472"/>
      <c r="K76" s="517"/>
      <c r="L76" s="518"/>
      <c r="M76" s="519"/>
      <c r="N76" s="1098"/>
      <c r="O76" s="1098"/>
      <c r="P76" s="2497"/>
      <c r="Q76" s="447"/>
    </row>
    <row r="77" spans="1:17" ht="15.75" thickBot="1">
      <c r="A77" s="477"/>
      <c r="B77" s="486"/>
      <c r="C77" s="487">
        <v>100</v>
      </c>
      <c r="D77" s="487">
        <f>C77-$K15</f>
        <v>95</v>
      </c>
      <c r="E77" s="487">
        <f>D77-$K15</f>
        <v>90</v>
      </c>
      <c r="F77" s="487">
        <f>E77-$K15</f>
        <v>85</v>
      </c>
      <c r="G77" s="487">
        <f>F77-$K15</f>
        <v>80</v>
      </c>
      <c r="H77" s="487"/>
      <c r="I77" s="487"/>
      <c r="J77" s="487"/>
      <c r="K77" s="487"/>
      <c r="L77" s="487"/>
      <c r="M77" s="488"/>
      <c r="N77" s="1099"/>
      <c r="O77" s="1099"/>
      <c r="P77" s="2493"/>
      <c r="Q77" s="447"/>
    </row>
    <row r="78" spans="1:17" ht="15.75" thickTop="1">
      <c r="A78" s="477"/>
      <c r="B78" s="481" t="s">
        <v>2473</v>
      </c>
      <c r="C78" s="521" t="s">
        <v>2468</v>
      </c>
      <c r="D78" s="521" t="s">
        <v>2469</v>
      </c>
      <c r="E78" s="521" t="s">
        <v>2470</v>
      </c>
      <c r="F78" s="521" t="s">
        <v>2471</v>
      </c>
      <c r="G78" s="521" t="s">
        <v>2472</v>
      </c>
      <c r="H78" s="482"/>
      <c r="I78" s="482"/>
      <c r="J78" s="482"/>
      <c r="K78" s="483"/>
      <c r="L78" s="484"/>
      <c r="M78" s="485"/>
      <c r="N78" s="1098"/>
      <c r="O78" s="1098"/>
      <c r="P78" s="2493"/>
      <c r="Q78" s="447"/>
    </row>
    <row r="79" spans="1:17" ht="15.75" thickBot="1">
      <c r="A79" s="477"/>
      <c r="B79" s="486"/>
      <c r="C79" s="487">
        <v>100</v>
      </c>
      <c r="D79" s="487">
        <f>C79-$K17</f>
        <v>97</v>
      </c>
      <c r="E79" s="487">
        <f>D79-$K17</f>
        <v>94</v>
      </c>
      <c r="F79" s="487">
        <f>E79-$K17</f>
        <v>91</v>
      </c>
      <c r="G79" s="487">
        <f>F79-$K17</f>
        <v>88</v>
      </c>
      <c r="H79" s="487"/>
      <c r="I79" s="487"/>
      <c r="J79" s="487"/>
      <c r="K79" s="487"/>
      <c r="L79" s="487"/>
      <c r="M79" s="488"/>
      <c r="N79" s="1099"/>
      <c r="O79" s="1099"/>
      <c r="P79" s="2493"/>
      <c r="Q79" s="447"/>
    </row>
    <row r="80" spans="1:17" ht="15.75" thickTop="1">
      <c r="A80" s="477"/>
      <c r="B80" s="481" t="s">
        <v>2474</v>
      </c>
      <c r="C80" s="521" t="s">
        <v>2468</v>
      </c>
      <c r="D80" s="521" t="s">
        <v>2469</v>
      </c>
      <c r="E80" s="521" t="s">
        <v>2470</v>
      </c>
      <c r="F80" s="521" t="s">
        <v>2471</v>
      </c>
      <c r="G80" s="521" t="s">
        <v>2472</v>
      </c>
      <c r="H80" s="482"/>
      <c r="I80" s="482"/>
      <c r="J80" s="482"/>
      <c r="K80" s="483"/>
      <c r="L80" s="484"/>
      <c r="M80" s="485"/>
      <c r="N80" s="1098"/>
      <c r="O80" s="1098"/>
      <c r="P80" s="2493"/>
      <c r="Q80" s="447"/>
    </row>
    <row r="81" spans="1:17" ht="15.75" thickBot="1">
      <c r="A81" s="477"/>
      <c r="B81" s="486"/>
      <c r="C81" s="487">
        <v>100</v>
      </c>
      <c r="D81" s="487">
        <f>C81-$K19</f>
        <v>95</v>
      </c>
      <c r="E81" s="487">
        <f>D81-$K19</f>
        <v>90</v>
      </c>
      <c r="F81" s="487">
        <f>E81-$K19</f>
        <v>85</v>
      </c>
      <c r="G81" s="487">
        <f>F81-$K19</f>
        <v>80</v>
      </c>
      <c r="H81" s="487"/>
      <c r="I81" s="487"/>
      <c r="J81" s="487"/>
      <c r="K81" s="487"/>
      <c r="L81" s="487"/>
      <c r="M81" s="488"/>
      <c r="N81" s="1099"/>
      <c r="O81" s="1099"/>
      <c r="P81" s="2493"/>
      <c r="Q81" s="447"/>
    </row>
    <row r="82" spans="1:17" ht="15.75" thickTop="1">
      <c r="A82" s="477"/>
      <c r="B82" s="489" t="s">
        <v>1978</v>
      </c>
      <c r="C82" s="482" t="s">
        <v>2475</v>
      </c>
      <c r="D82" s="482" t="s">
        <v>2476</v>
      </c>
      <c r="E82" s="482" t="s">
        <v>2477</v>
      </c>
      <c r="F82" s="482" t="s">
        <v>2478</v>
      </c>
      <c r="G82" s="482" t="s">
        <v>2479</v>
      </c>
      <c r="H82" s="482"/>
      <c r="I82" s="482"/>
      <c r="J82" s="482"/>
      <c r="K82" s="482"/>
      <c r="L82" s="482"/>
      <c r="M82" s="1314"/>
      <c r="N82" s="1099"/>
      <c r="O82" s="1099"/>
      <c r="P82" s="2493"/>
      <c r="Q82" s="447"/>
    </row>
    <row r="83" spans="1:17" ht="15.75" thickBot="1">
      <c r="A83" s="477"/>
      <c r="B83" s="489"/>
      <c r="C83" s="603">
        <v>100</v>
      </c>
      <c r="D83" s="603">
        <f>C83-$K21</f>
        <v>98</v>
      </c>
      <c r="E83" s="603">
        <f t="shared" ref="E83:G83" si="23">D83-$K21</f>
        <v>96</v>
      </c>
      <c r="F83" s="603">
        <f t="shared" si="23"/>
        <v>94</v>
      </c>
      <c r="G83" s="603">
        <f t="shared" si="23"/>
        <v>92</v>
      </c>
      <c r="H83" s="603"/>
      <c r="I83" s="603"/>
      <c r="J83" s="603"/>
      <c r="K83" s="603"/>
      <c r="L83" s="603"/>
      <c r="M83" s="393"/>
      <c r="N83" s="1099"/>
      <c r="O83" s="1099"/>
      <c r="P83" s="2493"/>
      <c r="Q83" s="447"/>
    </row>
    <row r="84" spans="1:17" ht="15.75" thickTop="1">
      <c r="A84" s="477"/>
      <c r="B84" s="481" t="s">
        <v>2480</v>
      </c>
      <c r="C84" s="521" t="s">
        <v>2468</v>
      </c>
      <c r="D84" s="521" t="s">
        <v>2469</v>
      </c>
      <c r="E84" s="521" t="s">
        <v>2470</v>
      </c>
      <c r="F84" s="521" t="s">
        <v>2471</v>
      </c>
      <c r="G84" s="521" t="s">
        <v>2472</v>
      </c>
      <c r="H84" s="482"/>
      <c r="I84" s="482"/>
      <c r="J84" s="482"/>
      <c r="K84" s="483"/>
      <c r="L84" s="484"/>
      <c r="M84" s="485"/>
      <c r="N84" s="1098"/>
      <c r="O84" s="1098"/>
      <c r="P84" s="2493"/>
      <c r="Q84" s="447"/>
    </row>
    <row r="85" spans="1:17" ht="15.75" thickBot="1">
      <c r="A85" s="477"/>
      <c r="B85" s="486"/>
      <c r="C85" s="487">
        <v>100</v>
      </c>
      <c r="D85" s="487">
        <f>C85-$K23</f>
        <v>97</v>
      </c>
      <c r="E85" s="487">
        <f>D85-$K23</f>
        <v>94</v>
      </c>
      <c r="F85" s="487">
        <f>E85-$K23</f>
        <v>91</v>
      </c>
      <c r="G85" s="487">
        <f>F85-$K23</f>
        <v>88</v>
      </c>
      <c r="H85" s="487"/>
      <c r="I85" s="487"/>
      <c r="J85" s="487"/>
      <c r="K85" s="487"/>
      <c r="L85" s="487"/>
      <c r="M85" s="488"/>
      <c r="N85" s="1099"/>
      <c r="O85" s="1099"/>
      <c r="P85" s="2493"/>
      <c r="Q85" s="447"/>
    </row>
    <row r="86" spans="1:17" s="72" customFormat="1" ht="15.75" hidden="1" thickTop="1">
      <c r="A86" s="522"/>
      <c r="B86" s="481" t="s">
        <v>2481</v>
      </c>
      <c r="C86" s="497"/>
      <c r="D86" s="497"/>
      <c r="E86" s="497"/>
      <c r="F86" s="497"/>
      <c r="G86" s="497"/>
      <c r="H86" s="497"/>
      <c r="I86" s="497"/>
      <c r="J86" s="497"/>
      <c r="K86" s="497"/>
      <c r="L86" s="523"/>
      <c r="M86" s="524"/>
      <c r="N86" s="1097"/>
      <c r="O86" s="1097"/>
      <c r="P86" s="2493"/>
      <c r="Q86" s="447"/>
    </row>
    <row r="87" spans="1:17" s="72" customFormat="1" ht="15.75" hidden="1"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9"/>
      <c r="O87" s="1099"/>
      <c r="P87" s="2493"/>
      <c r="Q87" s="447"/>
    </row>
    <row r="88" spans="1:17" s="72" customFormat="1" ht="15.75" hidden="1" thickTop="1">
      <c r="A88" s="522"/>
      <c r="B88" s="481" t="s">
        <v>2482</v>
      </c>
      <c r="C88" s="497"/>
      <c r="D88" s="497"/>
      <c r="E88" s="497"/>
      <c r="F88" s="2498"/>
      <c r="G88" s="497"/>
      <c r="H88" s="497"/>
      <c r="I88" s="497"/>
      <c r="J88" s="497"/>
      <c r="K88" s="497"/>
      <c r="L88" s="497"/>
      <c r="M88" s="524"/>
      <c r="N88" s="1097"/>
      <c r="O88" s="1097"/>
      <c r="P88" s="2493"/>
      <c r="Q88" s="447"/>
    </row>
    <row r="89" spans="1:17" s="72" customFormat="1" ht="15.75" hidden="1"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9"/>
      <c r="O89" s="1099"/>
      <c r="P89" s="2493"/>
      <c r="Q89" s="447"/>
    </row>
    <row r="90" spans="1:17" s="414" customFormat="1" ht="15.75" hidden="1" thickTop="1">
      <c r="A90" s="496"/>
      <c r="B90" s="481">
        <f>B27</f>
        <v>0</v>
      </c>
      <c r="C90" s="497"/>
      <c r="D90" s="497"/>
      <c r="E90" s="497"/>
      <c r="F90" s="497"/>
      <c r="G90" s="497"/>
      <c r="H90" s="498"/>
      <c r="I90" s="498"/>
      <c r="J90" s="498"/>
      <c r="K90" s="498"/>
      <c r="L90" s="499"/>
      <c r="M90" s="500"/>
      <c r="N90" s="1100"/>
      <c r="O90" s="1100"/>
      <c r="P90" s="2494"/>
      <c r="Q90" s="502"/>
    </row>
    <row r="91" spans="1:17" s="414" customFormat="1" ht="15.75" hidden="1" thickBot="1">
      <c r="A91" s="496"/>
      <c r="B91" s="486"/>
      <c r="C91" s="503"/>
      <c r="D91" s="503"/>
      <c r="E91" s="503"/>
      <c r="F91" s="503"/>
      <c r="G91" s="503"/>
      <c r="H91" s="505"/>
      <c r="I91" s="505"/>
      <c r="J91" s="505"/>
      <c r="K91" s="505"/>
      <c r="L91" s="505"/>
      <c r="M91" s="506"/>
      <c r="N91" s="1100"/>
      <c r="O91" s="1100"/>
      <c r="P91" s="2494"/>
      <c r="Q91" s="502"/>
    </row>
    <row r="92" spans="1:17" ht="15.75" hidden="1" thickTop="1">
      <c r="A92" s="477"/>
      <c r="B92" s="481">
        <f>B28</f>
        <v>0</v>
      </c>
      <c r="C92" s="497"/>
      <c r="D92" s="497"/>
      <c r="E92" s="497"/>
      <c r="F92" s="497"/>
      <c r="G92" s="526"/>
      <c r="H92" s="526"/>
      <c r="I92" s="526"/>
      <c r="J92" s="526"/>
      <c r="K92" s="527"/>
      <c r="L92" s="528"/>
      <c r="M92" s="529"/>
      <c r="N92" s="1098"/>
      <c r="O92" s="1098"/>
      <c r="P92" s="2493"/>
      <c r="Q92" s="447"/>
    </row>
    <row r="93" spans="1:17" ht="15.75" hidden="1" thickBot="1">
      <c r="A93" s="477"/>
      <c r="B93" s="486"/>
      <c r="C93" s="503"/>
      <c r="D93" s="479"/>
      <c r="E93" s="479"/>
      <c r="F93" s="479"/>
      <c r="G93" s="479"/>
      <c r="H93" s="479"/>
      <c r="I93" s="479"/>
      <c r="J93" s="479"/>
      <c r="K93" s="479"/>
      <c r="L93" s="479"/>
      <c r="M93" s="480"/>
      <c r="N93" s="1099"/>
      <c r="O93" s="1099"/>
      <c r="P93" s="2493"/>
      <c r="Q93" s="447"/>
    </row>
    <row r="94" spans="1:17" ht="15.75" hidden="1" thickTop="1">
      <c r="A94" s="477"/>
      <c r="B94" s="481">
        <f>B29</f>
        <v>0</v>
      </c>
      <c r="C94" s="497"/>
      <c r="D94" s="497"/>
      <c r="E94" s="497"/>
      <c r="F94" s="497"/>
      <c r="G94" s="526"/>
      <c r="H94" s="526"/>
      <c r="I94" s="526"/>
      <c r="J94" s="526"/>
      <c r="K94" s="527"/>
      <c r="L94" s="528"/>
      <c r="M94" s="529"/>
      <c r="N94" s="1098"/>
      <c r="O94" s="1098"/>
      <c r="P94" s="2493"/>
      <c r="Q94" s="447"/>
    </row>
    <row r="95" spans="1:17" ht="15.75" hidden="1" thickBot="1">
      <c r="A95" s="477"/>
      <c r="B95" s="486"/>
      <c r="C95" s="503"/>
      <c r="D95" s="503"/>
      <c r="E95" s="503"/>
      <c r="F95" s="503"/>
      <c r="G95" s="479"/>
      <c r="H95" s="479"/>
      <c r="I95" s="479"/>
      <c r="J95" s="479"/>
      <c r="K95" s="479"/>
      <c r="L95" s="479"/>
      <c r="M95" s="480"/>
      <c r="N95" s="1099"/>
      <c r="O95" s="1099"/>
      <c r="P95" s="2493"/>
      <c r="Q95" s="447"/>
    </row>
    <row r="96" spans="1:17" ht="15.75" hidden="1" thickTop="1">
      <c r="A96" s="477"/>
      <c r="B96" s="481">
        <f>B30</f>
        <v>0</v>
      </c>
      <c r="C96" s="497"/>
      <c r="D96" s="497"/>
      <c r="E96" s="497"/>
      <c r="F96" s="497"/>
      <c r="G96" s="526"/>
      <c r="H96" s="526"/>
      <c r="I96" s="526"/>
      <c r="J96" s="526"/>
      <c r="K96" s="527"/>
      <c r="L96" s="528"/>
      <c r="M96" s="529"/>
      <c r="N96" s="1098"/>
      <c r="O96" s="1098"/>
      <c r="P96" s="2493"/>
      <c r="Q96" s="447"/>
    </row>
    <row r="97" spans="1:17" ht="15.75" hidden="1" thickBot="1">
      <c r="A97" s="477"/>
      <c r="B97" s="486"/>
      <c r="C97" s="513"/>
      <c r="D97" s="513"/>
      <c r="E97" s="513"/>
      <c r="F97" s="513"/>
      <c r="G97" s="479"/>
      <c r="H97" s="479"/>
      <c r="I97" s="479"/>
      <c r="J97" s="479"/>
      <c r="K97" s="479"/>
      <c r="L97" s="479"/>
      <c r="M97" s="480"/>
      <c r="N97" s="1099"/>
      <c r="O97" s="1099"/>
      <c r="P97" s="2493"/>
      <c r="Q97" s="447"/>
    </row>
    <row r="98" spans="1:17" ht="15.75" hidden="1" thickTop="1">
      <c r="A98" s="477"/>
      <c r="B98" s="489">
        <f>B31</f>
        <v>0</v>
      </c>
      <c r="C98" s="530"/>
      <c r="D98" s="530"/>
      <c r="E98" s="530"/>
      <c r="F98" s="530"/>
      <c r="G98" s="530"/>
      <c r="H98" s="530"/>
      <c r="I98" s="530"/>
      <c r="J98" s="530"/>
      <c r="K98" s="531"/>
      <c r="L98" s="532"/>
      <c r="M98" s="533"/>
      <c r="N98" s="1098"/>
      <c r="O98" s="1098"/>
      <c r="P98" s="2493"/>
      <c r="Q98" s="447"/>
    </row>
    <row r="99" spans="1:17" ht="15.75" hidden="1" thickBot="1">
      <c r="A99" s="2499"/>
      <c r="B99" s="512"/>
      <c r="C99" s="534"/>
      <c r="D99" s="534"/>
      <c r="E99" s="534"/>
      <c r="F99" s="534"/>
      <c r="G99" s="534"/>
      <c r="H99" s="534"/>
      <c r="I99" s="534"/>
      <c r="J99" s="534"/>
      <c r="K99" s="534"/>
      <c r="L99" s="534"/>
      <c r="M99" s="535"/>
      <c r="N99" s="1099"/>
      <c r="O99" s="1099"/>
      <c r="P99" s="2493"/>
      <c r="Q99" s="447"/>
    </row>
    <row r="100" spans="1:17" ht="15" thickTop="1">
      <c r="A100" s="470" t="s">
        <v>2434</v>
      </c>
      <c r="B100" s="471" t="s">
        <v>2483</v>
      </c>
      <c r="C100" s="2832" t="s">
        <v>3237</v>
      </c>
      <c r="D100" s="2832" t="s">
        <v>3239</v>
      </c>
      <c r="E100" s="473"/>
      <c r="F100" s="473"/>
      <c r="G100" s="473"/>
      <c r="H100" s="473"/>
      <c r="I100" s="473"/>
      <c r="J100" s="473"/>
      <c r="K100" s="474"/>
      <c r="L100" s="475"/>
      <c r="M100" s="476"/>
      <c r="N100" s="1098"/>
      <c r="O100" s="1098"/>
      <c r="P100" s="2493"/>
      <c r="Q100" s="447"/>
    </row>
    <row r="101" spans="1:17" ht="15.75" thickBot="1">
      <c r="A101" s="477"/>
      <c r="B101" s="486"/>
      <c r="C101" s="487">
        <v>100</v>
      </c>
      <c r="D101" s="487">
        <f t="shared" ref="D101:M101" si="26">C101-$K32</f>
        <v>97</v>
      </c>
      <c r="E101" s="487">
        <f t="shared" si="26"/>
        <v>94</v>
      </c>
      <c r="F101" s="487">
        <f t="shared" si="26"/>
        <v>91</v>
      </c>
      <c r="G101" s="487">
        <f t="shared" si="26"/>
        <v>88</v>
      </c>
      <c r="H101" s="487">
        <f t="shared" si="26"/>
        <v>85</v>
      </c>
      <c r="I101" s="487">
        <f t="shared" si="26"/>
        <v>82</v>
      </c>
      <c r="J101" s="487">
        <f t="shared" si="26"/>
        <v>79</v>
      </c>
      <c r="K101" s="487">
        <f t="shared" si="26"/>
        <v>76</v>
      </c>
      <c r="L101" s="487">
        <f t="shared" si="26"/>
        <v>73</v>
      </c>
      <c r="M101" s="487">
        <f t="shared" si="26"/>
        <v>70</v>
      </c>
      <c r="N101" s="1099"/>
      <c r="O101" s="1099"/>
      <c r="P101" s="2493"/>
      <c r="Q101" s="447"/>
    </row>
    <row r="102" spans="1:17" ht="15.75" thickTop="1">
      <c r="A102" s="477"/>
      <c r="B102" s="481" t="s">
        <v>2484</v>
      </c>
      <c r="C102" s="521" t="str">
        <f>C103&amp;"(含)"&amp;"-"&amp;D103</f>
        <v>0(含)-500000</v>
      </c>
      <c r="D102" s="521" t="str">
        <f t="shared" ref="D102:L102" si="27">D103&amp;"(含)"&amp;"-"&amp;E103</f>
        <v>500000(含)-</v>
      </c>
      <c r="E102" s="521" t="str">
        <f t="shared" si="27"/>
        <v>(含)-</v>
      </c>
      <c r="F102" s="521" t="str">
        <f t="shared" si="27"/>
        <v>(含)-</v>
      </c>
      <c r="G102" s="521" t="str">
        <f t="shared" si="27"/>
        <v>(含)-</v>
      </c>
      <c r="H102" s="521" t="str">
        <f t="shared" si="27"/>
        <v>(含)-</v>
      </c>
      <c r="I102" s="521" t="str">
        <f t="shared" si="27"/>
        <v>(含)-</v>
      </c>
      <c r="J102" s="521" t="str">
        <f t="shared" si="27"/>
        <v>(含)-</v>
      </c>
      <c r="K102" s="521" t="str">
        <f>K103&amp;"(含)"&amp;"-"&amp;L103</f>
        <v>(含)-</v>
      </c>
      <c r="L102" s="521" t="str">
        <f t="shared" si="27"/>
        <v>(含)-</v>
      </c>
      <c r="M102" s="521" t="str">
        <f>M103&amp;"(含)"&amp;"-"&amp;P103</f>
        <v>(含)-</v>
      </c>
      <c r="N102" s="1097"/>
      <c r="O102" s="1097"/>
      <c r="P102" s="2493"/>
      <c r="Q102" s="447"/>
    </row>
    <row r="103" spans="1:17" s="414" customFormat="1">
      <c r="A103" s="536"/>
      <c r="B103" s="537"/>
      <c r="C103" s="538">
        <v>0</v>
      </c>
      <c r="D103" s="538">
        <v>500000</v>
      </c>
      <c r="E103" s="538"/>
      <c r="F103" s="538"/>
      <c r="G103" s="538"/>
      <c r="H103" s="538"/>
      <c r="I103" s="538"/>
      <c r="J103" s="539"/>
      <c r="K103" s="539"/>
      <c r="L103" s="540"/>
      <c r="M103" s="541"/>
      <c r="N103" s="1100"/>
      <c r="O103" s="1100"/>
      <c r="P103" s="2494"/>
      <c r="Q103" s="502"/>
    </row>
    <row r="104" spans="1:17" s="414" customFormat="1" ht="15.75" thickBot="1">
      <c r="A104" s="496"/>
      <c r="B104" s="486"/>
      <c r="C104" s="503">
        <v>100</v>
      </c>
      <c r="D104" s="479">
        <v>100</v>
      </c>
      <c r="E104" s="479"/>
      <c r="F104" s="479"/>
      <c r="G104" s="479"/>
      <c r="H104" s="479"/>
      <c r="I104" s="479"/>
      <c r="J104" s="479"/>
      <c r="K104" s="479"/>
      <c r="L104" s="479"/>
      <c r="M104" s="479"/>
      <c r="N104" s="1099"/>
      <c r="O104" s="1099"/>
      <c r="P104" s="2494"/>
      <c r="Q104" s="502"/>
    </row>
    <row r="105" spans="1:17" ht="15" thickTop="1">
      <c r="A105" s="542"/>
      <c r="B105" s="481" t="s">
        <v>2485</v>
      </c>
      <c r="C105" s="2824" t="s">
        <v>3235</v>
      </c>
      <c r="D105" s="497"/>
      <c r="E105" s="526"/>
      <c r="F105" s="526"/>
      <c r="G105" s="526"/>
      <c r="H105" s="526"/>
      <c r="I105" s="526"/>
      <c r="J105" s="526"/>
      <c r="K105" s="527"/>
      <c r="L105" s="528"/>
      <c r="M105" s="529"/>
      <c r="N105" s="1098"/>
      <c r="O105" s="1098"/>
      <c r="P105" s="2493"/>
      <c r="Q105" s="447"/>
    </row>
    <row r="106" spans="1:17" ht="15.75" thickBot="1">
      <c r="A106" s="477"/>
      <c r="B106" s="486"/>
      <c r="C106" s="487">
        <v>100</v>
      </c>
      <c r="D106" s="487">
        <f t="shared" ref="D106:M106" si="28">C106-$K34</f>
        <v>98</v>
      </c>
      <c r="E106" s="487">
        <f t="shared" si="28"/>
        <v>96</v>
      </c>
      <c r="F106" s="487">
        <f t="shared" si="28"/>
        <v>94</v>
      </c>
      <c r="G106" s="487">
        <f t="shared" si="28"/>
        <v>92</v>
      </c>
      <c r="H106" s="487">
        <f t="shared" si="28"/>
        <v>90</v>
      </c>
      <c r="I106" s="487">
        <f t="shared" si="28"/>
        <v>88</v>
      </c>
      <c r="J106" s="487">
        <f t="shared" si="28"/>
        <v>86</v>
      </c>
      <c r="K106" s="487">
        <f t="shared" si="28"/>
        <v>84</v>
      </c>
      <c r="L106" s="487">
        <f t="shared" si="28"/>
        <v>82</v>
      </c>
      <c r="M106" s="487">
        <f t="shared" si="28"/>
        <v>80</v>
      </c>
      <c r="N106" s="1099"/>
      <c r="O106" s="1099"/>
      <c r="P106" s="2493"/>
      <c r="Q106" s="447"/>
    </row>
    <row r="107" spans="1:17" ht="15" thickTop="1">
      <c r="A107" s="542"/>
      <c r="B107" s="481" t="s">
        <v>2486</v>
      </c>
      <c r="C107" s="2823" t="s">
        <v>3320</v>
      </c>
      <c r="D107" s="2823" t="s">
        <v>3406</v>
      </c>
      <c r="E107" s="2823" t="s">
        <v>3407</v>
      </c>
      <c r="F107" s="526"/>
      <c r="G107" s="526"/>
      <c r="H107" s="526"/>
      <c r="I107" s="526"/>
      <c r="J107" s="526"/>
      <c r="K107" s="527"/>
      <c r="L107" s="528"/>
      <c r="M107" s="529"/>
      <c r="N107" s="1098"/>
      <c r="O107" s="1098"/>
      <c r="P107" s="2493"/>
      <c r="Q107" s="447"/>
    </row>
    <row r="108" spans="1:17" ht="15.75" thickBot="1">
      <c r="A108" s="477"/>
      <c r="B108" s="486"/>
      <c r="C108" s="487">
        <v>100</v>
      </c>
      <c r="D108" s="487">
        <f t="shared" ref="D108:M108" si="29">C108-$K35</f>
        <v>95</v>
      </c>
      <c r="E108" s="487">
        <f t="shared" si="29"/>
        <v>90</v>
      </c>
      <c r="F108" s="487">
        <f t="shared" si="29"/>
        <v>85</v>
      </c>
      <c r="G108" s="487">
        <f t="shared" si="29"/>
        <v>80</v>
      </c>
      <c r="H108" s="487">
        <f t="shared" si="29"/>
        <v>75</v>
      </c>
      <c r="I108" s="487">
        <f t="shared" si="29"/>
        <v>70</v>
      </c>
      <c r="J108" s="487">
        <f t="shared" si="29"/>
        <v>65</v>
      </c>
      <c r="K108" s="487">
        <f t="shared" si="29"/>
        <v>60</v>
      </c>
      <c r="L108" s="487">
        <f t="shared" si="29"/>
        <v>55</v>
      </c>
      <c r="M108" s="487">
        <f t="shared" si="29"/>
        <v>50</v>
      </c>
      <c r="N108" s="1099"/>
      <c r="O108" s="1099"/>
      <c r="P108" s="2493"/>
      <c r="Q108" s="447"/>
    </row>
    <row r="109" spans="1:17" ht="15" thickTop="1">
      <c r="A109" s="542"/>
      <c r="B109" s="481" t="s">
        <v>2487</v>
      </c>
      <c r="C109" s="2824" t="s">
        <v>3226</v>
      </c>
      <c r="D109" s="497"/>
      <c r="E109" s="497"/>
      <c r="F109" s="526"/>
      <c r="G109" s="526"/>
      <c r="H109" s="526"/>
      <c r="I109" s="526"/>
      <c r="J109" s="526"/>
      <c r="K109" s="527"/>
      <c r="L109" s="528"/>
      <c r="M109" s="529"/>
      <c r="N109" s="1098"/>
      <c r="O109" s="1098"/>
      <c r="P109" s="2493"/>
      <c r="Q109" s="447"/>
    </row>
    <row r="110" spans="1:17" ht="15.75" thickBot="1">
      <c r="A110" s="477"/>
      <c r="B110" s="486"/>
      <c r="C110" s="487">
        <v>100</v>
      </c>
      <c r="D110" s="487">
        <f t="shared" ref="D110:M110" si="30">C110-$K36</f>
        <v>100</v>
      </c>
      <c r="E110" s="487">
        <f t="shared" si="30"/>
        <v>100</v>
      </c>
      <c r="F110" s="487">
        <f t="shared" si="30"/>
        <v>100</v>
      </c>
      <c r="G110" s="487">
        <f t="shared" si="30"/>
        <v>100</v>
      </c>
      <c r="H110" s="487">
        <f t="shared" si="30"/>
        <v>100</v>
      </c>
      <c r="I110" s="487">
        <f t="shared" si="30"/>
        <v>100</v>
      </c>
      <c r="J110" s="487">
        <f t="shared" si="30"/>
        <v>100</v>
      </c>
      <c r="K110" s="487">
        <f t="shared" si="30"/>
        <v>100</v>
      </c>
      <c r="L110" s="487">
        <f t="shared" si="30"/>
        <v>100</v>
      </c>
      <c r="M110" s="487">
        <f t="shared" si="30"/>
        <v>100</v>
      </c>
      <c r="N110" s="1099"/>
      <c r="O110" s="1099"/>
      <c r="P110" s="2493"/>
      <c r="Q110" s="447"/>
    </row>
    <row r="111" spans="1:17" s="414" customFormat="1" ht="15" thickTop="1">
      <c r="A111" s="536"/>
      <c r="B111" s="481" t="s">
        <v>1962</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100"/>
      <c r="O111" s="1100"/>
      <c r="P111" s="2494"/>
      <c r="Q111" s="502"/>
    </row>
    <row r="112" spans="1:17" s="414" customFormat="1">
      <c r="A112" s="536"/>
      <c r="B112" s="489"/>
      <c r="C112" s="546">
        <v>0.5</v>
      </c>
      <c r="D112" s="546">
        <v>0.6</v>
      </c>
      <c r="E112" s="546">
        <v>0.7</v>
      </c>
      <c r="F112" s="546">
        <v>0.8</v>
      </c>
      <c r="G112" s="546">
        <v>0.9</v>
      </c>
      <c r="H112" s="546">
        <v>1.0001</v>
      </c>
      <c r="I112" s="546"/>
      <c r="J112" s="547"/>
      <c r="K112" s="547"/>
      <c r="L112" s="548"/>
      <c r="M112" s="549"/>
      <c r="N112" s="1100"/>
      <c r="O112" s="1100"/>
      <c r="P112" s="2494"/>
      <c r="Q112" s="502"/>
    </row>
    <row r="113" spans="1:17" s="414" customFormat="1" ht="15.75" thickBot="1">
      <c r="A113" s="496"/>
      <c r="B113" s="486"/>
      <c r="C113" s="525">
        <v>100</v>
      </c>
      <c r="D113" s="487">
        <f>C113+$K37</f>
        <v>102</v>
      </c>
      <c r="E113" s="487">
        <f>D113+$K37</f>
        <v>104</v>
      </c>
      <c r="F113" s="487">
        <f>E113+$K37</f>
        <v>106</v>
      </c>
      <c r="G113" s="487">
        <f>F113+$K37</f>
        <v>108</v>
      </c>
      <c r="H113" s="487">
        <f>G113+$K37</f>
        <v>110</v>
      </c>
      <c r="I113" s="525"/>
      <c r="J113" s="550"/>
      <c r="K113" s="550"/>
      <c r="L113" s="550"/>
      <c r="M113" s="551"/>
      <c r="N113" s="1100"/>
      <c r="O113" s="1100"/>
      <c r="P113" s="2494"/>
      <c r="Q113" s="502"/>
    </row>
    <row r="114" spans="1:17" ht="15" thickTop="1">
      <c r="A114" s="542"/>
      <c r="B114" s="481" t="s">
        <v>2488</v>
      </c>
      <c r="C114" s="2824" t="s">
        <v>3232</v>
      </c>
      <c r="D114" s="497"/>
      <c r="E114" s="526"/>
      <c r="F114" s="526"/>
      <c r="G114" s="526"/>
      <c r="H114" s="526"/>
      <c r="I114" s="526"/>
      <c r="J114" s="526"/>
      <c r="K114" s="527"/>
      <c r="L114" s="528"/>
      <c r="M114" s="529"/>
      <c r="N114" s="1098"/>
      <c r="O114" s="1098"/>
      <c r="P114" s="2493"/>
      <c r="Q114" s="447"/>
    </row>
    <row r="115" spans="1:17" ht="15.75" thickBot="1">
      <c r="A115" s="477"/>
      <c r="B115" s="486"/>
      <c r="C115" s="487">
        <v>100</v>
      </c>
      <c r="D115" s="487">
        <f t="shared" ref="D115:M115" si="31">C115-$K38</f>
        <v>98</v>
      </c>
      <c r="E115" s="487">
        <f t="shared" si="31"/>
        <v>96</v>
      </c>
      <c r="F115" s="487">
        <f t="shared" si="31"/>
        <v>94</v>
      </c>
      <c r="G115" s="487">
        <f t="shared" si="31"/>
        <v>92</v>
      </c>
      <c r="H115" s="487">
        <f t="shared" si="31"/>
        <v>90</v>
      </c>
      <c r="I115" s="487">
        <f t="shared" si="31"/>
        <v>88</v>
      </c>
      <c r="J115" s="487">
        <f t="shared" si="31"/>
        <v>86</v>
      </c>
      <c r="K115" s="487">
        <f t="shared" si="31"/>
        <v>84</v>
      </c>
      <c r="L115" s="487">
        <f t="shared" si="31"/>
        <v>82</v>
      </c>
      <c r="M115" s="487">
        <f t="shared" si="31"/>
        <v>80</v>
      </c>
      <c r="N115" s="1099"/>
      <c r="O115" s="1099"/>
      <c r="P115" s="2493"/>
      <c r="Q115" s="447"/>
    </row>
    <row r="116" spans="1:17" ht="15" thickTop="1">
      <c r="A116" s="542"/>
      <c r="B116" s="481" t="s">
        <v>2489</v>
      </c>
      <c r="C116" s="2824" t="s">
        <v>3230</v>
      </c>
      <c r="D116" s="497"/>
      <c r="E116" s="497"/>
      <c r="F116" s="497"/>
      <c r="G116" s="497"/>
      <c r="H116" s="526"/>
      <c r="I116" s="526"/>
      <c r="J116" s="526"/>
      <c r="K116" s="527"/>
      <c r="L116" s="528"/>
      <c r="M116" s="529"/>
      <c r="N116" s="1098"/>
      <c r="O116" s="1098"/>
      <c r="P116" s="2493"/>
      <c r="Q116" s="447"/>
    </row>
    <row r="117" spans="1:17" ht="15.75" thickBot="1">
      <c r="A117" s="477"/>
      <c r="B117" s="486"/>
      <c r="C117" s="487">
        <v>100</v>
      </c>
      <c r="D117" s="487">
        <f>C117-$K39</f>
        <v>98</v>
      </c>
      <c r="E117" s="487">
        <f>D117-$K39</f>
        <v>96</v>
      </c>
      <c r="F117" s="487">
        <f>E117-$K39</f>
        <v>94</v>
      </c>
      <c r="G117" s="487">
        <f>F117-$K39</f>
        <v>92</v>
      </c>
      <c r="H117" s="487"/>
      <c r="I117" s="487"/>
      <c r="J117" s="487"/>
      <c r="K117" s="487"/>
      <c r="L117" s="487"/>
      <c r="M117" s="488"/>
      <c r="N117" s="1099"/>
      <c r="O117" s="1099"/>
      <c r="P117" s="2493"/>
      <c r="Q117" s="447"/>
    </row>
    <row r="118" spans="1:17" ht="15" thickTop="1">
      <c r="A118" s="542"/>
      <c r="B118" s="481" t="s">
        <v>2490</v>
      </c>
      <c r="C118" s="2823" t="s">
        <v>3229</v>
      </c>
      <c r="D118" s="526"/>
      <c r="E118" s="526"/>
      <c r="F118" s="526"/>
      <c r="G118" s="526"/>
      <c r="H118" s="526"/>
      <c r="I118" s="526"/>
      <c r="J118" s="526"/>
      <c r="K118" s="527"/>
      <c r="L118" s="528"/>
      <c r="M118" s="529"/>
      <c r="N118" s="1098"/>
      <c r="O118" s="1098"/>
      <c r="P118" s="2493"/>
      <c r="Q118" s="447"/>
    </row>
    <row r="119" spans="1:17" ht="15.75" thickBot="1">
      <c r="A119" s="477"/>
      <c r="B119" s="486"/>
      <c r="C119" s="487">
        <v>100</v>
      </c>
      <c r="D119" s="487">
        <f t="shared" ref="D119:M119" si="32">C119-$K40</f>
        <v>95</v>
      </c>
      <c r="E119" s="487">
        <f t="shared" si="32"/>
        <v>90</v>
      </c>
      <c r="F119" s="487">
        <f t="shared" si="32"/>
        <v>85</v>
      </c>
      <c r="G119" s="487">
        <f t="shared" si="32"/>
        <v>80</v>
      </c>
      <c r="H119" s="487">
        <f t="shared" si="32"/>
        <v>75</v>
      </c>
      <c r="I119" s="487">
        <f t="shared" si="32"/>
        <v>70</v>
      </c>
      <c r="J119" s="487">
        <f t="shared" si="32"/>
        <v>65</v>
      </c>
      <c r="K119" s="487">
        <f t="shared" si="32"/>
        <v>60</v>
      </c>
      <c r="L119" s="487">
        <f t="shared" si="32"/>
        <v>55</v>
      </c>
      <c r="M119" s="487">
        <f t="shared" si="32"/>
        <v>50</v>
      </c>
      <c r="N119" s="1099"/>
      <c r="O119" s="1099"/>
      <c r="P119" s="2493"/>
      <c r="Q119" s="447"/>
    </row>
    <row r="120" spans="1:17" s="414" customFormat="1" ht="28.5" thickTop="1">
      <c r="A120" s="536"/>
      <c r="B120" s="481" t="s">
        <v>2445</v>
      </c>
      <c r="C120" s="497"/>
      <c r="D120" s="497"/>
      <c r="E120" s="497"/>
      <c r="F120" s="497"/>
      <c r="G120" s="497"/>
      <c r="H120" s="497"/>
      <c r="I120" s="497"/>
      <c r="J120" s="497"/>
      <c r="K120" s="497"/>
      <c r="L120" s="523"/>
      <c r="M120" s="524"/>
      <c r="N120" s="1100"/>
      <c r="O120" s="1100"/>
      <c r="P120" s="2494"/>
      <c r="Q120" s="502"/>
    </row>
    <row r="121" spans="1:17" s="414" customFormat="1" ht="15.75" thickBot="1">
      <c r="A121" s="496"/>
      <c r="B121" s="478"/>
      <c r="C121" s="503"/>
      <c r="D121" s="479"/>
      <c r="E121" s="479"/>
      <c r="F121" s="479"/>
      <c r="G121" s="479"/>
      <c r="H121" s="479"/>
      <c r="I121" s="479"/>
      <c r="J121" s="479"/>
      <c r="K121" s="479"/>
      <c r="L121" s="479"/>
      <c r="M121" s="479"/>
      <c r="N121" s="1100"/>
      <c r="O121" s="1100"/>
      <c r="P121" s="2494"/>
      <c r="Q121" s="502"/>
    </row>
    <row r="122" spans="1:17" ht="15" thickTop="1">
      <c r="A122" s="542"/>
      <c r="B122" s="481" t="s">
        <v>2491</v>
      </c>
      <c r="C122" s="2824" t="s">
        <v>3226</v>
      </c>
      <c r="D122" s="2824" t="s">
        <v>3227</v>
      </c>
      <c r="E122" s="497"/>
      <c r="F122" s="526"/>
      <c r="G122" s="526"/>
      <c r="H122" s="526"/>
      <c r="I122" s="526"/>
      <c r="J122" s="526"/>
      <c r="K122" s="527"/>
      <c r="L122" s="528"/>
      <c r="M122" s="529"/>
      <c r="N122" s="1098"/>
      <c r="O122" s="1098"/>
      <c r="P122" s="2493"/>
      <c r="Q122" s="447"/>
    </row>
    <row r="123" spans="1:17" ht="15.75" thickBot="1">
      <c r="A123" s="477"/>
      <c r="B123" s="486"/>
      <c r="C123" s="487">
        <v>100</v>
      </c>
      <c r="D123" s="487">
        <f t="shared" ref="D123:M123" si="33">C123-$K42</f>
        <v>95</v>
      </c>
      <c r="E123" s="487">
        <f t="shared" si="33"/>
        <v>90</v>
      </c>
      <c r="F123" s="487">
        <f t="shared" si="33"/>
        <v>85</v>
      </c>
      <c r="G123" s="487">
        <f t="shared" si="33"/>
        <v>80</v>
      </c>
      <c r="H123" s="487">
        <f t="shared" si="33"/>
        <v>75</v>
      </c>
      <c r="I123" s="487">
        <f t="shared" si="33"/>
        <v>70</v>
      </c>
      <c r="J123" s="487">
        <f t="shared" si="33"/>
        <v>65</v>
      </c>
      <c r="K123" s="487">
        <f t="shared" si="33"/>
        <v>60</v>
      </c>
      <c r="L123" s="487">
        <f t="shared" si="33"/>
        <v>55</v>
      </c>
      <c r="M123" s="487">
        <f t="shared" si="33"/>
        <v>50</v>
      </c>
      <c r="N123" s="1099"/>
      <c r="O123" s="1099"/>
      <c r="P123" s="2493"/>
      <c r="Q123" s="447"/>
    </row>
    <row r="124" spans="1:17" ht="15" thickTop="1">
      <c r="A124" s="542"/>
      <c r="B124" s="481" t="s">
        <v>2492</v>
      </c>
      <c r="C124" s="521" t="s">
        <v>2468</v>
      </c>
      <c r="D124" s="521" t="s">
        <v>2469</v>
      </c>
      <c r="E124" s="521" t="s">
        <v>2470</v>
      </c>
      <c r="F124" s="521" t="s">
        <v>2471</v>
      </c>
      <c r="G124" s="521" t="s">
        <v>2472</v>
      </c>
      <c r="H124" s="482"/>
      <c r="I124" s="482"/>
      <c r="J124" s="482"/>
      <c r="K124" s="483"/>
      <c r="L124" s="484"/>
      <c r="M124" s="485"/>
      <c r="N124" s="1098"/>
      <c r="O124" s="1098"/>
      <c r="P124" s="2494"/>
      <c r="Q124" s="447"/>
    </row>
    <row r="125" spans="1:17" ht="15.75" thickBot="1">
      <c r="A125" s="477"/>
      <c r="B125" s="486"/>
      <c r="C125" s="487">
        <v>100</v>
      </c>
      <c r="D125" s="487">
        <f>C125-$K43</f>
        <v>98</v>
      </c>
      <c r="E125" s="487">
        <f>D125-$K43</f>
        <v>96</v>
      </c>
      <c r="F125" s="487">
        <f>E125-$K43</f>
        <v>94</v>
      </c>
      <c r="G125" s="487">
        <f>F125-$K43</f>
        <v>92</v>
      </c>
      <c r="H125" s="487"/>
      <c r="I125" s="487"/>
      <c r="J125" s="487"/>
      <c r="K125" s="487"/>
      <c r="L125" s="487"/>
      <c r="M125" s="488"/>
      <c r="N125" s="1099"/>
      <c r="O125" s="1099"/>
      <c r="P125" s="2493"/>
      <c r="Q125" s="447"/>
    </row>
    <row r="126" spans="1:17" s="414" customFormat="1" ht="15" hidden="1" thickTop="1">
      <c r="A126" s="536"/>
      <c r="B126" s="481">
        <f>B44</f>
        <v>0</v>
      </c>
      <c r="C126" s="497"/>
      <c r="D126" s="497"/>
      <c r="E126" s="497"/>
      <c r="F126" s="497"/>
      <c r="G126" s="497"/>
      <c r="H126" s="498"/>
      <c r="I126" s="498"/>
      <c r="J126" s="498"/>
      <c r="K126" s="498"/>
      <c r="L126" s="499"/>
      <c r="M126" s="500"/>
      <c r="N126" s="1100"/>
      <c r="O126" s="1100"/>
      <c r="P126" s="2494"/>
      <c r="Q126" s="502"/>
    </row>
    <row r="127" spans="1:17" s="414" customFormat="1" ht="15.75" hidden="1" thickBot="1">
      <c r="A127" s="496"/>
      <c r="B127" s="486"/>
      <c r="C127" s="503"/>
      <c r="D127" s="479"/>
      <c r="E127" s="479"/>
      <c r="F127" s="479"/>
      <c r="G127" s="503"/>
      <c r="H127" s="505"/>
      <c r="I127" s="505"/>
      <c r="J127" s="505"/>
      <c r="K127" s="505"/>
      <c r="L127" s="505"/>
      <c r="M127" s="506"/>
      <c r="N127" s="1100"/>
      <c r="O127" s="1100"/>
      <c r="P127" s="2494"/>
      <c r="Q127" s="502"/>
    </row>
    <row r="128" spans="1:17" ht="15" hidden="1" thickTop="1">
      <c r="A128" s="542"/>
      <c r="B128" s="481">
        <f>B45</f>
        <v>0</v>
      </c>
      <c r="C128" s="497"/>
      <c r="D128" s="497"/>
      <c r="E128" s="497"/>
      <c r="F128" s="497"/>
      <c r="G128" s="526"/>
      <c r="H128" s="526"/>
      <c r="I128" s="526"/>
      <c r="J128" s="526"/>
      <c r="K128" s="527"/>
      <c r="L128" s="528"/>
      <c r="M128" s="529"/>
      <c r="N128" s="1098"/>
      <c r="O128" s="1098"/>
      <c r="P128" s="2493"/>
      <c r="Q128" s="447"/>
    </row>
    <row r="129" spans="1:17" ht="15.75" hidden="1" thickBot="1">
      <c r="A129" s="477"/>
      <c r="B129" s="486"/>
      <c r="C129" s="503"/>
      <c r="D129" s="503"/>
      <c r="E129" s="503"/>
      <c r="F129" s="503"/>
      <c r="G129" s="479"/>
      <c r="H129" s="479"/>
      <c r="I129" s="479"/>
      <c r="J129" s="479"/>
      <c r="K129" s="479"/>
      <c r="L129" s="479"/>
      <c r="M129" s="480"/>
      <c r="N129" s="1099"/>
      <c r="O129" s="1099"/>
      <c r="P129" s="2493"/>
      <c r="Q129" s="447"/>
    </row>
    <row r="130" spans="1:17" ht="15" hidden="1" thickTop="1">
      <c r="A130" s="542"/>
      <c r="B130" s="489">
        <f>B46</f>
        <v>0</v>
      </c>
      <c r="C130" s="497"/>
      <c r="D130" s="497"/>
      <c r="E130" s="497"/>
      <c r="F130" s="497"/>
      <c r="G130" s="530"/>
      <c r="H130" s="530"/>
      <c r="I130" s="530"/>
      <c r="J130" s="530"/>
      <c r="K130" s="466"/>
      <c r="L130" s="467"/>
      <c r="M130" s="533"/>
      <c r="N130" s="1098"/>
      <c r="O130" s="1098"/>
      <c r="P130" s="2493"/>
      <c r="Q130" s="447"/>
    </row>
    <row r="131" spans="1:17" ht="15.75" hidden="1" thickBot="1">
      <c r="A131" s="2499"/>
      <c r="B131" s="512"/>
      <c r="C131" s="513"/>
      <c r="D131" s="513"/>
      <c r="E131" s="513"/>
      <c r="F131" s="513"/>
      <c r="G131" s="534"/>
      <c r="H131" s="534"/>
      <c r="I131" s="534"/>
      <c r="J131" s="534"/>
      <c r="K131" s="534"/>
      <c r="L131" s="534"/>
      <c r="M131" s="535"/>
      <c r="N131" s="1099"/>
      <c r="O131" s="1099"/>
      <c r="P131" s="2493"/>
      <c r="Q131" s="447"/>
    </row>
    <row r="132" spans="1:17" ht="15" thickTop="1"/>
    <row r="136" spans="1:17" ht="15" thickBot="1">
      <c r="B136" s="2500" t="s">
        <v>2493</v>
      </c>
    </row>
    <row r="137" spans="1:17" ht="15">
      <c r="B137" s="2501" t="s">
        <v>2494</v>
      </c>
      <c r="C137" s="2502"/>
      <c r="D137" s="2502"/>
      <c r="E137" s="2502"/>
      <c r="F137" s="2502"/>
      <c r="G137" s="2503"/>
      <c r="H137" s="2504"/>
      <c r="I137" s="2505" t="s">
        <v>2495</v>
      </c>
      <c r="J137" s="2502"/>
      <c r="K137" s="2506"/>
    </row>
    <row r="138" spans="1:17" ht="15">
      <c r="B138" s="2507"/>
      <c r="C138" s="89" t="s">
        <v>2496</v>
      </c>
      <c r="D138" s="89" t="s">
        <v>2497</v>
      </c>
      <c r="E138" s="2508" t="s">
        <v>2498</v>
      </c>
      <c r="F138" s="2509" t="s">
        <v>2499</v>
      </c>
      <c r="G138" s="89" t="s">
        <v>2497</v>
      </c>
      <c r="H138" s="90" t="s">
        <v>2498</v>
      </c>
      <c r="I138" s="2510"/>
      <c r="J138" s="89" t="s">
        <v>2500</v>
      </c>
      <c r="K138" s="90" t="s">
        <v>2501</v>
      </c>
    </row>
    <row r="139" spans="1:17" ht="15">
      <c r="B139" s="1030">
        <v>6</v>
      </c>
      <c r="C139" s="1031">
        <v>96</v>
      </c>
      <c r="D139" s="2511" t="s">
        <v>2502</v>
      </c>
      <c r="E139" s="1032">
        <v>100</v>
      </c>
      <c r="F139" s="1033">
        <v>102.5</v>
      </c>
      <c r="G139" s="2511" t="s">
        <v>2502</v>
      </c>
      <c r="H139" s="1034">
        <v>105</v>
      </c>
      <c r="I139" s="2512" t="s">
        <v>2503</v>
      </c>
      <c r="J139" s="1031">
        <v>20</v>
      </c>
      <c r="K139" s="1035">
        <f>C145/(J139-2)</f>
        <v>4.0555555555555553E-3</v>
      </c>
    </row>
    <row r="140" spans="1:17" ht="15">
      <c r="B140" s="1036">
        <v>5</v>
      </c>
      <c r="C140" s="1037">
        <v>100</v>
      </c>
      <c r="D140" s="1037"/>
      <c r="E140" s="1038"/>
      <c r="F140" s="1039">
        <v>102</v>
      </c>
      <c r="G140" s="1037"/>
      <c r="H140" s="1040"/>
      <c r="I140" s="2513" t="s">
        <v>2504</v>
      </c>
      <c r="J140" s="258">
        <f>ROUNDUP((J139-1)/2,0)</f>
        <v>10</v>
      </c>
      <c r="K140" s="1041">
        <v>100</v>
      </c>
    </row>
    <row r="141" spans="1:17" ht="15">
      <c r="B141" s="1036">
        <v>4</v>
      </c>
      <c r="C141" s="1037">
        <v>102</v>
      </c>
      <c r="D141" s="1037"/>
      <c r="E141" s="1038"/>
      <c r="F141" s="1039">
        <v>101.5</v>
      </c>
      <c r="G141" s="1037"/>
      <c r="H141" s="1040"/>
      <c r="I141" s="2513" t="s">
        <v>2505</v>
      </c>
      <c r="J141" s="258">
        <v>1</v>
      </c>
      <c r="K141" s="1042">
        <f>ROUND(100+(J141-J140)*K139*100,1)</f>
        <v>96.4</v>
      </c>
    </row>
    <row r="142" spans="1:17" ht="15">
      <c r="B142" s="1036">
        <v>3</v>
      </c>
      <c r="C142" s="1037">
        <v>103</v>
      </c>
      <c r="D142" s="1037"/>
      <c r="E142" s="1038"/>
      <c r="F142" s="1039">
        <v>101</v>
      </c>
      <c r="G142" s="1037"/>
      <c r="H142" s="1040"/>
      <c r="I142" s="2513" t="s">
        <v>2506</v>
      </c>
      <c r="J142" s="258">
        <f>J139</f>
        <v>20</v>
      </c>
      <c r="K142" s="1043">
        <v>95</v>
      </c>
    </row>
    <row r="143" spans="1:17" ht="15">
      <c r="B143" s="1036">
        <v>2</v>
      </c>
      <c r="C143" s="1037">
        <v>100</v>
      </c>
      <c r="D143" s="1037"/>
      <c r="E143" s="1038"/>
      <c r="F143" s="1039">
        <v>100.5</v>
      </c>
      <c r="G143" s="1037"/>
      <c r="H143" s="1040"/>
      <c r="I143" s="2513" t="s">
        <v>2507</v>
      </c>
      <c r="J143" s="1037">
        <v>15</v>
      </c>
      <c r="K143" s="1042">
        <f>ROUND(100+(J143-J140)*K139*100,1)</f>
        <v>102</v>
      </c>
    </row>
    <row r="144" spans="1:17" ht="15">
      <c r="B144" s="1036">
        <v>1</v>
      </c>
      <c r="C144" s="1037">
        <v>98</v>
      </c>
      <c r="D144" s="2514" t="s">
        <v>2508</v>
      </c>
      <c r="E144" s="1038">
        <v>102</v>
      </c>
      <c r="F144" s="1044">
        <v>100</v>
      </c>
      <c r="G144" s="2514" t="s">
        <v>2508</v>
      </c>
      <c r="H144" s="1040">
        <v>105</v>
      </c>
      <c r="I144" s="2513" t="s">
        <v>2507</v>
      </c>
      <c r="J144" s="1037">
        <v>18</v>
      </c>
      <c r="K144" s="1042">
        <f>ROUND(100+(J144-J140)*K139*100,1)</f>
        <v>103.2</v>
      </c>
    </row>
    <row r="145" spans="2:11" ht="15.75" thickBot="1">
      <c r="B145" s="2515" t="s">
        <v>2509</v>
      </c>
      <c r="C145" s="1045">
        <f>ROUND(MAX(C139:C144)/MIN(C139:C144)-1,3)</f>
        <v>7.2999999999999995E-2</v>
      </c>
      <c r="D145" s="1046"/>
      <c r="E145" s="1046"/>
      <c r="F145" s="2516" t="s">
        <v>2510</v>
      </c>
      <c r="G145" s="2517"/>
      <c r="H145" s="2518"/>
      <c r="I145" s="2519" t="s">
        <v>2507</v>
      </c>
      <c r="J145" s="1047">
        <v>8</v>
      </c>
      <c r="K145" s="1048">
        <f>ROUND(100+(J145-J140)*K139*100,1)</f>
        <v>99.2</v>
      </c>
    </row>
    <row r="147" spans="2:11">
      <c r="B147" s="2500" t="s">
        <v>2511</v>
      </c>
    </row>
    <row r="148" spans="2:11">
      <c r="B148" s="2500" t="s">
        <v>2512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52" sqref="D52"/>
    </sheetView>
  </sheetViews>
  <sheetFormatPr defaultRowHeight="12.75"/>
  <cols>
    <col min="1" max="1" width="9" style="245" customWidth="1"/>
    <col min="2" max="2" width="20.625" style="650" customWidth="1"/>
    <col min="3" max="3" width="11.875" style="650" customWidth="1"/>
    <col min="4" max="4" width="40.5" style="245" customWidth="1"/>
    <col min="5" max="5" width="15.75" style="245" customWidth="1"/>
    <col min="6" max="6" width="10.625" style="245" customWidth="1"/>
    <col min="7" max="7" width="4.875" style="245" customWidth="1"/>
    <col min="8" max="8" width="8.5" style="245" customWidth="1"/>
    <col min="9" max="9" width="21.25" style="245" customWidth="1"/>
    <col min="10" max="10" width="12.25" style="245" customWidth="1"/>
    <col min="11" max="11" width="45.125" style="1861" customWidth="1"/>
    <col min="12" max="12" width="16.375" style="245" customWidth="1"/>
    <col min="13" max="13" width="13" style="245" customWidth="1"/>
    <col min="14" max="14" width="13.75" style="1768" customWidth="1"/>
    <col min="15" max="15" width="5.125" style="1768" customWidth="1"/>
    <col min="16" max="16" width="25.75" style="1768" customWidth="1"/>
    <col min="17" max="17" width="13.75" style="1768" customWidth="1"/>
    <col min="18" max="18" width="20.5" style="1768" customWidth="1"/>
    <col min="19" max="19" width="13.25" style="1768" customWidth="1"/>
    <col min="20" max="37" width="9" style="1768"/>
    <col min="38" max="16384" width="9" style="245"/>
  </cols>
  <sheetData>
    <row r="1" spans="1:37" s="280" customFormat="1" ht="21">
      <c r="A1" s="1759" t="s">
        <v>1589</v>
      </c>
      <c r="B1" s="725"/>
      <c r="C1" s="1763" t="s">
        <v>48</v>
      </c>
      <c r="D1" s="1746" t="s">
        <v>3243</v>
      </c>
      <c r="E1" s="1747" t="s">
        <v>1387</v>
      </c>
      <c r="F1" s="1215">
        <f ca="1">J53</f>
        <v>47.5</v>
      </c>
      <c r="G1" s="1762">
        <f>MATCH(C1,'数据-取费表'!A6:A16,0)+5</f>
        <v>8</v>
      </c>
      <c r="H1" s="695"/>
      <c r="I1" s="282"/>
      <c r="J1" s="282"/>
      <c r="K1" s="696"/>
      <c r="L1" s="282"/>
      <c r="M1" s="282"/>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769" t="s">
        <v>1515</v>
      </c>
      <c r="B2" s="1770">
        <f ca="1">C40+J29+L46</f>
        <v>11534</v>
      </c>
      <c r="C2" s="1771" t="s">
        <v>1516</v>
      </c>
      <c r="D2" s="1771"/>
      <c r="E2" s="1772"/>
      <c r="F2" s="1773"/>
      <c r="G2" s="1774"/>
      <c r="H2" s="1766"/>
      <c r="I2" s="1766"/>
      <c r="J2" s="1766"/>
      <c r="K2" s="1767"/>
      <c r="L2" s="1766"/>
      <c r="M2" s="1766"/>
    </row>
    <row r="3" spans="1:37" ht="18" customHeight="1" thickBot="1">
      <c r="A3" s="1775" t="s">
        <v>1517</v>
      </c>
      <c r="B3" s="1776">
        <f ca="1">IF(ISERROR(B2*10000/F43),0,ROUND(B2*10000/F43,0))</f>
        <v>3825</v>
      </c>
      <c r="C3" s="1771" t="s">
        <v>1518</v>
      </c>
      <c r="D3" s="1771"/>
      <c r="E3" s="1772"/>
      <c r="F3" s="1773"/>
      <c r="G3" s="1774"/>
      <c r="H3" s="687" t="s">
        <v>1588</v>
      </c>
      <c r="I3" s="1766"/>
      <c r="J3" s="1766"/>
      <c r="K3" s="1767"/>
      <c r="L3" s="1766"/>
      <c r="M3" s="1766"/>
    </row>
    <row r="4" spans="1:37" ht="18" customHeight="1">
      <c r="A4" s="283" t="s">
        <v>1396</v>
      </c>
      <c r="B4" s="284" t="s">
        <v>1397</v>
      </c>
      <c r="C4" s="284" t="s">
        <v>1398</v>
      </c>
      <c r="D4" s="284" t="s">
        <v>1399</v>
      </c>
      <c r="E4" s="285" t="s">
        <v>1400</v>
      </c>
      <c r="F4" s="286"/>
      <c r="G4" s="1777"/>
      <c r="H4" s="283" t="s">
        <v>1396</v>
      </c>
      <c r="I4" s="284" t="s">
        <v>1397</v>
      </c>
      <c r="J4" s="284" t="s">
        <v>1398</v>
      </c>
      <c r="K4" s="284" t="s">
        <v>1399</v>
      </c>
      <c r="L4" s="285" t="s">
        <v>1400</v>
      </c>
      <c r="M4" s="286"/>
    </row>
    <row r="5" spans="1:37" ht="18" customHeight="1">
      <c r="A5" s="287">
        <v>1</v>
      </c>
      <c r="B5" s="288" t="s">
        <v>1401</v>
      </c>
      <c r="C5" s="1224">
        <f ca="1">C6+C10+C12</f>
        <v>792</v>
      </c>
      <c r="D5" s="1748" t="s">
        <v>1402</v>
      </c>
      <c r="E5" s="1225"/>
      <c r="F5" s="1226"/>
      <c r="G5" s="1777"/>
      <c r="H5" s="287">
        <v>1</v>
      </c>
      <c r="I5" s="288" t="s">
        <v>1401</v>
      </c>
      <c r="J5" s="1224">
        <f ca="1">J6+J10+J12</f>
        <v>0</v>
      </c>
      <c r="K5" s="1748" t="s">
        <v>1402</v>
      </c>
      <c r="L5" s="1225"/>
      <c r="M5" s="1226"/>
    </row>
    <row r="6" spans="1:37" ht="18" customHeight="1">
      <c r="A6" s="1223" t="s">
        <v>1035</v>
      </c>
      <c r="B6" s="3318" t="s">
        <v>1403</v>
      </c>
      <c r="C6" s="1228">
        <f ca="1">ROUND(F6*F8*F7*(1-F9)/10000,0)</f>
        <v>792</v>
      </c>
      <c r="D6" s="107" t="s">
        <v>2904</v>
      </c>
      <c r="E6" s="290" t="s">
        <v>1405</v>
      </c>
      <c r="F6" s="291">
        <f ca="1">INDIRECT("'数据-取费表'!u"&amp;$G$1)</f>
        <v>0.8</v>
      </c>
      <c r="G6" s="1777"/>
      <c r="H6" s="1223" t="s">
        <v>1035</v>
      </c>
      <c r="I6" s="3318" t="s">
        <v>1403</v>
      </c>
      <c r="J6" s="289">
        <f ca="1">ROUND(M6*M8*M7*(1-M9)/10000,0)</f>
        <v>0</v>
      </c>
      <c r="K6" s="107" t="s">
        <v>2903</v>
      </c>
      <c r="L6" s="290" t="s">
        <v>1405</v>
      </c>
      <c r="M6" s="291">
        <f ca="1">INDIRECT("'数据-取费表'!z"&amp;$G$1)</f>
        <v>0</v>
      </c>
    </row>
    <row r="7" spans="1:37" ht="18" customHeight="1">
      <c r="A7" s="1227"/>
      <c r="B7" s="3319"/>
      <c r="C7" s="1229"/>
      <c r="D7" s="295"/>
      <c r="E7" s="1230" t="s">
        <v>1406</v>
      </c>
      <c r="F7" s="291">
        <f ca="1">IF(INDIRECT("'数据-取费表'!ah"&amp;$G$1)="",INDIRECT("'数据-取费表'!k"&amp;$G$1),INDIRECT("'数据-取费表'!ah"&amp;$G$1))</f>
        <v>30155.269999999997</v>
      </c>
      <c r="G7" s="1777"/>
      <c r="H7" s="292"/>
      <c r="I7" s="3319"/>
      <c r="J7" s="294"/>
      <c r="K7" s="295"/>
      <c r="L7" s="290" t="s">
        <v>1406</v>
      </c>
      <c r="M7" s="291">
        <f ca="1">F7</f>
        <v>30155.269999999997</v>
      </c>
    </row>
    <row r="8" spans="1:37" ht="18" customHeight="1">
      <c r="A8" s="292"/>
      <c r="B8" s="3319"/>
      <c r="C8" s="294"/>
      <c r="D8" s="295"/>
      <c r="E8" s="290" t="s">
        <v>1407</v>
      </c>
      <c r="F8" s="291">
        <f ca="1">INDIRECT("'数据-取费表'!ai"&amp;$G$1)</f>
        <v>365</v>
      </c>
      <c r="G8" s="1777"/>
      <c r="H8" s="292"/>
      <c r="I8" s="3319"/>
      <c r="J8" s="294"/>
      <c r="K8" s="295"/>
      <c r="L8" s="290" t="s">
        <v>1407</v>
      </c>
      <c r="M8" s="291">
        <f ca="1">INDIRECT("'数据-取费表'!ai"&amp;$G$1)</f>
        <v>365</v>
      </c>
    </row>
    <row r="9" spans="1:37" ht="18" customHeight="1">
      <c r="A9" s="292"/>
      <c r="B9" s="3320"/>
      <c r="C9" s="294"/>
      <c r="D9" s="295"/>
      <c r="E9" s="290" t="s">
        <v>1408</v>
      </c>
      <c r="F9" s="300">
        <f ca="1">INDIRECT("'数据-取费表'!w"&amp;$G$1)</f>
        <v>0.1</v>
      </c>
      <c r="G9" s="1777"/>
      <c r="H9" s="292"/>
      <c r="I9" s="3320"/>
      <c r="J9" s="294"/>
      <c r="K9" s="295"/>
      <c r="L9" s="301" t="s">
        <v>1408</v>
      </c>
      <c r="M9" s="302">
        <f ca="1">INDIRECT("'数据-取费表'!ab"&amp;$G$1)</f>
        <v>0</v>
      </c>
    </row>
    <row r="10" spans="1:37" ht="18" customHeight="1">
      <c r="A10" s="1223" t="s">
        <v>1039</v>
      </c>
      <c r="B10" s="1749" t="s">
        <v>1409</v>
      </c>
      <c r="C10" s="304">
        <f ca="1">ROUND(IF(F10="押一",C6/12*F11,IF(F10="押二",C6/12*2*F11,IF(F10="押三",C6/12*3*F11,C11*F11))),0)</f>
        <v>0</v>
      </c>
      <c r="D10" s="1750" t="s">
        <v>2913</v>
      </c>
      <c r="E10" s="301" t="s">
        <v>1410</v>
      </c>
      <c r="F10" s="1298"/>
      <c r="G10" s="1777"/>
      <c r="H10" s="1223" t="s">
        <v>1039</v>
      </c>
      <c r="I10" s="1749" t="s">
        <v>1409</v>
      </c>
      <c r="J10" s="289">
        <f ca="1">ROUND(IF(M10="押一",J6/12*M11,IF(M10="押二",J6/12*2*M11,IF(M10="押三",J6/12*3*M11,J11*M11))),0)</f>
        <v>0</v>
      </c>
      <c r="K10" s="1750" t="s">
        <v>2912</v>
      </c>
      <c r="L10" s="301" t="s">
        <v>1410</v>
      </c>
      <c r="M10" s="1298" t="s">
        <v>1411</v>
      </c>
    </row>
    <row r="11" spans="1:37" ht="18" customHeight="1">
      <c r="A11" s="296"/>
      <c r="B11" s="1751" t="s">
        <v>1388</v>
      </c>
      <c r="C11" s="1124"/>
      <c r="D11" s="1752"/>
      <c r="E11" s="301" t="s">
        <v>1412</v>
      </c>
      <c r="F11" s="302">
        <f ca="1">'数据-取费表'!B39</f>
        <v>1.4999999999999999E-2</v>
      </c>
      <c r="G11" s="1777"/>
      <c r="H11" s="1231"/>
      <c r="I11" s="1751" t="s">
        <v>1388</v>
      </c>
      <c r="J11" s="1124"/>
      <c r="K11" s="691"/>
      <c r="L11" s="301" t="s">
        <v>1412</v>
      </c>
      <c r="M11" s="1002">
        <f ca="1">'数据-取费表'!B39</f>
        <v>1.4999999999999999E-2</v>
      </c>
    </row>
    <row r="12" spans="1:37" ht="18" customHeight="1" thickBot="1">
      <c r="A12" s="1265" t="s">
        <v>1075</v>
      </c>
      <c r="B12" s="1753" t="s">
        <v>1413</v>
      </c>
      <c r="C12" s="1266"/>
      <c r="D12" s="1267"/>
      <c r="E12" s="1272"/>
      <c r="F12" s="1268"/>
      <c r="G12" s="1777"/>
      <c r="H12" s="1265" t="s">
        <v>1075</v>
      </c>
      <c r="I12" s="1753" t="s">
        <v>1413</v>
      </c>
      <c r="J12" s="1266"/>
      <c r="K12" s="1280"/>
      <c r="L12" s="1272"/>
      <c r="M12" s="1281"/>
    </row>
    <row r="13" spans="1:37" ht="18" customHeight="1" thickTop="1">
      <c r="A13" s="1261">
        <v>2</v>
      </c>
      <c r="B13" s="1262" t="s">
        <v>1414</v>
      </c>
      <c r="C13" s="298">
        <f ca="1">ROUND(C29*F13,0)</f>
        <v>12687</v>
      </c>
      <c r="D13" s="1263" t="s">
        <v>1415</v>
      </c>
      <c r="E13" s="1263" t="s">
        <v>1416</v>
      </c>
      <c r="F13" s="1264">
        <f ca="1">INDIRECT("'数据-取费表'!y"&amp;$G$1)</f>
        <v>1</v>
      </c>
      <c r="G13" s="1777"/>
      <c r="H13" s="1261">
        <v>2</v>
      </c>
      <c r="I13" s="1262" t="s">
        <v>1414</v>
      </c>
      <c r="J13" s="1222">
        <f ca="1">ROUND(J14*J15,0)</f>
        <v>0</v>
      </c>
      <c r="K13" s="1269" t="s">
        <v>1415</v>
      </c>
      <c r="L13" s="1778"/>
      <c r="M13" s="1779"/>
    </row>
    <row r="14" spans="1:37" ht="18" customHeight="1">
      <c r="A14" s="1147" t="s">
        <v>1034</v>
      </c>
      <c r="B14" s="290" t="s">
        <v>1417</v>
      </c>
      <c r="C14" s="306">
        <f ca="1">INDIRECT("'数据-取费表'!m"&amp;$G$1)+INDIRECT("'数据-取费表'!t"&amp;$G$1)</f>
        <v>9607</v>
      </c>
      <c r="D14" s="1728" t="s">
        <v>1418</v>
      </c>
      <c r="E14" s="1722"/>
      <c r="F14" s="307"/>
      <c r="G14" s="1777"/>
      <c r="H14" s="1147" t="s">
        <v>1035</v>
      </c>
      <c r="I14" s="290" t="s">
        <v>1419</v>
      </c>
      <c r="J14" s="24">
        <f ca="1">C29</f>
        <v>12687</v>
      </c>
      <c r="K14" s="15"/>
      <c r="L14" s="925"/>
      <c r="M14" s="926"/>
    </row>
    <row r="15" spans="1:37" s="1784" customFormat="1" ht="18" customHeight="1" thickBot="1">
      <c r="A15" s="1147" t="s">
        <v>1036</v>
      </c>
      <c r="B15" s="290" t="s">
        <v>1420</v>
      </c>
      <c r="C15" s="24">
        <f ca="1">ROUND(C14*F15,0)</f>
        <v>288</v>
      </c>
      <c r="D15" s="308" t="s">
        <v>1421</v>
      </c>
      <c r="E15" s="308" t="s">
        <v>1422</v>
      </c>
      <c r="F15" s="309">
        <f>'数据-取费表'!B33</f>
        <v>0.03</v>
      </c>
      <c r="G15" s="1780"/>
      <c r="H15" s="1271" t="s">
        <v>1039</v>
      </c>
      <c r="I15" s="1272" t="s">
        <v>1416</v>
      </c>
      <c r="J15" s="1281">
        <f ca="1">INDIRECT("'数据-取费表'!ad"&amp;$G$1)</f>
        <v>0</v>
      </c>
      <c r="K15" s="1282"/>
      <c r="L15" s="1781"/>
      <c r="M15" s="1782"/>
      <c r="N15" s="1783"/>
      <c r="O15" s="1783"/>
      <c r="P15" s="1783"/>
      <c r="Q15" s="1783"/>
      <c r="R15" s="1783"/>
      <c r="S15" s="1783"/>
      <c r="T15" s="1783"/>
      <c r="U15" s="1783"/>
      <c r="V15" s="1783"/>
      <c r="W15" s="1783"/>
      <c r="X15" s="1783"/>
      <c r="Y15" s="1783"/>
      <c r="Z15" s="1783"/>
      <c r="AA15" s="1783"/>
      <c r="AB15" s="1783"/>
      <c r="AC15" s="1783"/>
      <c r="AD15" s="1783"/>
      <c r="AE15" s="1783"/>
      <c r="AF15" s="1783"/>
      <c r="AG15" s="1783"/>
      <c r="AH15" s="1783"/>
      <c r="AI15" s="1783"/>
      <c r="AJ15" s="1783"/>
      <c r="AK15" s="1783"/>
    </row>
    <row r="16" spans="1:37" ht="18" customHeight="1" thickTop="1">
      <c r="A16" s="1147" t="s">
        <v>1389</v>
      </c>
      <c r="B16" s="290" t="s">
        <v>1423</v>
      </c>
      <c r="C16" s="24">
        <f ca="1">ROUND(INDIRECT("'数据-取费表'!m"&amp;$G$1)*F16,0)</f>
        <v>0</v>
      </c>
      <c r="D16" s="290" t="s">
        <v>1421</v>
      </c>
      <c r="E16" s="290" t="s">
        <v>1422</v>
      </c>
      <c r="F16" s="310">
        <f ca="1">IF(INDIRECT("'数据-取费表'!c"&amp;$G$1)="住宅",'数据-取费表'!B34,0)</f>
        <v>0</v>
      </c>
      <c r="G16" s="1777"/>
      <c r="H16" s="1261" t="s">
        <v>1030</v>
      </c>
      <c r="I16" s="1262" t="s">
        <v>1424</v>
      </c>
      <c r="J16" s="298">
        <f ca="1">ROUND(J17+J22+J23+J24,0)</f>
        <v>311</v>
      </c>
      <c r="K16" s="1269" t="s">
        <v>1425</v>
      </c>
      <c r="L16" s="1270"/>
      <c r="M16" s="1226"/>
    </row>
    <row r="17" spans="1:37" s="1784" customFormat="1" ht="18" customHeight="1">
      <c r="A17" s="1147" t="s">
        <v>1390</v>
      </c>
      <c r="B17" s="290" t="s">
        <v>1426</v>
      </c>
      <c r="C17" s="24">
        <f ca="1">ROUND(F17*(F43+INDIRECT("'数据-取费表'!S"&amp;$G$1))/10000,0)</f>
        <v>640</v>
      </c>
      <c r="D17" s="290" t="s">
        <v>1427</v>
      </c>
      <c r="E17" s="290" t="s">
        <v>1428</v>
      </c>
      <c r="F17" s="26">
        <f>'数据-取费表'!B35</f>
        <v>200</v>
      </c>
      <c r="G17" s="1780"/>
      <c r="H17" s="1147" t="s">
        <v>1035</v>
      </c>
      <c r="I17" s="290" t="s">
        <v>1429</v>
      </c>
      <c r="J17" s="24">
        <f ca="1">ROUND(IF(项目基本情况!B11="自然人",J5*M17,J18+J19+J20),1)</f>
        <v>120.6</v>
      </c>
      <c r="K17" s="1728" t="s">
        <v>1430</v>
      </c>
      <c r="L17" s="1726" t="s">
        <v>1431</v>
      </c>
      <c r="M17" s="311" t="str">
        <f ca="1">IF(项目基本情况!B11="企业","",IF(INDIRECT("'数据-取费表'!c"&amp;$G$1)="住宅",5%,IF(M6*M7*M8/12/(1+'数据-取费表'!C42)&gt;20000,12%,7%)))</f>
        <v/>
      </c>
      <c r="N17" s="1783"/>
      <c r="O17" s="1783"/>
      <c r="P17" s="1783"/>
      <c r="Q17" s="1783"/>
      <c r="R17" s="1783"/>
      <c r="S17" s="1783"/>
      <c r="T17" s="1783"/>
      <c r="U17" s="1783"/>
      <c r="V17" s="1783"/>
      <c r="W17" s="1783"/>
      <c r="X17" s="1783"/>
      <c r="Y17" s="1783"/>
      <c r="Z17" s="1783"/>
      <c r="AA17" s="1783"/>
      <c r="AB17" s="1783"/>
      <c r="AC17" s="1783"/>
      <c r="AD17" s="1783"/>
      <c r="AE17" s="1783"/>
      <c r="AF17" s="1783"/>
      <c r="AG17" s="1783"/>
      <c r="AH17" s="1783"/>
      <c r="AI17" s="1783"/>
      <c r="AJ17" s="1783"/>
      <c r="AK17" s="1783"/>
    </row>
    <row r="18" spans="1:37" s="1784" customFormat="1" ht="18" customHeight="1">
      <c r="A18" s="1147" t="s">
        <v>1391</v>
      </c>
      <c r="B18" s="290" t="s">
        <v>1432</v>
      </c>
      <c r="C18" s="24">
        <f ca="1">ROUND(C14*F18,0)</f>
        <v>144</v>
      </c>
      <c r="D18" s="290" t="s">
        <v>1421</v>
      </c>
      <c r="E18" s="290" t="s">
        <v>1422</v>
      </c>
      <c r="F18" s="310">
        <f>'数据-取费表'!B36</f>
        <v>1.4999999999999999E-2</v>
      </c>
      <c r="G18" s="1780"/>
      <c r="H18" s="1147" t="s">
        <v>1034</v>
      </c>
      <c r="I18" s="290" t="s">
        <v>1433</v>
      </c>
      <c r="J18" s="24">
        <f ca="1">ROUND(J5*M18/(1+'数据-取费表'!C42),2)</f>
        <v>0</v>
      </c>
      <c r="K18" s="1726" t="s">
        <v>1434</v>
      </c>
      <c r="L18" s="290" t="s">
        <v>1422</v>
      </c>
      <c r="M18" s="310">
        <f>'数据-取费表'!B41</f>
        <v>5.6000000000000001E-2</v>
      </c>
      <c r="N18" s="1783"/>
      <c r="O18" s="1783"/>
      <c r="P18" s="1783"/>
      <c r="Q18" s="1783"/>
      <c r="R18" s="1783"/>
      <c r="S18" s="1783"/>
      <c r="T18" s="1783"/>
      <c r="U18" s="1783"/>
      <c r="V18" s="1783"/>
      <c r="W18" s="1783"/>
      <c r="X18" s="1783"/>
      <c r="Y18" s="1783"/>
      <c r="Z18" s="1783"/>
      <c r="AA18" s="1783"/>
      <c r="AB18" s="1783"/>
      <c r="AC18" s="1783"/>
      <c r="AD18" s="1783"/>
      <c r="AE18" s="1783"/>
      <c r="AF18" s="1783"/>
      <c r="AG18" s="1783"/>
      <c r="AH18" s="1783"/>
      <c r="AI18" s="1783"/>
      <c r="AJ18" s="1783"/>
      <c r="AK18" s="1783"/>
    </row>
    <row r="19" spans="1:37" ht="18" customHeight="1">
      <c r="A19" s="1147" t="s">
        <v>1035</v>
      </c>
      <c r="B19" s="290" t="s">
        <v>1435</v>
      </c>
      <c r="C19" s="24">
        <f ca="1">SUM(C14:C18)</f>
        <v>10679</v>
      </c>
      <c r="D19" s="83" t="s">
        <v>1436</v>
      </c>
      <c r="E19" s="1744"/>
      <c r="F19" s="26"/>
      <c r="G19" s="1777"/>
      <c r="H19" s="1147" t="s">
        <v>1036</v>
      </c>
      <c r="I19" s="290" t="s">
        <v>1437</v>
      </c>
      <c r="J19" s="24">
        <f ca="1">IF(K19="按租金收入计税",ROUND(J5*M19,2),ROUND(C29*M19*0.7,2))</f>
        <v>106.57</v>
      </c>
      <c r="K19" s="1754" t="s">
        <v>1438</v>
      </c>
      <c r="L19" s="290" t="s">
        <v>1422</v>
      </c>
      <c r="M19" s="310">
        <f>IF(K19="按租金收入计税",'数据-取费表'!B51,'数据-取费表'!B50)</f>
        <v>1.2E-2</v>
      </c>
    </row>
    <row r="20" spans="1:37" s="1784" customFormat="1" ht="18" customHeight="1">
      <c r="A20" s="1147" t="s">
        <v>1039</v>
      </c>
      <c r="B20" s="290" t="s">
        <v>1439</v>
      </c>
      <c r="C20" s="24">
        <f ca="1">ROUND(C19*F20,0)</f>
        <v>214</v>
      </c>
      <c r="D20" s="312" t="s">
        <v>1440</v>
      </c>
      <c r="E20" s="290" t="s">
        <v>1422</v>
      </c>
      <c r="F20" s="310">
        <f>'数据-取费表'!B37</f>
        <v>0.02</v>
      </c>
      <c r="G20" s="1780"/>
      <c r="H20" s="1147" t="s">
        <v>1389</v>
      </c>
      <c r="I20" s="107" t="s">
        <v>1441</v>
      </c>
      <c r="J20" s="25">
        <f ca="1">ROUND(M20*M21/10000,2)</f>
        <v>14.03</v>
      </c>
      <c r="K20" s="313" t="s">
        <v>1442</v>
      </c>
      <c r="L20" s="290" t="s">
        <v>1443</v>
      </c>
      <c r="M20" s="314">
        <f>'数据-取费表'!B52</f>
        <v>12</v>
      </c>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row>
    <row r="21" spans="1:37" s="1784" customFormat="1" ht="18" customHeight="1">
      <c r="A21" s="1147" t="s">
        <v>1075</v>
      </c>
      <c r="B21" s="290" t="s">
        <v>1444</v>
      </c>
      <c r="C21" s="24" t="s">
        <v>18</v>
      </c>
      <c r="D21" s="312" t="s">
        <v>1445</v>
      </c>
      <c r="E21" s="290" t="s">
        <v>1446</v>
      </c>
      <c r="F21" s="310">
        <f>'数据-取费表'!B38</f>
        <v>0.02</v>
      </c>
      <c r="G21" s="1780"/>
      <c r="H21" s="315"/>
      <c r="I21" s="299"/>
      <c r="J21" s="29"/>
      <c r="K21" s="316"/>
      <c r="L21" s="290" t="s">
        <v>1447</v>
      </c>
      <c r="M21" s="291">
        <f ca="1">INDIRECT("'数据-取费表'!r"&amp;$G$1)</f>
        <v>11687.849999999999</v>
      </c>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row>
    <row r="22" spans="1:37" ht="18" customHeight="1">
      <c r="A22" s="1147" t="s">
        <v>1392</v>
      </c>
      <c r="B22" s="290" t="s">
        <v>1448</v>
      </c>
      <c r="C22" s="24"/>
      <c r="D22" s="83" t="str">
        <f>IF(F23&lt;=1,"单利计息。","复利计息。")&amp;"建造成本、管理费用、销售费用产生的利息。"</f>
        <v>复利计息。建造成本、管理费用、销售费用产生的利息。</v>
      </c>
      <c r="E22" s="1744"/>
      <c r="F22" s="26"/>
      <c r="G22" s="1777"/>
      <c r="H22" s="1147" t="s">
        <v>1039</v>
      </c>
      <c r="I22" s="290" t="s">
        <v>1449</v>
      </c>
      <c r="J22" s="24">
        <f ca="1">ROUND(J14*M22,1)</f>
        <v>190.3</v>
      </c>
      <c r="K22" s="1726" t="s">
        <v>1450</v>
      </c>
      <c r="L22" s="290" t="s">
        <v>1422</v>
      </c>
      <c r="M22" s="317">
        <f ca="1">INDIRECT("'数据-取费表'!Ak"&amp;$G$1)</f>
        <v>1.4999999999999999E-2</v>
      </c>
    </row>
    <row r="23" spans="1:37" s="1784" customFormat="1" ht="18" customHeight="1">
      <c r="A23" s="1147" t="s">
        <v>1034</v>
      </c>
      <c r="B23" s="290" t="s">
        <v>1451</v>
      </c>
      <c r="C23" s="24">
        <f ca="1">IF('数据-取费表'!B22&lt;=1,ROUND(C19*F24*F23/2,0)+ROUND(C20*F24*F23/2,0),ROUND(C19*(POWER((1+F24),F23/2)-1),0)+ROUND(C20*(POWER((1+F24),F23/2)-1),0))</f>
        <v>517</v>
      </c>
      <c r="D23" s="318" t="str">
        <f>IF(F23&lt;=1,"(建造成本+管理费用)×利率×(建设周期÷2)","(建造成本+管理费用)×((1+利率)^(建设周期÷2)-1)")</f>
        <v>(建造成本+管理费用)×((1+利率)^(建设周期÷2)-1)</v>
      </c>
      <c r="E23" s="290" t="s">
        <v>1452</v>
      </c>
      <c r="F23" s="314">
        <f>'数据-取费表'!B20</f>
        <v>2</v>
      </c>
      <c r="G23" s="1780"/>
      <c r="H23" s="1147" t="s">
        <v>1075</v>
      </c>
      <c r="I23" s="290" t="s">
        <v>1453</v>
      </c>
      <c r="J23" s="24">
        <f ca="1">ROUND(J13*M23,1)</f>
        <v>0</v>
      </c>
      <c r="K23" s="1726" t="s">
        <v>1454</v>
      </c>
      <c r="L23" s="290" t="s">
        <v>1455</v>
      </c>
      <c r="M23" s="319">
        <f ca="1">INDIRECT("'数据-取费表'!Al"&amp;$G$1)</f>
        <v>1.5E-3</v>
      </c>
      <c r="N23" s="1783"/>
      <c r="O23" s="1783"/>
      <c r="P23" s="1783"/>
      <c r="Q23" s="1783"/>
      <c r="R23" s="1783"/>
      <c r="S23" s="1783"/>
      <c r="T23" s="1783"/>
      <c r="U23" s="1783"/>
      <c r="V23" s="1783"/>
      <c r="W23" s="1783"/>
      <c r="X23" s="1783"/>
      <c r="Y23" s="1783"/>
      <c r="Z23" s="1783"/>
      <c r="AA23" s="1783"/>
      <c r="AB23" s="1783"/>
      <c r="AC23" s="1783"/>
      <c r="AD23" s="1783"/>
      <c r="AE23" s="1783"/>
      <c r="AF23" s="1783"/>
      <c r="AG23" s="1783"/>
      <c r="AH23" s="1783"/>
      <c r="AI23" s="1783"/>
      <c r="AJ23" s="1783"/>
      <c r="AK23" s="1783"/>
    </row>
    <row r="24" spans="1:37" s="1784" customFormat="1" ht="18" customHeight="1" thickBot="1">
      <c r="A24" s="1147" t="s">
        <v>1456</v>
      </c>
      <c r="B24" s="290" t="s">
        <v>1457</v>
      </c>
      <c r="C24" s="24">
        <f ca="1">ROUND(IF('数据-取费表'!B22&lt;=1,F21*F24*F23/2,F21*(POWER((1+F24),F23/2)-1)),4)</f>
        <v>1E-3</v>
      </c>
      <c r="D24" s="318" t="str">
        <f>IF(F23&lt;=1,"销售费用×利率×(建设周期÷2)","销售费用×((1+利率)^(建设周期÷2)-1)")</f>
        <v>销售费用×((1+利率)^(建设周期÷2)-1)</v>
      </c>
      <c r="E24" s="290" t="s">
        <v>1458</v>
      </c>
      <c r="F24" s="320">
        <f ca="1">'数据-取费表'!B40</f>
        <v>4.7500000000000001E-2</v>
      </c>
      <c r="G24" s="1780"/>
      <c r="H24" s="1271" t="s">
        <v>1393</v>
      </c>
      <c r="I24" s="1272" t="s">
        <v>1439</v>
      </c>
      <c r="J24" s="1273">
        <f ca="1">ROUND(J5*M24,1)</f>
        <v>0</v>
      </c>
      <c r="K24" s="1274" t="s">
        <v>1459</v>
      </c>
      <c r="L24" s="1272" t="s">
        <v>1455</v>
      </c>
      <c r="M24" s="1268">
        <f ca="1">INDIRECT("'数据-取费表'!Am"&amp;$G$1)</f>
        <v>0.01</v>
      </c>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3"/>
      <c r="AJ24" s="1783"/>
      <c r="AK24" s="1783"/>
    </row>
    <row r="25" spans="1:37" ht="24" customHeight="1" thickTop="1">
      <c r="A25" s="1147" t="s">
        <v>1460</v>
      </c>
      <c r="B25" s="290" t="s">
        <v>1461</v>
      </c>
      <c r="C25" s="24"/>
      <c r="D25" s="83" t="s">
        <v>1462</v>
      </c>
      <c r="E25" s="1744"/>
      <c r="F25" s="26"/>
      <c r="G25" s="1777"/>
      <c r="H25" s="1261" t="s">
        <v>1031</v>
      </c>
      <c r="I25" s="1276" t="s">
        <v>1463</v>
      </c>
      <c r="J25" s="298">
        <f ca="1">J5-J16</f>
        <v>-311</v>
      </c>
      <c r="K25" s="1277" t="s">
        <v>1464</v>
      </c>
      <c r="L25" s="1278"/>
      <c r="M25" s="1279"/>
    </row>
    <row r="26" spans="1:37">
      <c r="A26" s="1147" t="s">
        <v>1034</v>
      </c>
      <c r="B26" s="290" t="s">
        <v>1465</v>
      </c>
      <c r="C26" s="24">
        <f ca="1">ROUND((C19+C20)*F26,0)</f>
        <v>327</v>
      </c>
      <c r="D26" s="312" t="s">
        <v>1466</v>
      </c>
      <c r="E26" s="301" t="s">
        <v>1467</v>
      </c>
      <c r="F26" s="300">
        <f ca="1">INDIRECT("'数据-取费表'!q"&amp;$G$1)</f>
        <v>0.03</v>
      </c>
      <c r="G26" s="1777"/>
      <c r="H26" s="287" t="s">
        <v>1032</v>
      </c>
      <c r="I26" s="288" t="s">
        <v>1468</v>
      </c>
      <c r="J26" s="289">
        <f ca="1">IF(J5&lt;&gt;0,ROUND(J25*(1-((1+M28)/(1+M26))^M27)/(M26-M28),0),0)</f>
        <v>0</v>
      </c>
      <c r="K26" s="313" t="s">
        <v>1469</v>
      </c>
      <c r="L26" s="290" t="s">
        <v>1470</v>
      </c>
      <c r="M26" s="300">
        <f ca="1">INDIRECT("'数据-取费表'!I"&amp;$G$1)</f>
        <v>0.05</v>
      </c>
    </row>
    <row r="27" spans="1:37" ht="18" customHeight="1">
      <c r="A27" s="1147" t="s">
        <v>1036</v>
      </c>
      <c r="B27" s="290" t="s">
        <v>1471</v>
      </c>
      <c r="C27" s="24">
        <f ca="1">ROUND(F21*F26,4)</f>
        <v>5.9999999999999995E-4</v>
      </c>
      <c r="D27" s="312" t="s">
        <v>1472</v>
      </c>
      <c r="E27" s="308"/>
      <c r="F27" s="309"/>
      <c r="G27" s="1777"/>
      <c r="H27" s="292"/>
      <c r="I27" s="293"/>
      <c r="J27" s="294"/>
      <c r="K27" s="321" t="s">
        <v>1473</v>
      </c>
      <c r="L27" s="290" t="s">
        <v>1474</v>
      </c>
      <c r="M27" s="322">
        <f ca="1">INDIRECT("'数据-取费表'!ag"&amp;$G$1)</f>
        <v>0</v>
      </c>
    </row>
    <row r="28" spans="1:37" s="1784" customFormat="1" ht="18" customHeight="1">
      <c r="A28" s="1147" t="s">
        <v>1037</v>
      </c>
      <c r="B28" s="290" t="s">
        <v>1475</v>
      </c>
      <c r="C28" s="24">
        <f>ROUND(F28/(1+'数据-取费表'!C42),4)</f>
        <v>5.33E-2</v>
      </c>
      <c r="D28" s="312" t="s">
        <v>1476</v>
      </c>
      <c r="E28" s="290" t="s">
        <v>1422</v>
      </c>
      <c r="F28" s="310">
        <f>'数据-取费表'!B41</f>
        <v>5.6000000000000001E-2</v>
      </c>
      <c r="G28" s="1780"/>
      <c r="H28" s="296"/>
      <c r="I28" s="297"/>
      <c r="J28" s="298"/>
      <c r="K28" s="316"/>
      <c r="L28" s="290" t="s">
        <v>1477</v>
      </c>
      <c r="M28" s="300">
        <f ca="1">INDIRECT("'数据-取费表'!aa"&amp;$G$1)</f>
        <v>0</v>
      </c>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3"/>
      <c r="AJ28" s="1783"/>
      <c r="AK28" s="1783"/>
    </row>
    <row r="29" spans="1:37" s="1784" customFormat="1" ht="18" customHeight="1" thickBot="1">
      <c r="A29" s="1271" t="s">
        <v>1038</v>
      </c>
      <c r="B29" s="1272" t="s">
        <v>1478</v>
      </c>
      <c r="C29" s="1273">
        <f ca="1">ROUND((C19+C20+C23+C26)/(1-F21-C24-C27-C28),0)</f>
        <v>12687</v>
      </c>
      <c r="D29" s="1274"/>
      <c r="E29" s="1272"/>
      <c r="F29" s="1275"/>
      <c r="G29" s="1780"/>
      <c r="H29" s="323" t="s">
        <v>1033</v>
      </c>
      <c r="I29" s="324" t="s">
        <v>1479</v>
      </c>
      <c r="J29" s="325">
        <f ca="1">ROUND(J26/(1+F40)^F41,0)</f>
        <v>0</v>
      </c>
      <c r="K29" s="326" t="s">
        <v>1480</v>
      </c>
      <c r="L29" s="327"/>
      <c r="M29" s="328">
        <f ca="1">INDIRECT("'数据-取费表'!k"&amp;$G$1)</f>
        <v>30155.269999999997</v>
      </c>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3"/>
      <c r="AJ29" s="1783"/>
      <c r="AK29" s="1783"/>
    </row>
    <row r="30" spans="1:37" ht="18" customHeight="1" thickTop="1">
      <c r="A30" s="1261" t="s">
        <v>1030</v>
      </c>
      <c r="B30" s="1262" t="s">
        <v>1424</v>
      </c>
      <c r="C30" s="298">
        <f ca="1">ROUND(C31+C36+C37+C38,0)</f>
        <v>369</v>
      </c>
      <c r="D30" s="1269" t="s">
        <v>1425</v>
      </c>
      <c r="E30" s="1270"/>
      <c r="F30" s="1226"/>
      <c r="G30" s="1777"/>
      <c r="H30" s="688"/>
      <c r="I30" s="689"/>
      <c r="J30" s="690"/>
      <c r="K30" s="691"/>
      <c r="L30" s="692"/>
      <c r="M30" s="693"/>
    </row>
    <row r="31" spans="1:37" ht="18" customHeight="1">
      <c r="A31" s="1147" t="s">
        <v>1035</v>
      </c>
      <c r="B31" s="290" t="s">
        <v>1429</v>
      </c>
      <c r="C31" s="24">
        <f ca="1">ROUND(IF(项目基本情况!B11="自然人",C5*F31,C32+C33+C34),1)</f>
        <v>151.30000000000001</v>
      </c>
      <c r="D31" s="1728" t="s">
        <v>1430</v>
      </c>
      <c r="E31" s="1726" t="s">
        <v>1481</v>
      </c>
      <c r="F31" s="311" t="str">
        <f ca="1">IF(项目基本情况!B11="企业","",IF(INDIRECT("'数据-取费表'!c"&amp;$G$1)="住宅",5%,IF(F6*F7*F8/12/(1+'数据-取费表'!C42)&gt;20000,12%,7%)))</f>
        <v/>
      </c>
      <c r="G31" s="1777"/>
      <c r="H31" s="688"/>
      <c r="I31" s="689"/>
      <c r="J31" s="690"/>
      <c r="K31" s="691"/>
      <c r="L31" s="692"/>
      <c r="M31" s="693"/>
    </row>
    <row r="32" spans="1:37" ht="18" customHeight="1">
      <c r="A32" s="1147" t="s">
        <v>1034</v>
      </c>
      <c r="B32" s="290" t="s">
        <v>1433</v>
      </c>
      <c r="C32" s="24">
        <f ca="1">IF(项目基本情况!B11="自然人","——",ROUND(C5*F32/(1+'数据-取费表'!C42),2))</f>
        <v>42.24</v>
      </c>
      <c r="D32" s="1726" t="s">
        <v>1434</v>
      </c>
      <c r="E32" s="290" t="s">
        <v>1422</v>
      </c>
      <c r="F32" s="320">
        <f>'数据-取费表'!B41</f>
        <v>5.6000000000000001E-2</v>
      </c>
      <c r="G32" s="1777"/>
      <c r="H32" s="688"/>
      <c r="I32" s="689"/>
      <c r="J32" s="690"/>
      <c r="K32" s="691"/>
      <c r="L32" s="692"/>
      <c r="M32" s="693"/>
    </row>
    <row r="33" spans="1:18" ht="18" customHeight="1">
      <c r="A33" s="1147" t="s">
        <v>1036</v>
      </c>
      <c r="B33" s="290" t="s">
        <v>1437</v>
      </c>
      <c r="C33" s="24">
        <f ca="1">IF(项目基本情况!B11="自然人","——",IF(D33="按租金收入计税",ROUND(C5*F33,2),IF(D33="按房产原值计税",ROUND(C29*F33*0.7,2),INDIRECT("'数据-取费表'!Aj"&amp;$G$1))))</f>
        <v>95.04</v>
      </c>
      <c r="D33" s="1754" t="s">
        <v>3244</v>
      </c>
      <c r="E33" s="290" t="s">
        <v>1422</v>
      </c>
      <c r="F33" s="310">
        <f>IF(D33="按票据","——",IF(D33="按租金收入计税",'数据-取费表'!B51,'数据-取费表'!B50))</f>
        <v>0.12</v>
      </c>
      <c r="G33" s="1777"/>
      <c r="H33" s="1785"/>
      <c r="I33" s="1786"/>
      <c r="J33" s="1787"/>
      <c r="K33" s="1788"/>
      <c r="L33" s="1785"/>
      <c r="M33" s="1785"/>
    </row>
    <row r="34" spans="1:18" ht="18" customHeight="1">
      <c r="A34" s="1223" t="s">
        <v>1389</v>
      </c>
      <c r="B34" s="107" t="s">
        <v>1441</v>
      </c>
      <c r="C34" s="25">
        <f ca="1">IF(项目基本情况!B11="自然人","——",ROUND(F34*F35/10000,2))</f>
        <v>14.03</v>
      </c>
      <c r="D34" s="313" t="s">
        <v>1442</v>
      </c>
      <c r="E34" s="290" t="s">
        <v>1443</v>
      </c>
      <c r="F34" s="314">
        <f>'数据-取费表'!B52</f>
        <v>12</v>
      </c>
      <c r="G34" s="1777"/>
      <c r="H34" s="688"/>
      <c r="I34" s="1786"/>
      <c r="J34" s="1787"/>
      <c r="K34" s="1789"/>
      <c r="L34" s="1790"/>
      <c r="M34" s="1790"/>
    </row>
    <row r="35" spans="1:18" ht="18" customHeight="1">
      <c r="A35" s="1285"/>
      <c r="B35" s="1283"/>
      <c r="C35" s="29"/>
      <c r="D35" s="316"/>
      <c r="E35" s="290" t="s">
        <v>1447</v>
      </c>
      <c r="F35" s="291">
        <f ca="1">INDIRECT("'数据-取费表'!r"&amp;$G$1)</f>
        <v>11687.849999999999</v>
      </c>
      <c r="G35" s="1777"/>
      <c r="H35" s="688"/>
      <c r="I35" s="1786"/>
      <c r="J35" s="1787"/>
      <c r="K35" s="1788"/>
      <c r="L35" s="1785"/>
      <c r="M35" s="1785"/>
    </row>
    <row r="36" spans="1:18" ht="18" customHeight="1">
      <c r="A36" s="1284" t="s">
        <v>1039</v>
      </c>
      <c r="B36" s="290" t="s">
        <v>1449</v>
      </c>
      <c r="C36" s="24">
        <f ca="1">ROUND(C29*F36,1)</f>
        <v>190.3</v>
      </c>
      <c r="D36" s="1726" t="s">
        <v>1482</v>
      </c>
      <c r="E36" s="290" t="s">
        <v>1422</v>
      </c>
      <c r="F36" s="317">
        <f ca="1">INDIRECT("'数据-取费表'!Ak"&amp;$G$1)</f>
        <v>1.4999999999999999E-2</v>
      </c>
      <c r="G36" s="1777"/>
      <c r="H36" s="1785"/>
      <c r="I36" s="1786"/>
      <c r="J36" s="1787"/>
      <c r="K36" s="694"/>
      <c r="L36" s="1785"/>
      <c r="M36" s="1785"/>
    </row>
    <row r="37" spans="1:18" ht="18" customHeight="1">
      <c r="A37" s="1147" t="s">
        <v>1075</v>
      </c>
      <c r="B37" s="290" t="s">
        <v>1453</v>
      </c>
      <c r="C37" s="24">
        <f ca="1">ROUND(C13*F37,1)</f>
        <v>19</v>
      </c>
      <c r="D37" s="1726" t="s">
        <v>1454</v>
      </c>
      <c r="E37" s="290" t="s">
        <v>1455</v>
      </c>
      <c r="F37" s="319">
        <f ca="1">INDIRECT("'数据-取费表'!Al"&amp;$G$1)</f>
        <v>1.5E-3</v>
      </c>
      <c r="G37" s="1777"/>
      <c r="H37" s="1785"/>
      <c r="I37" s="1786"/>
      <c r="J37" s="1787"/>
      <c r="K37" s="694"/>
      <c r="L37" s="1785"/>
      <c r="M37" s="1785"/>
    </row>
    <row r="38" spans="1:18" ht="18" customHeight="1" thickBot="1">
      <c r="A38" s="1271" t="s">
        <v>1393</v>
      </c>
      <c r="B38" s="1272" t="s">
        <v>1439</v>
      </c>
      <c r="C38" s="1273">
        <f ca="1">ROUND(C5*F38,1)</f>
        <v>7.9</v>
      </c>
      <c r="D38" s="1274" t="s">
        <v>1459</v>
      </c>
      <c r="E38" s="1272" t="s">
        <v>1455</v>
      </c>
      <c r="F38" s="1268">
        <f ca="1">INDIRECT("'数据-取费表'!Am"&amp;$G$1)</f>
        <v>0.01</v>
      </c>
      <c r="G38" s="1777"/>
      <c r="H38" s="1785"/>
      <c r="I38" s="1786"/>
      <c r="J38" s="1787"/>
      <c r="K38" s="1791"/>
      <c r="L38" s="1785"/>
      <c r="M38" s="1785"/>
    </row>
    <row r="39" spans="1:18" ht="24.6" customHeight="1" thickTop="1">
      <c r="A39" s="1261" t="s">
        <v>1031</v>
      </c>
      <c r="B39" s="1276" t="s">
        <v>1483</v>
      </c>
      <c r="C39" s="298">
        <f ca="1">C5-C30</f>
        <v>423</v>
      </c>
      <c r="D39" s="1277" t="s">
        <v>1484</v>
      </c>
      <c r="E39" s="1278"/>
      <c r="F39" s="1279"/>
      <c r="G39" s="1777"/>
      <c r="H39" s="1785"/>
      <c r="I39" s="1786"/>
      <c r="J39" s="1787"/>
      <c r="K39" s="1791"/>
      <c r="L39" s="1785"/>
      <c r="M39" s="1785"/>
    </row>
    <row r="40" spans="1:18" ht="18" customHeight="1">
      <c r="A40" s="287" t="s">
        <v>1032</v>
      </c>
      <c r="B40" s="288" t="s">
        <v>1485</v>
      </c>
      <c r="C40" s="289">
        <f ca="1">ROUND(C39*(1-((1+F42)/(1+F40))^F41)/(F40-F42),0)</f>
        <v>11534</v>
      </c>
      <c r="D40" s="313" t="s">
        <v>1469</v>
      </c>
      <c r="E40" s="290" t="s">
        <v>1470</v>
      </c>
      <c r="F40" s="300">
        <f ca="1">INDIRECT("'数据-取费表'!I"&amp;$G$1)</f>
        <v>0.05</v>
      </c>
      <c r="G40" s="1777"/>
      <c r="H40" s="1765"/>
      <c r="I40" s="1786"/>
      <c r="J40" s="1787"/>
      <c r="K40" s="1791"/>
      <c r="L40" s="1765"/>
      <c r="M40" s="1765"/>
    </row>
    <row r="41" spans="1:18" ht="18" customHeight="1">
      <c r="A41" s="292"/>
      <c r="B41" s="293"/>
      <c r="C41" s="294"/>
      <c r="D41" s="321" t="s">
        <v>1486</v>
      </c>
      <c r="E41" s="290" t="s">
        <v>1474</v>
      </c>
      <c r="F41" s="322">
        <f ca="1">IF(INDIRECT("'数据-取费表'!af"&amp;$G$1)=0,INDIRECT("'数据-取费表'!ae"&amp;$G$1),INDIRECT("'数据-取费表'!af"&amp;$G$1))</f>
        <v>47.5</v>
      </c>
      <c r="G41" s="1777"/>
      <c r="H41" s="675"/>
      <c r="I41" s="1786"/>
      <c r="J41" s="1787"/>
      <c r="K41" s="694"/>
      <c r="L41" s="675"/>
      <c r="M41" s="675"/>
    </row>
    <row r="42" spans="1:18" ht="18" customHeight="1">
      <c r="A42" s="296"/>
      <c r="B42" s="297"/>
      <c r="C42" s="298"/>
      <c r="D42" s="316"/>
      <c r="E42" s="290" t="s">
        <v>1477</v>
      </c>
      <c r="F42" s="300">
        <f ca="1">INDIRECT("'数据-取费表'!v"&amp;$G$1)</f>
        <v>2.5000000000000001E-2</v>
      </c>
      <c r="G42" s="1777"/>
      <c r="H42" s="675"/>
      <c r="I42" s="1786"/>
      <c r="J42" s="1787"/>
      <c r="K42" s="694"/>
      <c r="L42" s="675"/>
      <c r="M42" s="675"/>
    </row>
    <row r="43" spans="1:18" ht="18" customHeight="1" thickBot="1">
      <c r="A43" s="323" t="s">
        <v>1033</v>
      </c>
      <c r="B43" s="324" t="s">
        <v>1487</v>
      </c>
      <c r="C43" s="325">
        <f ca="1">ROUND(C40*10000/F43,0)</f>
        <v>3825</v>
      </c>
      <c r="D43" s="326" t="s">
        <v>1488</v>
      </c>
      <c r="E43" s="327" t="s">
        <v>1489</v>
      </c>
      <c r="F43" s="328">
        <f ca="1">INDIRECT("'数据-取费表'!k"&amp;$G$1)</f>
        <v>30155.269999999997</v>
      </c>
      <c r="G43" s="1777"/>
      <c r="H43" s="675"/>
      <c r="I43" s="675"/>
      <c r="J43" s="675"/>
      <c r="K43" s="694"/>
      <c r="L43" s="675"/>
      <c r="M43" s="675"/>
    </row>
    <row r="44" spans="1:18" s="1768" customFormat="1" ht="18" customHeight="1">
      <c r="A44" s="1792"/>
      <c r="B44" s="1792"/>
      <c r="C44" s="1793"/>
      <c r="D44" s="1792"/>
      <c r="E44" s="1792"/>
      <c r="F44" s="1792"/>
      <c r="K44" s="1794"/>
    </row>
    <row r="45" spans="1:18" s="1768" customFormat="1" ht="18" customHeight="1" thickBot="1">
      <c r="A45" s="1792"/>
      <c r="B45" s="1792"/>
      <c r="C45" s="1793"/>
      <c r="D45" s="1792"/>
      <c r="E45" s="1792"/>
      <c r="F45" s="1792"/>
      <c r="J45" s="739"/>
      <c r="O45" s="1795" t="s">
        <v>1519</v>
      </c>
      <c r="P45" s="1765"/>
      <c r="Q45" s="1765"/>
      <c r="R45" s="1765"/>
    </row>
    <row r="46" spans="1:18" s="1768" customFormat="1" ht="13.5" thickBot="1">
      <c r="A46" s="1796" t="s">
        <v>1520</v>
      </c>
      <c r="C46" s="1797">
        <f ca="1">C68-C40</f>
        <v>-34774</v>
      </c>
      <c r="D46" s="1798" t="str">
        <f>C2</f>
        <v>万元</v>
      </c>
      <c r="E46" s="1792"/>
      <c r="F46" s="1792"/>
      <c r="I46" s="1799" t="s">
        <v>1521</v>
      </c>
      <c r="J46" s="1800"/>
      <c r="K46" s="1801"/>
      <c r="L46" s="1802" t="str">
        <f ca="1">IF(M47="住宅",0,IF(L48&gt;J51,L60,J60))</f>
        <v>0</v>
      </c>
      <c r="O46" s="1803" t="s">
        <v>1522</v>
      </c>
      <c r="P46" s="1804" t="s">
        <v>1523</v>
      </c>
      <c r="Q46" s="1805" t="s">
        <v>1524</v>
      </c>
      <c r="R46" s="1805" t="s">
        <v>1525</v>
      </c>
    </row>
    <row r="47" spans="1:18" s="1768" customFormat="1" ht="13.5" thickBot="1">
      <c r="A47" s="1111" t="s">
        <v>1396</v>
      </c>
      <c r="B47" s="1143" t="s">
        <v>1397</v>
      </c>
      <c r="C47" s="1299" t="s">
        <v>1398</v>
      </c>
      <c r="D47" s="1143" t="s">
        <v>1399</v>
      </c>
      <c r="E47" s="1211" t="s">
        <v>1400</v>
      </c>
      <c r="F47" s="1212"/>
      <c r="G47" s="735"/>
      <c r="I47" s="1806" t="s">
        <v>1526</v>
      </c>
      <c r="J47" s="1807" t="s">
        <v>3234</v>
      </c>
      <c r="K47" s="1808" t="s">
        <v>1527</v>
      </c>
      <c r="L47" s="1809">
        <f ca="1">INDIRECT("'数据-取费表'!d"&amp;$G$1)</f>
        <v>50</v>
      </c>
      <c r="M47" s="1764" t="str">
        <f>IF(ISNUMBER(FIND("住宅",C1)),"住宅","非住宅")</f>
        <v>非住宅</v>
      </c>
      <c r="O47" s="1810" t="s">
        <v>1040</v>
      </c>
      <c r="P47" s="1811" t="s">
        <v>1528</v>
      </c>
      <c r="Q47" s="1812">
        <f ca="1">C40+J29</f>
        <v>11534</v>
      </c>
      <c r="R47" s="1812" t="s">
        <v>1529</v>
      </c>
    </row>
    <row r="48" spans="1:18" s="1768" customFormat="1" ht="28.5" thickBot="1">
      <c r="A48" s="1292" t="s">
        <v>1135</v>
      </c>
      <c r="B48" s="288" t="s">
        <v>1401</v>
      </c>
      <c r="C48" s="1743">
        <f ca="1">C49+C53+C55</f>
        <v>0</v>
      </c>
      <c r="D48" s="1294"/>
      <c r="E48" s="1295"/>
      <c r="F48" s="1127"/>
      <c r="G48" s="735"/>
      <c r="H48" s="736"/>
      <c r="I48" s="1813" t="s">
        <v>1530</v>
      </c>
      <c r="J48" s="1814" t="s">
        <v>3245</v>
      </c>
      <c r="K48" s="1815" t="s">
        <v>1531</v>
      </c>
      <c r="L48" s="1816">
        <f ca="1">INDIRECT("'数据-取费表'!f"&amp;$G$1)</f>
        <v>48</v>
      </c>
      <c r="O48" s="1810" t="s">
        <v>1041</v>
      </c>
      <c r="P48" s="1811" t="s">
        <v>1532</v>
      </c>
      <c r="Q48" s="1812" t="str">
        <f ca="1">J60</f>
        <v>0</v>
      </c>
      <c r="R48" s="1812" t="s">
        <v>1533</v>
      </c>
    </row>
    <row r="49" spans="1:18" s="1768" customFormat="1" ht="13.5" thickBot="1">
      <c r="A49" s="1140" t="s">
        <v>1136</v>
      </c>
      <c r="B49" s="1755" t="s">
        <v>1490</v>
      </c>
      <c r="C49" s="1296">
        <f ca="1">ROUND(F49*F51*F50*(1-F52)/10000,0)</f>
        <v>0</v>
      </c>
      <c r="D49" s="1208" t="s">
        <v>2905</v>
      </c>
      <c r="E49" s="1756" t="s">
        <v>1491</v>
      </c>
      <c r="F49" s="1213"/>
      <c r="G49" s="1817"/>
      <c r="H49" s="736"/>
      <c r="I49" s="1813" t="s">
        <v>1534</v>
      </c>
      <c r="J49" s="1818"/>
      <c r="K49" s="1815" t="s">
        <v>1535</v>
      </c>
      <c r="L49" s="1819"/>
      <c r="O49" s="1820" t="s">
        <v>1042</v>
      </c>
      <c r="P49" s="1811" t="s">
        <v>1536</v>
      </c>
      <c r="Q49" s="1812">
        <f ca="1">C29</f>
        <v>12687</v>
      </c>
      <c r="R49" s="1812" t="s">
        <v>1529</v>
      </c>
    </row>
    <row r="50" spans="1:18" s="1768" customFormat="1" ht="13.5" thickBot="1">
      <c r="A50" s="1141"/>
      <c r="B50" s="1144"/>
      <c r="C50" s="1300"/>
      <c r="D50" s="1118"/>
      <c r="E50" s="1209" t="s">
        <v>1406</v>
      </c>
      <c r="F50" s="1210">
        <f ca="1">F7</f>
        <v>30155.269999999997</v>
      </c>
      <c r="H50" s="736"/>
      <c r="I50" s="1813" t="s">
        <v>1537</v>
      </c>
      <c r="J50" s="1821">
        <f>SUMPRODUCT((I63:I65=J47)*(J62:L62=J48)*(J63:L65))</f>
        <v>60</v>
      </c>
      <c r="K50" s="1815" t="s">
        <v>1538</v>
      </c>
      <c r="L50" s="1819"/>
      <c r="M50" s="1822"/>
      <c r="O50" s="1820" t="s">
        <v>1043</v>
      </c>
      <c r="P50" s="1811" t="s">
        <v>1539</v>
      </c>
      <c r="Q50" s="1823" t="e">
        <f ca="1">J58</f>
        <v>#VALUE!</v>
      </c>
      <c r="R50" s="1812"/>
    </row>
    <row r="51" spans="1:18" s="1768" customFormat="1" ht="13.5" thickBot="1">
      <c r="A51" s="1142"/>
      <c r="B51" s="1144"/>
      <c r="C51" s="1145"/>
      <c r="D51" s="1118"/>
      <c r="E51" s="1146" t="s">
        <v>1407</v>
      </c>
      <c r="F51" s="291">
        <f ca="1">F8</f>
        <v>365</v>
      </c>
      <c r="I51" s="1824" t="s">
        <v>1540</v>
      </c>
      <c r="J51" s="1825">
        <f>IF(J49="",J50,J49+J50-YEAR('数据-取费表'!B2))</f>
        <v>60</v>
      </c>
      <c r="K51" s="1826" t="s">
        <v>1541</v>
      </c>
      <c r="L51" s="1827">
        <f ca="1">ROUND(-PV(INDIRECT("'数据-取费表'!h"&amp;$G$1),L48,(C39-C13*C76),0),0)</f>
        <v>-12804</v>
      </c>
      <c r="M51" s="1828"/>
      <c r="O51" s="1820" t="s">
        <v>1044</v>
      </c>
      <c r="P51" s="1811" t="s">
        <v>1542</v>
      </c>
      <c r="Q51" s="1823">
        <f>J52</f>
        <v>0</v>
      </c>
      <c r="R51" s="1812"/>
    </row>
    <row r="52" spans="1:18" s="1768" customFormat="1" ht="13.5" thickBot="1">
      <c r="A52" s="1142"/>
      <c r="B52" s="1144"/>
      <c r="C52" s="1145"/>
      <c r="D52" s="1118"/>
      <c r="E52" s="1146" t="s">
        <v>1408</v>
      </c>
      <c r="F52" s="1207"/>
      <c r="I52" s="1829" t="s">
        <v>1543</v>
      </c>
      <c r="J52" s="1830"/>
      <c r="K52" s="1829" t="s">
        <v>1544</v>
      </c>
      <c r="L52" s="1830"/>
      <c r="O52" s="1820" t="s">
        <v>1045</v>
      </c>
      <c r="P52" s="1811" t="s">
        <v>1545</v>
      </c>
      <c r="Q52" s="1812">
        <f ca="1">J53</f>
        <v>47.5</v>
      </c>
      <c r="R52" s="1812" t="s">
        <v>1546</v>
      </c>
    </row>
    <row r="53" spans="1:18" s="1768" customFormat="1" ht="24.75" thickBot="1">
      <c r="A53" s="1337" t="s">
        <v>1137</v>
      </c>
      <c r="B53" s="1757" t="s">
        <v>1409</v>
      </c>
      <c r="C53" s="304">
        <f ca="1">ROUND(IF(F53="押一",C49/12*F11,IF(F53="押二",C49/12*2*F11,IF(F53="押三",C49/12*3*F11,C54*F11))),0)</f>
        <v>0</v>
      </c>
      <c r="D53" s="1750" t="s">
        <v>2912</v>
      </c>
      <c r="E53" s="301" t="s">
        <v>1410</v>
      </c>
      <c r="F53" s="1298"/>
      <c r="I53" s="1831" t="s">
        <v>1547</v>
      </c>
      <c r="J53" s="1832">
        <f ca="1">IF(M47="住宅",IF(D1="——",MAX(J51,L48),IF(D1="在建（套用方法）",MAX(J51,L48-'数据-取费表'!B24),MAX(J51,L48-'数据-取费表'!B20))),IF(D1="——",MIN(J51,L48),IF(D1="在建（套用方法）",MIN(J51,L48-'数据-取费表'!B24),IF(D1="土地（套用方法）",MIN(J51,L48-'数据-取费表'!B20)))))</f>
        <v>47.5</v>
      </c>
      <c r="K53" s="3321" t="s">
        <v>1548</v>
      </c>
      <c r="L53" s="3322"/>
      <c r="O53" s="1810" t="s">
        <v>1046</v>
      </c>
      <c r="P53" s="1811" t="s">
        <v>1549</v>
      </c>
      <c r="Q53" s="1812">
        <f ca="1">Q47+Q48</f>
        <v>11534</v>
      </c>
      <c r="R53" s="1812" t="s">
        <v>1047</v>
      </c>
    </row>
    <row r="54" spans="1:18" s="1768" customFormat="1" ht="13.5" thickBot="1">
      <c r="A54" s="1338"/>
      <c r="B54" s="1751" t="s">
        <v>1388</v>
      </c>
      <c r="C54" s="1124"/>
      <c r="D54" s="1750"/>
      <c r="E54" s="1758"/>
      <c r="F54" s="1833"/>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5"/>
      <c r="K54" s="1835"/>
      <c r="L54" s="1835"/>
      <c r="M54" s="1817"/>
      <c r="O54" s="1795" t="s">
        <v>1550</v>
      </c>
      <c r="P54" s="1765"/>
      <c r="Q54" s="1765"/>
      <c r="R54" s="1765"/>
    </row>
    <row r="55" spans="1:18" s="1768" customFormat="1" ht="13.5" thickBot="1">
      <c r="A55" s="1265" t="s">
        <v>1075</v>
      </c>
      <c r="B55" s="1753" t="s">
        <v>1413</v>
      </c>
      <c r="C55" s="1266"/>
      <c r="D55" s="1750"/>
      <c r="E55" s="1758"/>
      <c r="F55" s="1833"/>
      <c r="I55" s="1836" t="s">
        <v>1551</v>
      </c>
      <c r="J55" s="1837" t="e">
        <f ca="1">ROUND(IF(J47="钢混",J57/J50,1-(1-2%)*(J50-J57)/J50),3)</f>
        <v>#VALUE!</v>
      </c>
      <c r="K55" s="1838" t="s">
        <v>1552</v>
      </c>
      <c r="L55" s="1839" t="s">
        <v>1553</v>
      </c>
      <c r="O55" s="1803" t="s">
        <v>1522</v>
      </c>
      <c r="P55" s="1804" t="s">
        <v>1523</v>
      </c>
      <c r="Q55" s="1805" t="s">
        <v>1524</v>
      </c>
      <c r="R55" s="1805" t="s">
        <v>1525</v>
      </c>
    </row>
    <row r="56" spans="1:18" s="1768" customFormat="1" ht="25.5" thickTop="1" thickBot="1">
      <c r="A56" s="1122">
        <v>2</v>
      </c>
      <c r="B56" s="1123" t="s">
        <v>1414</v>
      </c>
      <c r="C56" s="219">
        <f ca="1">C13</f>
        <v>12687</v>
      </c>
      <c r="D56" s="1840"/>
      <c r="E56" s="1841"/>
      <c r="F56" s="1833"/>
      <c r="I56" s="1842" t="s">
        <v>1554</v>
      </c>
      <c r="J56" s="1843" t="s">
        <v>3194</v>
      </c>
      <c r="K56" s="1813" t="s">
        <v>1555</v>
      </c>
      <c r="L56" s="1816" t="str">
        <f ca="1">IF(L48&lt;J51,"——",L48-J53)</f>
        <v>——</v>
      </c>
      <c r="O56" s="1810" t="s">
        <v>1040</v>
      </c>
      <c r="P56" s="1811" t="s">
        <v>1528</v>
      </c>
      <c r="Q56" s="1812">
        <f ca="1">C40+J29</f>
        <v>11534</v>
      </c>
      <c r="R56" s="1812" t="s">
        <v>1529</v>
      </c>
    </row>
    <row r="57" spans="1:18" s="1768" customFormat="1" ht="24.75" thickBot="1">
      <c r="A57" s="1844"/>
      <c r="B57" s="1115" t="s">
        <v>1478</v>
      </c>
      <c r="C57" s="225">
        <f ca="1">C29</f>
        <v>12687</v>
      </c>
      <c r="D57" s="1845"/>
      <c r="E57" s="1846"/>
      <c r="F57" s="1847"/>
      <c r="I57" s="1848" t="s">
        <v>1556</v>
      </c>
      <c r="J57" s="1849" t="str">
        <f ca="1">IF(OR(M47="住宅",J51&lt;L48,J56="是"),"——",J51-L48)</f>
        <v>——</v>
      </c>
      <c r="K57" s="1813" t="s">
        <v>1557</v>
      </c>
      <c r="L57" s="1816" t="str">
        <f ca="1">IF(L48&lt;J51,"——",IF(L55="比较法",L49,IF(L55="基准地价",L50,L51)))</f>
        <v>——</v>
      </c>
      <c r="O57" s="1810" t="s">
        <v>1041</v>
      </c>
      <c r="P57" s="1811" t="s">
        <v>1558</v>
      </c>
      <c r="Q57" s="1812">
        <f ca="1">L60</f>
        <v>0</v>
      </c>
      <c r="R57" s="1812" t="s">
        <v>1559</v>
      </c>
    </row>
    <row r="58" spans="1:18" s="1768" customFormat="1" ht="24.75" thickBot="1">
      <c r="A58" s="303" t="s">
        <v>1030</v>
      </c>
      <c r="B58" s="1123" t="s">
        <v>1424</v>
      </c>
      <c r="C58" s="304">
        <f ca="1">ROUND(C59+C64+C65+C66,0)</f>
        <v>1289</v>
      </c>
      <c r="D58" s="1125" t="s">
        <v>1425</v>
      </c>
      <c r="E58" s="1126"/>
      <c r="F58" s="1127"/>
      <c r="I58" s="1848" t="s">
        <v>1560</v>
      </c>
      <c r="J58" s="1850" t="e">
        <f ca="1">IF(J55&lt;0.4,0.4,J55)</f>
        <v>#VALUE!</v>
      </c>
      <c r="K58" s="1826" t="s">
        <v>1561</v>
      </c>
      <c r="L58" s="1816" t="e">
        <f ca="1">ROUND(POWER(1+L52,L47-L48)*(POWER(1+L52,L48)-1)/(POWER(1+L52,L47)-1),4)</f>
        <v>#DIV/0!</v>
      </c>
      <c r="O58" s="1820" t="s">
        <v>1042</v>
      </c>
      <c r="P58" s="1811" t="s">
        <v>1562</v>
      </c>
      <c r="Q58" s="1812">
        <f>IF(L55="比较法",L49,IF(L55="基准地价",L50,0))</f>
        <v>0</v>
      </c>
      <c r="R58" s="1812" t="s">
        <v>1529</v>
      </c>
    </row>
    <row r="59" spans="1:18" s="1768" customFormat="1" ht="24.75" thickBot="1">
      <c r="A59" s="1147" t="s">
        <v>1035</v>
      </c>
      <c r="B59" s="1115" t="s">
        <v>1429</v>
      </c>
      <c r="C59" s="24">
        <f ca="1">ROUND(IF(项目基本情况!B11="自然人",C48*F59,C60+C61+C62),1)</f>
        <v>1079.7</v>
      </c>
      <c r="D59" s="1128" t="s">
        <v>1430</v>
      </c>
      <c r="E59" s="1129" t="s">
        <v>1431</v>
      </c>
      <c r="F59" s="311" t="str">
        <f ca="1">IF(项目基本情况!B11="企业","",IF(INDIRECT("'数据-取费表'!c"&amp;$G$1)="住宅",5%,IF(F49*F50*F51/12/(1+'数据-取费表'!C42)&gt;20000,12%,7%)))</f>
        <v/>
      </c>
      <c r="I59" s="1848" t="s">
        <v>1563</v>
      </c>
      <c r="J59" s="1849" t="str">
        <f ca="1">IF(OR(M47="住宅",J51&lt;L48,J56="是"),"——",ROUND(C29*J58,0))</f>
        <v>——</v>
      </c>
      <c r="K59" s="181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6" t="e">
        <f ca="1">ROUND(IF(D1="在建（套用方法）",M59,IF(D1="土地（套用方法）",N59,POWER(1+L52,L47-J51)*(POWER(1+L52,J51)-1)/(POWER(1+L52,L47)-1))),4)</f>
        <v>#DIV/0!</v>
      </c>
      <c r="M59" s="1764" t="e">
        <f ca="1">ROUND(POWER(1+L52,L47-(J51+'数据-取费表'!B24))*(POWER(1+L52,(J51+'数据-取费表'!B24))-1)/(POWER(1+L52,L47)-1),4)</f>
        <v>#DIV/0!</v>
      </c>
      <c r="N59" s="1764" t="e">
        <f ca="1">ROUND(POWER(1+L52,L47-(J51+'数据-取费表'!B20))*(POWER(1+L52,(J51+'数据-取费表'!B20))-1)/(POWER(1+L52,L47)-1),4)</f>
        <v>#DIV/0!</v>
      </c>
      <c r="O59" s="1820" t="s">
        <v>1043</v>
      </c>
      <c r="P59" s="1811" t="s">
        <v>1564</v>
      </c>
      <c r="Q59" s="1823">
        <f>L52</f>
        <v>0</v>
      </c>
      <c r="R59" s="1812"/>
    </row>
    <row r="60" spans="1:18" s="1768" customFormat="1" ht="16.5" thickBot="1">
      <c r="A60" s="1147" t="s">
        <v>1034</v>
      </c>
      <c r="B60" s="1115" t="s">
        <v>1433</v>
      </c>
      <c r="C60" s="24">
        <f ca="1">IF(项目基本情况!B11="自然人","——",ROUND(C48*F60/(1+'数据-取费表'!C42),2))</f>
        <v>0</v>
      </c>
      <c r="D60" s="1129" t="s">
        <v>1434</v>
      </c>
      <c r="E60" s="1115" t="s">
        <v>1422</v>
      </c>
      <c r="F60" s="320">
        <f t="shared" ref="F60:F66" si="0">F32</f>
        <v>5.6000000000000001E-2</v>
      </c>
      <c r="I60" s="1851" t="s">
        <v>1565</v>
      </c>
      <c r="J60" s="1852" t="str">
        <f ca="1">IF(OR(M47="住宅",J51&lt;L48,J56="是"),"0",ROUND(J59/(1+J52)^J53,0))</f>
        <v>0</v>
      </c>
      <c r="K60" s="1853" t="s">
        <v>1566</v>
      </c>
      <c r="L60" s="1852">
        <f ca="1">IF(OR(M47="住宅",L48&lt;J51),0,ROUND(L57*(L58/L59-1),0))</f>
        <v>0</v>
      </c>
      <c r="O60" s="1820" t="s">
        <v>1044</v>
      </c>
      <c r="P60" s="1811" t="s">
        <v>1567</v>
      </c>
      <c r="Q60" s="1812" t="e">
        <f ca="1">L58</f>
        <v>#DIV/0!</v>
      </c>
      <c r="R60" s="1812" t="s">
        <v>1568</v>
      </c>
    </row>
    <row r="61" spans="1:18" s="1768" customFormat="1" ht="13.5" thickBot="1">
      <c r="A61" s="1147" t="s">
        <v>1492</v>
      </c>
      <c r="B61" s="1115" t="s">
        <v>1493</v>
      </c>
      <c r="C61" s="24">
        <f ca="1">IF(项目基本情况!B11="自然人","——",IF(D61="按租金收入计税",ROUND(C48*F61,2),IF(D61="按房产原值计税",ROUND(C57*F61*0.7,2),INDIRECT("'数据-取费表'!Aj"&amp;$G$1))))</f>
        <v>1065.71</v>
      </c>
      <c r="D61" s="1754" t="s">
        <v>1438</v>
      </c>
      <c r="E61" s="1115" t="s">
        <v>1494</v>
      </c>
      <c r="F61" s="310">
        <f t="shared" si="0"/>
        <v>0.12</v>
      </c>
      <c r="I61" s="1854"/>
      <c r="J61" s="1854"/>
      <c r="K61" s="1854"/>
      <c r="L61" s="1854"/>
      <c r="O61" s="1820" t="s">
        <v>1045</v>
      </c>
      <c r="P61" s="1811" t="str">
        <f>K59</f>
        <v>续建工期及建筑物耐用年限下的土地年期修正系数Kn</v>
      </c>
      <c r="Q61" s="1812" t="e">
        <f ca="1">L59</f>
        <v>#DIV/0!</v>
      </c>
      <c r="R61" s="1812" t="s">
        <v>1569</v>
      </c>
    </row>
    <row r="62" spans="1:18" s="1768" customFormat="1" ht="13.5" thickBot="1">
      <c r="A62" s="1147" t="s">
        <v>1495</v>
      </c>
      <c r="B62" s="1114" t="s">
        <v>1496</v>
      </c>
      <c r="C62" s="25">
        <f ca="1">IF(项目基本情况!B11="自然人","——",ROUND(F62*F63/10000,2))</f>
        <v>14.03</v>
      </c>
      <c r="D62" s="1130" t="s">
        <v>1497</v>
      </c>
      <c r="E62" s="1115" t="s">
        <v>1498</v>
      </c>
      <c r="F62" s="314">
        <f t="shared" si="0"/>
        <v>12</v>
      </c>
      <c r="I62" s="1855" t="s">
        <v>1570</v>
      </c>
      <c r="J62" s="1856" t="s">
        <v>1571</v>
      </c>
      <c r="K62" s="1856" t="s">
        <v>1572</v>
      </c>
      <c r="L62" s="1856" t="s">
        <v>1573</v>
      </c>
      <c r="M62" s="1857" t="s">
        <v>1574</v>
      </c>
      <c r="O62" s="1810" t="s">
        <v>1046</v>
      </c>
      <c r="P62" s="1811" t="s">
        <v>1575</v>
      </c>
      <c r="Q62" s="1812">
        <f ca="1">Q56+Q57</f>
        <v>11534</v>
      </c>
      <c r="R62" s="1812" t="s">
        <v>1047</v>
      </c>
    </row>
    <row r="63" spans="1:18" s="1768" customFormat="1" ht="13.5" thickBot="1">
      <c r="A63" s="315"/>
      <c r="B63" s="1121"/>
      <c r="C63" s="29"/>
      <c r="D63" s="1131"/>
      <c r="E63" s="1115" t="s">
        <v>1499</v>
      </c>
      <c r="F63" s="291">
        <f t="shared" ca="1" si="0"/>
        <v>11687.849999999999</v>
      </c>
      <c r="I63" s="1855" t="s">
        <v>1576</v>
      </c>
      <c r="J63" s="1856">
        <v>70</v>
      </c>
      <c r="K63" s="1856">
        <v>50</v>
      </c>
      <c r="L63" s="1856">
        <v>80</v>
      </c>
      <c r="M63" s="1858">
        <v>0.02</v>
      </c>
      <c r="O63" s="1795" t="s">
        <v>1577</v>
      </c>
      <c r="P63" s="1765"/>
      <c r="Q63" s="1765"/>
      <c r="R63" s="1765"/>
    </row>
    <row r="64" spans="1:18" s="1768" customFormat="1" ht="13.5" thickBot="1">
      <c r="A64" s="1147" t="s">
        <v>1500</v>
      </c>
      <c r="B64" s="1115" t="s">
        <v>1501</v>
      </c>
      <c r="C64" s="24">
        <f ca="1">ROUND(C57*F64,1)</f>
        <v>190.3</v>
      </c>
      <c r="D64" s="1129" t="s">
        <v>1502</v>
      </c>
      <c r="E64" s="1115" t="s">
        <v>1494</v>
      </c>
      <c r="F64" s="317">
        <f t="shared" ca="1" si="0"/>
        <v>1.4999999999999999E-2</v>
      </c>
      <c r="I64" s="1855" t="s">
        <v>1578</v>
      </c>
      <c r="J64" s="1856">
        <v>50</v>
      </c>
      <c r="K64" s="1856">
        <v>35</v>
      </c>
      <c r="L64" s="1856">
        <v>60</v>
      </c>
      <c r="M64" s="1857">
        <v>0</v>
      </c>
      <c r="O64" s="1803" t="s">
        <v>1522</v>
      </c>
      <c r="P64" s="1804" t="s">
        <v>1523</v>
      </c>
      <c r="Q64" s="1805" t="s">
        <v>1524</v>
      </c>
      <c r="R64" s="1805" t="s">
        <v>1525</v>
      </c>
    </row>
    <row r="65" spans="1:18" s="1768" customFormat="1" ht="13.5" thickBot="1">
      <c r="A65" s="1147" t="s">
        <v>1503</v>
      </c>
      <c r="B65" s="1115" t="s">
        <v>1453</v>
      </c>
      <c r="C65" s="24">
        <f ca="1">ROUND(C56*F65,1)</f>
        <v>19</v>
      </c>
      <c r="D65" s="1129" t="s">
        <v>1454</v>
      </c>
      <c r="E65" s="1115" t="s">
        <v>1455</v>
      </c>
      <c r="F65" s="319">
        <f t="shared" ca="1" si="0"/>
        <v>1.5E-3</v>
      </c>
      <c r="I65" s="1855" t="s">
        <v>1579</v>
      </c>
      <c r="J65" s="1856">
        <v>40</v>
      </c>
      <c r="K65" s="1856">
        <v>30</v>
      </c>
      <c r="L65" s="1856">
        <v>50</v>
      </c>
      <c r="M65" s="1858">
        <v>0.02</v>
      </c>
      <c r="O65" s="1810" t="s">
        <v>1040</v>
      </c>
      <c r="P65" s="1811" t="s">
        <v>1580</v>
      </c>
      <c r="Q65" s="1812">
        <f ca="1">C40+J29</f>
        <v>11534</v>
      </c>
      <c r="R65" s="1812" t="s">
        <v>1529</v>
      </c>
    </row>
    <row r="66" spans="1:18" s="1768" customFormat="1" ht="16.5" thickBot="1">
      <c r="A66" s="1147" t="s">
        <v>1504</v>
      </c>
      <c r="B66" s="1115" t="s">
        <v>1439</v>
      </c>
      <c r="C66" s="24">
        <f ca="1">ROUND(C48*F66,1)</f>
        <v>0</v>
      </c>
      <c r="D66" s="1129" t="s">
        <v>1505</v>
      </c>
      <c r="E66" s="1115" t="s">
        <v>1422</v>
      </c>
      <c r="F66" s="300">
        <f t="shared" ca="1" si="0"/>
        <v>0.01</v>
      </c>
      <c r="O66" s="1810" t="s">
        <v>1041</v>
      </c>
      <c r="P66" s="1811" t="s">
        <v>1558</v>
      </c>
      <c r="Q66" s="1812">
        <f ca="1">L60</f>
        <v>0</v>
      </c>
      <c r="R66" s="1812" t="s">
        <v>1581</v>
      </c>
    </row>
    <row r="67" spans="1:18" s="1768" customFormat="1" ht="16.5" thickBot="1">
      <c r="A67" s="1122" t="s">
        <v>1031</v>
      </c>
      <c r="B67" s="1132" t="s">
        <v>1463</v>
      </c>
      <c r="C67" s="304">
        <f ca="1">C48-C58</f>
        <v>-1289</v>
      </c>
      <c r="D67" s="1128" t="s">
        <v>1464</v>
      </c>
      <c r="E67" s="1133"/>
      <c r="F67" s="1134"/>
      <c r="O67" s="1820" t="s">
        <v>1042</v>
      </c>
      <c r="P67" s="1811" t="s">
        <v>1562</v>
      </c>
      <c r="Q67" s="1859">
        <f ca="1">L51</f>
        <v>-12804</v>
      </c>
      <c r="R67" s="1812" t="s">
        <v>1582</v>
      </c>
    </row>
    <row r="68" spans="1:18" s="1768" customFormat="1" ht="16.5" thickBot="1">
      <c r="A68" s="1112" t="s">
        <v>1032</v>
      </c>
      <c r="B68" s="1113" t="s">
        <v>1485</v>
      </c>
      <c r="C68" s="289">
        <f ca="1">ROUND(C67*(1-((1+F70)/(1+F68))^F69)/(F68-F70),0)</f>
        <v>-23240</v>
      </c>
      <c r="D68" s="1130" t="s">
        <v>1469</v>
      </c>
      <c r="E68" s="1115" t="s">
        <v>1470</v>
      </c>
      <c r="F68" s="300">
        <f ca="1">F40</f>
        <v>0.05</v>
      </c>
      <c r="O68" s="1820" t="s">
        <v>1043</v>
      </c>
      <c r="P68" s="1860" t="s">
        <v>1583</v>
      </c>
      <c r="Q68" s="1812">
        <f ca="1">ROUND(Q69-Q70*Q71,0)</f>
        <v>-655</v>
      </c>
      <c r="R68" s="1812" t="s">
        <v>1051</v>
      </c>
    </row>
    <row r="69" spans="1:18" s="1768" customFormat="1" ht="13.5" thickBot="1">
      <c r="A69" s="1116"/>
      <c r="B69" s="1117"/>
      <c r="C69" s="294"/>
      <c r="D69" s="1135" t="s">
        <v>1473</v>
      </c>
      <c r="E69" s="1115" t="s">
        <v>1474</v>
      </c>
      <c r="F69" s="322">
        <f ca="1">F41</f>
        <v>47.5</v>
      </c>
      <c r="O69" s="1820" t="s">
        <v>1048</v>
      </c>
      <c r="P69" s="1860" t="s">
        <v>1584</v>
      </c>
      <c r="Q69" s="1812">
        <f ca="1">C39</f>
        <v>423</v>
      </c>
      <c r="R69" s="1812" t="s">
        <v>1529</v>
      </c>
    </row>
    <row r="70" spans="1:18" s="1768" customFormat="1" ht="13.5" thickBot="1">
      <c r="A70" s="1119"/>
      <c r="B70" s="1120"/>
      <c r="C70" s="298"/>
      <c r="D70" s="1131"/>
      <c r="E70" s="1115" t="s">
        <v>1477</v>
      </c>
      <c r="F70" s="1207"/>
      <c r="O70" s="1820" t="s">
        <v>1049</v>
      </c>
      <c r="P70" s="1860" t="s">
        <v>1585</v>
      </c>
      <c r="Q70" s="1812">
        <f ca="1">C13</f>
        <v>12687</v>
      </c>
      <c r="R70" s="1812" t="s">
        <v>1529</v>
      </c>
    </row>
    <row r="71" spans="1:18" s="1768" customFormat="1" ht="13.5" thickBot="1">
      <c r="A71" s="1136" t="s">
        <v>1033</v>
      </c>
      <c r="B71" s="1137" t="s">
        <v>1487</v>
      </c>
      <c r="C71" s="325">
        <f ca="1">ROUND(C68*10000/F71,0)</f>
        <v>-7707</v>
      </c>
      <c r="D71" s="1138" t="s">
        <v>1488</v>
      </c>
      <c r="E71" s="1139" t="s">
        <v>1489</v>
      </c>
      <c r="F71" s="328">
        <f ca="1">F43</f>
        <v>30155.269999999997</v>
      </c>
      <c r="O71" s="1820" t="s">
        <v>1050</v>
      </c>
      <c r="P71" s="1860" t="s">
        <v>1586</v>
      </c>
      <c r="Q71" s="1823">
        <f ca="1">C76</f>
        <v>8.5000000000000006E-2</v>
      </c>
      <c r="R71" s="1812"/>
    </row>
    <row r="72" spans="1:18" s="1768" customFormat="1" ht="13.5" thickBot="1">
      <c r="B72" s="739"/>
      <c r="C72" s="739"/>
      <c r="O72" s="1820" t="s">
        <v>1044</v>
      </c>
      <c r="P72" s="1811" t="s">
        <v>1564</v>
      </c>
      <c r="Q72" s="1823">
        <f>L52</f>
        <v>0</v>
      </c>
      <c r="R72" s="1812"/>
    </row>
    <row r="73" spans="1:18" ht="16.5" thickBot="1">
      <c r="A73" s="1768"/>
      <c r="B73" s="739"/>
      <c r="C73" s="739"/>
      <c r="D73" s="1768"/>
      <c r="E73" s="1768"/>
      <c r="F73" s="1768"/>
      <c r="O73" s="1820" t="s">
        <v>1045</v>
      </c>
      <c r="P73" s="1811" t="s">
        <v>1567</v>
      </c>
      <c r="Q73" s="1812" t="e">
        <f ca="1">L58</f>
        <v>#DIV/0!</v>
      </c>
      <c r="R73" s="1812" t="s">
        <v>1568</v>
      </c>
    </row>
    <row r="74" spans="1:18" ht="13.5" thickBot="1">
      <c r="A74" s="1768"/>
      <c r="B74" s="260" t="s">
        <v>1587</v>
      </c>
      <c r="C74" s="1862"/>
      <c r="D74" s="1768"/>
      <c r="E74" s="1768"/>
      <c r="F74" s="1768"/>
      <c r="O74" s="1820" t="s">
        <v>1052</v>
      </c>
      <c r="P74" s="1811" t="str">
        <f>K59</f>
        <v>续建工期及建筑物耐用年限下的土地年期修正系数Kn</v>
      </c>
      <c r="Q74" s="1812" t="e">
        <f ca="1">L59</f>
        <v>#DIV/0!</v>
      </c>
      <c r="R74" s="1812" t="s">
        <v>1569</v>
      </c>
    </row>
    <row r="75" spans="1:18" ht="13.5" thickBot="1">
      <c r="A75" s="1768"/>
      <c r="B75" s="329" t="s">
        <v>1506</v>
      </c>
      <c r="C75" s="330">
        <f ca="1">ROUND(C13*C76,0)</f>
        <v>1078</v>
      </c>
      <c r="D75" s="1768"/>
      <c r="E75" s="1768"/>
      <c r="F75" s="1768"/>
      <c r="K75" s="1794"/>
      <c r="L75" s="1768"/>
      <c r="O75" s="1810" t="s">
        <v>1046</v>
      </c>
      <c r="P75" s="1811" t="s">
        <v>1549</v>
      </c>
      <c r="Q75" s="1812">
        <f ca="1">Q65+Q66</f>
        <v>11534</v>
      </c>
      <c r="R75" s="1812" t="s">
        <v>1047</v>
      </c>
    </row>
    <row r="76" spans="1:18">
      <c r="B76" s="331" t="s">
        <v>1507</v>
      </c>
      <c r="C76" s="332">
        <f ca="1">INDIRECT("'数据-取费表'!j"&amp;$G$1)</f>
        <v>8.5000000000000006E-2</v>
      </c>
      <c r="I76" s="1768"/>
      <c r="J76" s="1768"/>
      <c r="K76" s="1794"/>
      <c r="L76" s="1768"/>
    </row>
    <row r="77" spans="1:18">
      <c r="B77" s="333" t="s">
        <v>1508</v>
      </c>
      <c r="C77" s="334"/>
      <c r="I77" s="1768"/>
      <c r="J77" s="1768"/>
      <c r="K77" s="1794"/>
      <c r="L77" s="1768"/>
    </row>
    <row r="78" spans="1:18">
      <c r="B78" s="257" t="s">
        <v>1509</v>
      </c>
      <c r="C78" s="335"/>
    </row>
    <row r="79" spans="1:18">
      <c r="B79" s="329" t="s">
        <v>1510</v>
      </c>
      <c r="C79" s="261">
        <f ca="1">1-C80</f>
        <v>-1.548</v>
      </c>
    </row>
    <row r="80" spans="1:18">
      <c r="B80" s="329" t="s">
        <v>1511</v>
      </c>
      <c r="C80" s="261">
        <f ca="1">ROUND(C75/C39,3)</f>
        <v>2.548</v>
      </c>
    </row>
    <row r="81" spans="2:3">
      <c r="B81" s="257" t="s">
        <v>1512</v>
      </c>
      <c r="C81" s="225"/>
    </row>
    <row r="82" spans="2:3">
      <c r="B82" s="260" t="s">
        <v>1513</v>
      </c>
      <c r="C82" s="262">
        <f ca="1">1-C83</f>
        <v>-0.10000000000000009</v>
      </c>
    </row>
    <row r="83" spans="2:3">
      <c r="B83" s="260" t="s">
        <v>1514</v>
      </c>
      <c r="C83" s="261">
        <f ca="1">ROUND(C13/C40,3)</f>
        <v>1.1000000000000001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99" priority="56">
      <formula>$L$48&gt;$J$51</formula>
    </cfRule>
  </conditionalFormatting>
  <conditionalFormatting sqref="I55 I60">
    <cfRule type="expression" dxfId="98" priority="57">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9" sqref="C39"/>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2399</v>
      </c>
      <c r="B1" s="2447" t="s">
        <v>2513</v>
      </c>
      <c r="C1" s="1564" t="s">
        <v>2401</v>
      </c>
      <c r="D1" s="1551"/>
      <c r="E1" s="2520"/>
      <c r="F1" s="2449"/>
      <c r="G1" s="1561" t="s">
        <v>2514</v>
      </c>
      <c r="H1" s="1560"/>
      <c r="I1" s="1560"/>
      <c r="J1" s="1560"/>
      <c r="K1" s="1562"/>
      <c r="L1" s="1563"/>
      <c r="M1" s="1564"/>
      <c r="N1" s="1564"/>
      <c r="O1" s="1564"/>
      <c r="P1" s="2521"/>
      <c r="Q1" s="2522"/>
      <c r="R1" s="2522"/>
      <c r="S1" s="2522"/>
      <c r="T1" s="2522"/>
      <c r="U1" s="2522"/>
      <c r="V1" s="2522"/>
      <c r="W1" s="2522"/>
      <c r="X1" s="2522"/>
      <c r="Y1" s="2522"/>
      <c r="Z1" s="2522"/>
      <c r="AA1" s="2522"/>
      <c r="AB1" s="2522"/>
      <c r="AC1" s="2523"/>
    </row>
    <row r="2" spans="1:29" s="341" customFormat="1" ht="28.5" customHeight="1" thickTop="1">
      <c r="A2" s="1547" t="s">
        <v>2201</v>
      </c>
      <c r="B2" s="1350" t="e">
        <f ca="1">IF(C2="——",ROUND(C49*D3/10000,0),ROUND(C49*D3/10000,0)-D2)</f>
        <v>#DIV/0!</v>
      </c>
      <c r="C2" s="2451"/>
      <c r="D2" s="1297" t="e">
        <f ca="1">SUMIF(INDIRECT("'"&amp;F2&amp;"'"&amp;"!A:A"),"承租人权益价值",INDIRECT("'"&amp;F2&amp;"'"&amp;"!c:c"))</f>
        <v>#REF!</v>
      </c>
      <c r="E2" s="2452" t="s">
        <v>2202</v>
      </c>
      <c r="F2" s="2453"/>
      <c r="G2" s="1071"/>
      <c r="H2" s="1071"/>
      <c r="I2" s="1071"/>
      <c r="J2" s="1071"/>
      <c r="K2" s="1071"/>
      <c r="L2" s="1074"/>
      <c r="M2" s="1075"/>
      <c r="N2" s="1075"/>
      <c r="O2" s="1075"/>
      <c r="P2" s="2524"/>
      <c r="Q2" s="1075"/>
      <c r="R2" s="1075"/>
      <c r="S2" s="1075"/>
      <c r="T2" s="1075"/>
      <c r="U2" s="1075"/>
      <c r="V2" s="1075"/>
      <c r="W2" s="1075"/>
      <c r="X2" s="1075"/>
      <c r="Y2" s="1075"/>
      <c r="Z2" s="1075"/>
      <c r="AA2" s="1075"/>
      <c r="AB2" s="1075"/>
      <c r="AC2" s="2525"/>
    </row>
    <row r="3" spans="1:29" s="341" customFormat="1" ht="28.5" customHeight="1" thickBot="1">
      <c r="A3" s="190" t="s">
        <v>2203</v>
      </c>
      <c r="B3" s="552" t="e">
        <f ca="1">IF(C2="——",C49,ROUND(B2*10000/D3,0))</f>
        <v>#DIV/0!</v>
      </c>
      <c r="C3" s="343" t="s">
        <v>2515</v>
      </c>
      <c r="D3" s="342">
        <f>IF(D1="",'数据-汇总表'!E3,SUMIF('数据-汇总表'!$C19:$C33,D1,'数据-汇总表'!$E19:$E33))</f>
        <v>119454.59</v>
      </c>
      <c r="E3" s="2526"/>
      <c r="F3" s="1072"/>
      <c r="G3" s="1071"/>
      <c r="H3" s="1071"/>
      <c r="I3" s="1071"/>
      <c r="J3" s="1071"/>
      <c r="K3" s="1073"/>
      <c r="L3" s="1074"/>
      <c r="M3" s="1075"/>
      <c r="N3" s="1075"/>
      <c r="O3" s="1075"/>
      <c r="P3" s="2524"/>
      <c r="Q3" s="1075"/>
      <c r="R3" s="1075"/>
      <c r="S3" s="1075"/>
      <c r="T3" s="1075"/>
      <c r="U3" s="1075"/>
      <c r="V3" s="1075"/>
      <c r="W3" s="1075"/>
      <c r="X3" s="1075"/>
      <c r="Y3" s="1075"/>
      <c r="Z3" s="1075"/>
      <c r="AA3" s="1075"/>
      <c r="AB3" s="1075"/>
      <c r="AC3" s="2526"/>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304" t="s">
        <v>2519</v>
      </c>
      <c r="AC4" s="3274" t="s">
        <v>2520</v>
      </c>
    </row>
    <row r="5" spans="1:29" ht="15">
      <c r="A5" s="347"/>
      <c r="B5" s="348"/>
      <c r="C5" s="3285" t="s">
        <v>2413</v>
      </c>
      <c r="D5" s="3286"/>
      <c r="E5" s="3283" t="s">
        <v>2414</v>
      </c>
      <c r="F5" s="3284"/>
      <c r="G5" s="3285" t="s">
        <v>2415</v>
      </c>
      <c r="H5" s="3286"/>
      <c r="I5" s="3285" t="s">
        <v>2416</v>
      </c>
      <c r="J5" s="3286"/>
      <c r="K5" s="553"/>
      <c r="L5" s="1076"/>
      <c r="M5" s="1077"/>
      <c r="N5" s="1077"/>
      <c r="O5" s="1077"/>
      <c r="P5" s="3298"/>
      <c r="Q5" s="3299"/>
      <c r="R5" s="3281"/>
      <c r="S5" s="3282"/>
      <c r="T5" s="3281"/>
      <c r="U5" s="3282"/>
      <c r="V5" s="3304"/>
      <c r="W5" s="3304"/>
      <c r="X5" s="1740"/>
      <c r="Y5" s="3281"/>
      <c r="Z5" s="3282"/>
      <c r="AA5" s="3275"/>
      <c r="AB5" s="3304"/>
      <c r="AC5" s="3275"/>
    </row>
    <row r="6" spans="1:29" ht="15.75" thickBot="1">
      <c r="A6" s="349"/>
      <c r="B6" s="350"/>
      <c r="C6" s="3287" t="s">
        <v>2417</v>
      </c>
      <c r="D6" s="3288"/>
      <c r="E6" s="3289" t="s">
        <v>2417</v>
      </c>
      <c r="F6" s="3290"/>
      <c r="G6" s="3287" t="s">
        <v>2417</v>
      </c>
      <c r="H6" s="3288"/>
      <c r="I6" s="3287" t="s">
        <v>2417</v>
      </c>
      <c r="J6" s="3288"/>
      <c r="K6" s="553" t="s">
        <v>2418</v>
      </c>
      <c r="L6" s="1076"/>
      <c r="M6" s="1077"/>
      <c r="N6" s="1077"/>
      <c r="O6" s="1077"/>
      <c r="P6" s="3300"/>
      <c r="Q6" s="3301"/>
      <c r="R6" s="3281"/>
      <c r="S6" s="3282"/>
      <c r="T6" s="3302"/>
      <c r="U6" s="3303"/>
      <c r="V6" s="3304"/>
      <c r="W6" s="3304"/>
      <c r="X6" s="1740"/>
      <c r="Y6" s="3302"/>
      <c r="Z6" s="3303"/>
      <c r="AA6" s="3276"/>
      <c r="AB6" s="3304"/>
      <c r="AC6" s="3276"/>
    </row>
    <row r="7" spans="1:29" s="72" customFormat="1" ht="15.75" thickBot="1">
      <c r="A7" s="351" t="s">
        <v>2419</v>
      </c>
      <c r="B7" s="352"/>
      <c r="C7" s="353">
        <f>'数据-取费表'!B2</f>
        <v>43284</v>
      </c>
      <c r="D7" s="354">
        <v>100</v>
      </c>
      <c r="E7" s="355"/>
      <c r="F7" s="356">
        <f>SUMIF(58:58,YEAR(E7)&amp;"-"&amp;MONTH(E7),59:59)</f>
        <v>0</v>
      </c>
      <c r="G7" s="355"/>
      <c r="H7" s="354">
        <f>SUMIF(58:58,YEAR(G7)&amp;"-"&amp;MONTH(G7),59:59)</f>
        <v>0</v>
      </c>
      <c r="I7" s="355"/>
      <c r="J7" s="354">
        <f>SUMIF(58:58,YEAR(I7)&amp;"-"&amp;MONTH(I7),59:59)</f>
        <v>0</v>
      </c>
      <c r="K7" s="554"/>
      <c r="L7" s="1078"/>
      <c r="M7" s="1079"/>
      <c r="N7" s="1079"/>
      <c r="O7" s="1079"/>
      <c r="P7" s="3277" t="s">
        <v>2420</v>
      </c>
      <c r="Q7" s="3305"/>
      <c r="R7" s="713" t="s">
        <v>17</v>
      </c>
      <c r="S7" s="714">
        <f t="shared" ref="S7:S15" si="0">F7</f>
        <v>0</v>
      </c>
      <c r="T7" s="713" t="s">
        <v>17</v>
      </c>
      <c r="U7" s="714">
        <f t="shared" ref="U7:U15" si="1">H7</f>
        <v>0</v>
      </c>
      <c r="V7" s="713" t="s">
        <v>17</v>
      </c>
      <c r="W7" s="714">
        <f t="shared" ref="W7:W15" si="2">J7</f>
        <v>0</v>
      </c>
      <c r="X7" s="715"/>
      <c r="Y7" s="3277" t="s">
        <v>2420</v>
      </c>
      <c r="Z7" s="3278"/>
      <c r="AA7" s="716" t="e">
        <f>D7/F7</f>
        <v>#DIV/0!</v>
      </c>
      <c r="AB7" s="716" t="e">
        <f>D7/H7</f>
        <v>#DIV/0!</v>
      </c>
      <c r="AC7" s="716" t="e">
        <f>D7/J7</f>
        <v>#DIV/0!</v>
      </c>
    </row>
    <row r="8" spans="1:29" s="72" customFormat="1" ht="15.75" thickBot="1">
      <c r="A8" s="351" t="s">
        <v>2421</v>
      </c>
      <c r="B8" s="352"/>
      <c r="C8" s="357" t="s">
        <v>2523</v>
      </c>
      <c r="D8" s="354">
        <v>100</v>
      </c>
      <c r="E8" s="357"/>
      <c r="F8" s="356">
        <f>SUMIF(61:61,E8,62:62)-SUMIF(61:61,C8,62:62)+100</f>
        <v>0</v>
      </c>
      <c r="G8" s="357"/>
      <c r="H8" s="354">
        <f>SUMIF(61:61,G8,62:62)-SUMIF(61:61,C8,62:62)+100</f>
        <v>0</v>
      </c>
      <c r="I8" s="357"/>
      <c r="J8" s="354">
        <f>SUMIF(61:61,I8,62:62)-SUMIF(61:61,C8,62:62)+100</f>
        <v>0</v>
      </c>
      <c r="K8" s="554"/>
      <c r="L8" s="1078"/>
      <c r="M8" s="1079"/>
      <c r="N8" s="1079"/>
      <c r="O8" s="1079"/>
      <c r="P8" s="3277" t="s">
        <v>2423</v>
      </c>
      <c r="Q8" s="3278"/>
      <c r="R8" s="713" t="s">
        <v>17</v>
      </c>
      <c r="S8" s="714">
        <f t="shared" si="0"/>
        <v>0</v>
      </c>
      <c r="T8" s="713" t="s">
        <v>17</v>
      </c>
      <c r="U8" s="714">
        <f t="shared" si="1"/>
        <v>0</v>
      </c>
      <c r="V8" s="713" t="s">
        <v>17</v>
      </c>
      <c r="W8" s="714">
        <f t="shared" si="2"/>
        <v>0</v>
      </c>
      <c r="X8" s="715"/>
      <c r="Y8" s="3277" t="s">
        <v>2423</v>
      </c>
      <c r="Z8" s="3278"/>
      <c r="AA8" s="716" t="e">
        <f t="shared" ref="AA8:AA46" si="3">D8/F8</f>
        <v>#DIV/0!</v>
      </c>
      <c r="AB8" s="716" t="e">
        <f t="shared" ref="AB8:AB46" si="4">D8/H8</f>
        <v>#DIV/0!</v>
      </c>
      <c r="AC8" s="716" t="e">
        <f t="shared" ref="AC8:AC46" si="5">D8/J8</f>
        <v>#DIV/0!</v>
      </c>
    </row>
    <row r="9" spans="1:29" s="72" customFormat="1">
      <c r="A9" s="358" t="s">
        <v>2424</v>
      </c>
      <c r="B9" s="70" t="s">
        <v>2425</v>
      </c>
      <c r="C9" s="359"/>
      <c r="D9" s="78">
        <v>100</v>
      </c>
      <c r="E9" s="360"/>
      <c r="F9" s="361">
        <f>SUMIF(63:63,E9,64:64)-SUMIF(63:63,C9,64:64)+100</f>
        <v>100</v>
      </c>
      <c r="G9" s="360"/>
      <c r="H9" s="78">
        <f>SUMIF(63:63,G9,64:64)-SUMIF(63:63,C9,64:64)+100</f>
        <v>100</v>
      </c>
      <c r="I9" s="360"/>
      <c r="J9" s="78">
        <f>SUMIF(63:63,I9,64:64)-SUMIF(63:63,C9,64:64)+100</f>
        <v>100</v>
      </c>
      <c r="K9" s="554"/>
      <c r="L9" s="1078"/>
      <c r="M9" s="1079"/>
      <c r="N9" s="1079"/>
      <c r="O9" s="1079"/>
      <c r="P9" s="3315"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716">
        <f t="shared" si="5"/>
        <v>1</v>
      </c>
    </row>
    <row r="10" spans="1:29" s="370" customFormat="1" ht="27">
      <c r="A10" s="364"/>
      <c r="B10" s="365" t="s">
        <v>2428</v>
      </c>
      <c r="C10" s="366"/>
      <c r="D10" s="79">
        <v>100</v>
      </c>
      <c r="E10" s="367"/>
      <c r="F10" s="368">
        <f>SUMIF(65:65,E10,66:66)-SUMIF(65:65,C10,66:66)+100</f>
        <v>100</v>
      </c>
      <c r="G10" s="366"/>
      <c r="H10" s="79">
        <f>SUMIF(65:65,G10,66:66)-SUMIF(65:65,C10,66:66)+100</f>
        <v>100</v>
      </c>
      <c r="I10" s="366"/>
      <c r="J10" s="79">
        <f>SUMIF(65:65,I10,66:66)-SUMIF(65:65,C10,66:66)+100</f>
        <v>100</v>
      </c>
      <c r="K10" s="555"/>
      <c r="L10" s="1081"/>
      <c r="M10" s="1082"/>
      <c r="N10" s="1082"/>
      <c r="O10" s="1082"/>
      <c r="P10" s="3315"/>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716">
        <f t="shared" si="5"/>
        <v>1</v>
      </c>
    </row>
    <row r="11" spans="1:29" ht="15">
      <c r="A11" s="371"/>
      <c r="B11" s="365" t="s">
        <v>2429</v>
      </c>
      <c r="C11" s="372"/>
      <c r="D11" s="79">
        <v>100</v>
      </c>
      <c r="E11" s="373"/>
      <c r="F11" s="368" t="e">
        <f>LOOKUP(E11,68:68,69:69)-LOOKUP(C11,68:68,69:69)+100</f>
        <v>#N/A</v>
      </c>
      <c r="G11" s="372"/>
      <c r="H11" s="79" t="e">
        <f>LOOKUP(G11,68:68,69:69)-LOOKUP(C11,68:68,69:69)+100</f>
        <v>#N/A</v>
      </c>
      <c r="I11" s="372"/>
      <c r="J11" s="79" t="e">
        <f>LOOKUP(I11,68:68,69:69)-LOOKUP(C11,68:68,69:69)+100</f>
        <v>#N/A</v>
      </c>
      <c r="K11" s="555"/>
      <c r="L11" s="1084"/>
      <c r="M11" s="1077"/>
      <c r="N11" s="1077"/>
      <c r="O11" s="1077"/>
      <c r="P11" s="3315"/>
      <c r="Q11" s="1723" t="str">
        <f t="shared" si="6"/>
        <v>容积率</v>
      </c>
      <c r="R11" s="713" t="s">
        <v>17</v>
      </c>
      <c r="S11" s="714" t="e">
        <f t="shared" si="0"/>
        <v>#N/A</v>
      </c>
      <c r="T11" s="713" t="s">
        <v>17</v>
      </c>
      <c r="U11" s="714" t="e">
        <f t="shared" si="1"/>
        <v>#N/A</v>
      </c>
      <c r="V11" s="713" t="s">
        <v>17</v>
      </c>
      <c r="W11" s="714" t="e">
        <f t="shared" si="2"/>
        <v>#N/A</v>
      </c>
      <c r="X11" s="715"/>
      <c r="Y11" s="3113"/>
      <c r="Z11" s="54" t="str">
        <f t="shared" si="7"/>
        <v>容积率</v>
      </c>
      <c r="AA11" s="716" t="e">
        <f t="shared" si="3"/>
        <v>#N/A</v>
      </c>
      <c r="AB11" s="716" t="e">
        <f t="shared" si="4"/>
        <v>#N/A</v>
      </c>
      <c r="AC11" s="716" t="e">
        <f t="shared" si="5"/>
        <v>#N/A</v>
      </c>
    </row>
    <row r="12" spans="1:29" s="72" customFormat="1" ht="15">
      <c r="A12" s="374"/>
      <c r="B12" s="2465">
        <v>111</v>
      </c>
      <c r="C12" s="375"/>
      <c r="D12" s="376">
        <v>100</v>
      </c>
      <c r="E12" s="377"/>
      <c r="F12" s="368">
        <f>SUMIF(70:70,E12,71:71)-SUMIF(70:70,C12,71:71)+100</f>
        <v>100</v>
      </c>
      <c r="G12" s="377"/>
      <c r="H12" s="79">
        <f>SUMIF(70:70,G12,71:71)-SUMIF(70:70,C12,71:71)+100</f>
        <v>100</v>
      </c>
      <c r="I12" s="377"/>
      <c r="J12" s="79">
        <f>SUMIF(70:70,I12,71:71)-SUMIF(70:70,C12,71:71)+100</f>
        <v>100</v>
      </c>
      <c r="K12" s="556"/>
      <c r="L12" s="1078"/>
      <c r="M12" s="1079"/>
      <c r="N12" s="1079"/>
      <c r="O12" s="1079"/>
      <c r="P12" s="3315"/>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716">
        <f>D12/J12</f>
        <v>1</v>
      </c>
    </row>
    <row r="13" spans="1:29" ht="15">
      <c r="A13" s="371"/>
      <c r="B13" s="2465">
        <v>111</v>
      </c>
      <c r="C13" s="377"/>
      <c r="D13" s="378">
        <v>100</v>
      </c>
      <c r="E13" s="377"/>
      <c r="F13" s="368">
        <f>SUMIF(72:72,E13,73:73)-SUMIF(72:72,C13,73:73)+100</f>
        <v>100</v>
      </c>
      <c r="G13" s="377"/>
      <c r="H13" s="378">
        <f>SUMIF(72:72,G13,73:73)-SUMIF(72:72,C13,73:73)+100</f>
        <v>100</v>
      </c>
      <c r="I13" s="377"/>
      <c r="J13" s="378">
        <f>SUMIF(72:72,I13,73:73)-SUMIF(72:72,C13,73:73)+100</f>
        <v>100</v>
      </c>
      <c r="K13" s="556"/>
      <c r="L13" s="1086"/>
      <c r="M13" s="1077"/>
      <c r="N13" s="1077"/>
      <c r="O13" s="1077"/>
      <c r="P13" s="3315"/>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716">
        <f t="shared" si="5"/>
        <v>1</v>
      </c>
    </row>
    <row r="14" spans="1:29" ht="15.75" thickBot="1">
      <c r="A14" s="379"/>
      <c r="B14" s="2467">
        <v>111</v>
      </c>
      <c r="C14" s="380"/>
      <c r="D14" s="381">
        <v>100</v>
      </c>
      <c r="E14" s="377"/>
      <c r="F14" s="382">
        <f>SUMIF(74:74,E14,75:75)-SUMIF(74:74,C14,75:75)+100</f>
        <v>100</v>
      </c>
      <c r="G14" s="377"/>
      <c r="H14" s="381">
        <f>SUMIF(74:74,G14,75:75)-SUMIF(74:74,C14,75:75)+100</f>
        <v>100</v>
      </c>
      <c r="I14" s="377"/>
      <c r="J14" s="381">
        <f>SUMIF(74:74,I14,75:75)-SUMIF(74:74,C14,75:75)+100</f>
        <v>100</v>
      </c>
      <c r="K14" s="556"/>
      <c r="L14" s="1086"/>
      <c r="M14" s="1077"/>
      <c r="N14" s="1077"/>
      <c r="O14" s="1077"/>
      <c r="P14" s="3315"/>
      <c r="Q14" s="1723">
        <f t="shared" si="6"/>
        <v>111</v>
      </c>
      <c r="R14" s="713" t="s">
        <v>17</v>
      </c>
      <c r="S14" s="714">
        <f t="shared" si="0"/>
        <v>100</v>
      </c>
      <c r="T14" s="713" t="s">
        <v>17</v>
      </c>
      <c r="U14" s="714">
        <f t="shared" si="1"/>
        <v>100</v>
      </c>
      <c r="V14" s="713" t="s">
        <v>17</v>
      </c>
      <c r="W14" s="714">
        <f t="shared" si="2"/>
        <v>100</v>
      </c>
      <c r="X14" s="715"/>
      <c r="Y14" s="3113"/>
      <c r="Z14" s="54">
        <f t="shared" si="7"/>
        <v>111</v>
      </c>
      <c r="AA14" s="716">
        <f t="shared" si="3"/>
        <v>1</v>
      </c>
      <c r="AB14" s="716">
        <f t="shared" si="4"/>
        <v>1</v>
      </c>
      <c r="AC14" s="716">
        <f t="shared" si="5"/>
        <v>1</v>
      </c>
    </row>
    <row r="15" spans="1:29" ht="71.25">
      <c r="A15" s="383" t="s">
        <v>2430</v>
      </c>
      <c r="B15" s="68" t="s">
        <v>2524</v>
      </c>
      <c r="C15" s="2468"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57"/>
      <c r="L15" s="1086"/>
      <c r="M15" s="1077"/>
      <c r="N15" s="1077"/>
      <c r="O15" s="1077"/>
      <c r="P15" s="3355" t="s">
        <v>2431</v>
      </c>
      <c r="Q15" s="1737" t="str">
        <f t="shared" si="6"/>
        <v>商业繁华度</v>
      </c>
      <c r="R15" s="717" t="s">
        <v>17</v>
      </c>
      <c r="S15" s="718">
        <f t="shared" si="0"/>
        <v>100</v>
      </c>
      <c r="T15" s="717" t="s">
        <v>17</v>
      </c>
      <c r="U15" s="718">
        <f t="shared" si="1"/>
        <v>100</v>
      </c>
      <c r="V15" s="717" t="s">
        <v>17</v>
      </c>
      <c r="W15" s="718">
        <f t="shared" si="2"/>
        <v>100</v>
      </c>
      <c r="X15" s="1740"/>
      <c r="Y15" s="3306" t="s">
        <v>2431</v>
      </c>
      <c r="Z15" s="1741" t="str">
        <f t="shared" si="7"/>
        <v>商业繁华度</v>
      </c>
      <c r="AA15" s="1738">
        <f t="shared" si="3"/>
        <v>1</v>
      </c>
      <c r="AB15" s="1738">
        <f t="shared" si="4"/>
        <v>1</v>
      </c>
      <c r="AC15" s="1738">
        <f t="shared" si="5"/>
        <v>1</v>
      </c>
    </row>
    <row r="16" spans="1:29" ht="15">
      <c r="A16" s="371"/>
      <c r="B16" s="389"/>
      <c r="C16" s="390"/>
      <c r="D16" s="391"/>
      <c r="E16" s="390"/>
      <c r="F16" s="392"/>
      <c r="G16" s="390"/>
      <c r="H16" s="393"/>
      <c r="I16" s="390"/>
      <c r="J16" s="391"/>
      <c r="K16" s="558"/>
      <c r="L16" s="1086"/>
      <c r="M16" s="1077"/>
      <c r="N16" s="1077"/>
      <c r="O16" s="1077"/>
      <c r="P16" s="3356"/>
      <c r="Q16" s="1737"/>
      <c r="R16" s="717"/>
      <c r="S16" s="718"/>
      <c r="T16" s="717"/>
      <c r="U16" s="718"/>
      <c r="V16" s="717"/>
      <c r="W16" s="718"/>
      <c r="X16" s="1740"/>
      <c r="Y16" s="3307"/>
      <c r="Z16" s="1741"/>
      <c r="AA16" s="1738">
        <v>1</v>
      </c>
      <c r="AB16" s="1738">
        <v>1</v>
      </c>
      <c r="AC16" s="1738">
        <v>1</v>
      </c>
    </row>
    <row r="17" spans="1:29" ht="85.5">
      <c r="A17" s="371"/>
      <c r="B17" s="394" t="s">
        <v>1977</v>
      </c>
      <c r="C17" s="2472"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57"/>
      <c r="L17" s="1086"/>
      <c r="M17" s="1077"/>
      <c r="N17" s="1077"/>
      <c r="O17" s="1077"/>
      <c r="P17" s="3356"/>
      <c r="Q17" s="1737" t="str">
        <f>B17</f>
        <v>交通便捷度</v>
      </c>
      <c r="R17" s="717" t="s">
        <v>17</v>
      </c>
      <c r="S17" s="718">
        <f>F17</f>
        <v>100</v>
      </c>
      <c r="T17" s="717" t="s">
        <v>17</v>
      </c>
      <c r="U17" s="718">
        <f>H17</f>
        <v>100</v>
      </c>
      <c r="V17" s="717" t="s">
        <v>17</v>
      </c>
      <c r="W17" s="718">
        <f>J17</f>
        <v>100</v>
      </c>
      <c r="X17" s="1740"/>
      <c r="Y17" s="3307"/>
      <c r="Z17" s="1741" t="str">
        <f>Q17</f>
        <v>交通便捷度</v>
      </c>
      <c r="AA17" s="1738">
        <f t="shared" si="3"/>
        <v>1</v>
      </c>
      <c r="AB17" s="1738">
        <f t="shared" si="4"/>
        <v>1</v>
      </c>
      <c r="AC17" s="1738">
        <f t="shared" si="5"/>
        <v>1</v>
      </c>
    </row>
    <row r="18" spans="1:29" ht="15">
      <c r="A18" s="371"/>
      <c r="B18" s="399"/>
      <c r="C18" s="2473"/>
      <c r="D18" s="393"/>
      <c r="E18" s="2475"/>
      <c r="F18" s="396"/>
      <c r="G18" s="2474"/>
      <c r="H18" s="391"/>
      <c r="I18" s="2475"/>
      <c r="J18" s="391"/>
      <c r="K18" s="558"/>
      <c r="L18" s="1086"/>
      <c r="M18" s="1077"/>
      <c r="N18" s="1077"/>
      <c r="O18" s="1077"/>
      <c r="P18" s="3356"/>
      <c r="Q18" s="1737"/>
      <c r="R18" s="717"/>
      <c r="S18" s="718"/>
      <c r="T18" s="717"/>
      <c r="U18" s="718"/>
      <c r="V18" s="717"/>
      <c r="W18" s="718"/>
      <c r="X18" s="1740"/>
      <c r="Y18" s="3307"/>
      <c r="Z18" s="1741"/>
      <c r="AA18" s="1738">
        <v>1</v>
      </c>
      <c r="AB18" s="1738">
        <v>1</v>
      </c>
      <c r="AC18" s="1738">
        <v>1</v>
      </c>
    </row>
    <row r="19" spans="1:29" ht="15">
      <c r="A19" s="371"/>
      <c r="B19" s="394" t="s">
        <v>2525</v>
      </c>
      <c r="C19" s="2472">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86"/>
      <c r="M19" s="1077"/>
      <c r="N19" s="1077"/>
      <c r="O19" s="1077"/>
      <c r="P19" s="3356"/>
      <c r="Q19" s="1737" t="str">
        <f>B19</f>
        <v>公共配套设施</v>
      </c>
      <c r="R19" s="717" t="s">
        <v>17</v>
      </c>
      <c r="S19" s="718">
        <f>F19</f>
        <v>100</v>
      </c>
      <c r="T19" s="717" t="s">
        <v>17</v>
      </c>
      <c r="U19" s="718">
        <f>H19</f>
        <v>100</v>
      </c>
      <c r="V19" s="717" t="s">
        <v>17</v>
      </c>
      <c r="W19" s="718">
        <f>J19</f>
        <v>100</v>
      </c>
      <c r="X19" s="1740"/>
      <c r="Y19" s="3307"/>
      <c r="Z19" s="1741" t="str">
        <f>Q19</f>
        <v>公共配套设施</v>
      </c>
      <c r="AA19" s="1738">
        <f t="shared" si="3"/>
        <v>1</v>
      </c>
      <c r="AB19" s="1738">
        <f t="shared" si="4"/>
        <v>1</v>
      </c>
      <c r="AC19" s="1738">
        <f t="shared" si="5"/>
        <v>1</v>
      </c>
    </row>
    <row r="20" spans="1:29" ht="15">
      <c r="A20" s="371"/>
      <c r="B20" s="399"/>
      <c r="C20" s="390"/>
      <c r="D20" s="391"/>
      <c r="E20" s="2470"/>
      <c r="F20" s="392"/>
      <c r="G20" s="2469"/>
      <c r="H20" s="391"/>
      <c r="I20" s="2470"/>
      <c r="J20" s="391"/>
      <c r="K20" s="558"/>
      <c r="L20" s="1086"/>
      <c r="M20" s="1077"/>
      <c r="N20" s="1077"/>
      <c r="O20" s="1077"/>
      <c r="P20" s="3356"/>
      <c r="Q20" s="1737"/>
      <c r="R20" s="717"/>
      <c r="S20" s="718"/>
      <c r="T20" s="717"/>
      <c r="U20" s="718"/>
      <c r="V20" s="717"/>
      <c r="W20" s="718"/>
      <c r="X20" s="1740"/>
      <c r="Y20" s="3307"/>
      <c r="Z20" s="1741"/>
      <c r="AA20" s="1738">
        <v>1</v>
      </c>
      <c r="AB20" s="1738">
        <v>1</v>
      </c>
      <c r="AC20" s="1738">
        <v>1</v>
      </c>
    </row>
    <row r="21" spans="1:29" ht="15">
      <c r="A21" s="371"/>
      <c r="B21" s="1316" t="s">
        <v>2526</v>
      </c>
      <c r="C21" s="2472">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86"/>
      <c r="M21" s="1077"/>
      <c r="N21" s="1077"/>
      <c r="O21" s="1077"/>
      <c r="P21" s="3356"/>
      <c r="Q21" s="1737" t="str">
        <f>B21</f>
        <v>基础设施水平</v>
      </c>
      <c r="R21" s="717" t="s">
        <v>17</v>
      </c>
      <c r="S21" s="718">
        <f>F21</f>
        <v>100</v>
      </c>
      <c r="T21" s="717" t="s">
        <v>17</v>
      </c>
      <c r="U21" s="718">
        <f>H21</f>
        <v>100</v>
      </c>
      <c r="V21" s="717" t="s">
        <v>17</v>
      </c>
      <c r="W21" s="718">
        <f>J21</f>
        <v>100</v>
      </c>
      <c r="X21" s="1740"/>
      <c r="Y21" s="3307"/>
      <c r="Z21" s="1741" t="str">
        <f>Q21</f>
        <v>基础设施水平</v>
      </c>
      <c r="AA21" s="1738">
        <f t="shared" ref="AA21" si="8">D21/F21</f>
        <v>1</v>
      </c>
      <c r="AB21" s="1738">
        <f t="shared" ref="AB21" si="9">D21/H21</f>
        <v>1</v>
      </c>
      <c r="AC21" s="1738">
        <f t="shared" ref="AC21" si="10">D21/J21</f>
        <v>1</v>
      </c>
    </row>
    <row r="22" spans="1:29" ht="15">
      <c r="A22" s="371"/>
      <c r="B22" s="1316"/>
      <c r="C22" s="2473"/>
      <c r="D22" s="391"/>
      <c r="E22" s="390"/>
      <c r="F22" s="392"/>
      <c r="G22" s="390"/>
      <c r="H22" s="391"/>
      <c r="I22" s="390"/>
      <c r="J22" s="391"/>
      <c r="K22" s="1315"/>
      <c r="L22" s="1086"/>
      <c r="M22" s="1077"/>
      <c r="N22" s="1077"/>
      <c r="O22" s="1077"/>
      <c r="P22" s="3356"/>
      <c r="Q22" s="1737"/>
      <c r="R22" s="717"/>
      <c r="S22" s="718"/>
      <c r="T22" s="717"/>
      <c r="U22" s="718"/>
      <c r="V22" s="717"/>
      <c r="W22" s="718"/>
      <c r="X22" s="1740"/>
      <c r="Y22" s="3307"/>
      <c r="Z22" s="1741"/>
      <c r="AA22" s="1738">
        <v>1</v>
      </c>
      <c r="AB22" s="1738">
        <v>1</v>
      </c>
      <c r="AC22" s="1738">
        <v>1</v>
      </c>
    </row>
    <row r="23" spans="1:29" ht="15">
      <c r="A23" s="371"/>
      <c r="B23" s="394" t="s">
        <v>1980</v>
      </c>
      <c r="C23" s="2527">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86"/>
      <c r="M23" s="1077"/>
      <c r="N23" s="1077"/>
      <c r="O23" s="1077"/>
      <c r="P23" s="3356"/>
      <c r="Q23" s="1737" t="str">
        <f>B23</f>
        <v>自然及人文环境</v>
      </c>
      <c r="R23" s="717" t="s">
        <v>17</v>
      </c>
      <c r="S23" s="718">
        <f>F23</f>
        <v>100</v>
      </c>
      <c r="T23" s="717" t="s">
        <v>17</v>
      </c>
      <c r="U23" s="718">
        <f>H23</f>
        <v>100</v>
      </c>
      <c r="V23" s="717" t="s">
        <v>17</v>
      </c>
      <c r="W23" s="718">
        <f>J23</f>
        <v>100</v>
      </c>
      <c r="X23" s="1740"/>
      <c r="Y23" s="3307"/>
      <c r="Z23" s="1741" t="str">
        <f>Q23</f>
        <v>自然及人文环境</v>
      </c>
      <c r="AA23" s="1738">
        <f t="shared" si="3"/>
        <v>1</v>
      </c>
      <c r="AB23" s="1738">
        <f t="shared" si="4"/>
        <v>1</v>
      </c>
      <c r="AC23" s="1738">
        <f t="shared" si="5"/>
        <v>1</v>
      </c>
    </row>
    <row r="24" spans="1:29" ht="15">
      <c r="A24" s="371"/>
      <c r="B24" s="399"/>
      <c r="C24" s="390"/>
      <c r="D24" s="391"/>
      <c r="E24" s="2470"/>
      <c r="F24" s="392"/>
      <c r="G24" s="2469"/>
      <c r="H24" s="391"/>
      <c r="I24" s="2470"/>
      <c r="J24" s="391"/>
      <c r="K24" s="558"/>
      <c r="L24" s="1086"/>
      <c r="M24" s="1077"/>
      <c r="N24" s="1077"/>
      <c r="O24" s="1077"/>
      <c r="P24" s="3356"/>
      <c r="Q24" s="1737"/>
      <c r="R24" s="717"/>
      <c r="S24" s="718"/>
      <c r="T24" s="717"/>
      <c r="U24" s="718"/>
      <c r="V24" s="717"/>
      <c r="W24" s="718"/>
      <c r="X24" s="1740"/>
      <c r="Y24" s="3307"/>
      <c r="Z24" s="1741"/>
      <c r="AA24" s="1738">
        <v>1</v>
      </c>
      <c r="AB24" s="1738">
        <v>1</v>
      </c>
      <c r="AC24" s="1738">
        <v>1</v>
      </c>
    </row>
    <row r="25" spans="1:29" ht="15">
      <c r="A25" s="371"/>
      <c r="B25" s="365" t="s">
        <v>2527</v>
      </c>
      <c r="C25" s="559"/>
      <c r="D25" s="378">
        <v>100</v>
      </c>
      <c r="E25" s="559"/>
      <c r="F25" s="404">
        <f>SUMIF(86:86,E25,87:87)-SUMIF(86:86,C25,87:87)+100</f>
        <v>100</v>
      </c>
      <c r="G25" s="559"/>
      <c r="H25" s="378">
        <f>SUMIF(86:86,G25,87:87)-SUMIF(86:86,C25,87:87)+100</f>
        <v>100</v>
      </c>
      <c r="I25" s="559"/>
      <c r="J25" s="378">
        <f>SUMIF(86:86,I25,87:87)-SUMIF(86:86,C25,87:87)+100</f>
        <v>100</v>
      </c>
      <c r="K25" s="555"/>
      <c r="L25" s="1086"/>
      <c r="M25" s="1077"/>
      <c r="N25" s="1077"/>
      <c r="O25" s="1077"/>
      <c r="P25" s="3356"/>
      <c r="Q25" s="1737" t="str">
        <f t="shared" ref="Q25:Q46" si="11">B25</f>
        <v>临街状况</v>
      </c>
      <c r="R25" s="717" t="s">
        <v>17</v>
      </c>
      <c r="S25" s="718">
        <f>F25</f>
        <v>100</v>
      </c>
      <c r="T25" s="717" t="s">
        <v>17</v>
      </c>
      <c r="U25" s="718">
        <f>H25</f>
        <v>100</v>
      </c>
      <c r="V25" s="717" t="s">
        <v>17</v>
      </c>
      <c r="W25" s="718">
        <f>J25</f>
        <v>100</v>
      </c>
      <c r="X25" s="1740"/>
      <c r="Y25" s="3307"/>
      <c r="Z25" s="1741" t="str">
        <f>Q25</f>
        <v>临街状况</v>
      </c>
      <c r="AA25" s="1738">
        <f t="shared" si="3"/>
        <v>1</v>
      </c>
      <c r="AB25" s="1738">
        <f t="shared" si="4"/>
        <v>1</v>
      </c>
      <c r="AC25" s="1738">
        <f t="shared" si="5"/>
        <v>1</v>
      </c>
    </row>
    <row r="26" spans="1:29" ht="15">
      <c r="A26" s="371"/>
      <c r="B26" s="1318" t="s">
        <v>2528</v>
      </c>
      <c r="C26" s="377"/>
      <c r="D26" s="378">
        <v>100</v>
      </c>
      <c r="E26" s="377"/>
      <c r="F26" s="404">
        <f>SUMIF(88:88,E26,89:89)-SUMIF(88:88,C26,89:89)+100</f>
        <v>100</v>
      </c>
      <c r="G26" s="377"/>
      <c r="H26" s="378">
        <f>SUMIF(88:88,G26,89:89)-SUMIF(88:88,C26,89:89)+100</f>
        <v>100</v>
      </c>
      <c r="I26" s="377"/>
      <c r="J26" s="378">
        <f>SUMIF(88:88,I26,89:89)-SUMIF(88:88,C26,89:89)+100</f>
        <v>100</v>
      </c>
      <c r="K26" s="556"/>
      <c r="L26" s="1086"/>
      <c r="M26" s="1077"/>
      <c r="N26" s="1077"/>
      <c r="O26" s="1077"/>
      <c r="P26" s="3356"/>
      <c r="Q26" s="1737" t="str">
        <f t="shared" si="11"/>
        <v>平面位置/可视性</v>
      </c>
      <c r="R26" s="717" t="s">
        <v>17</v>
      </c>
      <c r="S26" s="718">
        <f>F26</f>
        <v>100</v>
      </c>
      <c r="T26" s="717" t="s">
        <v>17</v>
      </c>
      <c r="U26" s="718">
        <f>H26</f>
        <v>100</v>
      </c>
      <c r="V26" s="717" t="s">
        <v>17</v>
      </c>
      <c r="W26" s="718">
        <f>J26</f>
        <v>100</v>
      </c>
      <c r="X26" s="1740"/>
      <c r="Y26" s="3307"/>
      <c r="Z26" s="1741" t="str">
        <f>Q26</f>
        <v>平面位置/可视性</v>
      </c>
      <c r="AA26" s="1738">
        <f t="shared" si="3"/>
        <v>1</v>
      </c>
      <c r="AB26" s="1738">
        <f t="shared" si="4"/>
        <v>1</v>
      </c>
      <c r="AC26" s="1738">
        <f t="shared" si="5"/>
        <v>1</v>
      </c>
    </row>
    <row r="27" spans="1:29" s="72" customFormat="1" ht="15">
      <c r="A27" s="374"/>
      <c r="B27" s="394" t="s">
        <v>2529</v>
      </c>
      <c r="C27" s="2528"/>
      <c r="D27" s="405">
        <v>100</v>
      </c>
      <c r="E27" s="2528"/>
      <c r="F27" s="407">
        <f>SUMIF(90:90,E27,91:91)-SUMIF(90:90,C27,91:91)+100</f>
        <v>100</v>
      </c>
      <c r="G27" s="2528"/>
      <c r="H27" s="405">
        <f>SUMIF(90:90,G27,91:91)-SUMIF(90:90,C27,91:91)+100</f>
        <v>100</v>
      </c>
      <c r="I27" s="2528"/>
      <c r="J27" s="405">
        <f>SUMIF(90:90,I27,91:91)-SUMIF(90:90,C27,91:91)+100</f>
        <v>100</v>
      </c>
      <c r="K27" s="555"/>
      <c r="L27" s="1078"/>
      <c r="M27" s="1079"/>
      <c r="N27" s="1079"/>
      <c r="O27" s="1079"/>
      <c r="P27" s="3356"/>
      <c r="Q27" s="1723" t="str">
        <f t="shared" si="11"/>
        <v>人流量</v>
      </c>
      <c r="R27" s="713" t="s">
        <v>17</v>
      </c>
      <c r="S27" s="714">
        <f>F27</f>
        <v>100</v>
      </c>
      <c r="T27" s="713" t="s">
        <v>17</v>
      </c>
      <c r="U27" s="714">
        <f>H27</f>
        <v>100</v>
      </c>
      <c r="V27" s="713" t="s">
        <v>17</v>
      </c>
      <c r="W27" s="714">
        <f>J27</f>
        <v>100</v>
      </c>
      <c r="X27" s="715"/>
      <c r="Y27" s="3307"/>
      <c r="Z27" s="54" t="str">
        <f>Q27</f>
        <v>人流量</v>
      </c>
      <c r="AA27" s="1738">
        <f>D27/F27</f>
        <v>1</v>
      </c>
      <c r="AB27" s="1738">
        <f>D27/H27</f>
        <v>1</v>
      </c>
      <c r="AC27" s="1738">
        <f>D27/J27</f>
        <v>1</v>
      </c>
    </row>
    <row r="28" spans="1:29" ht="15">
      <c r="A28" s="371"/>
      <c r="B28" s="365" t="s">
        <v>2530</v>
      </c>
      <c r="C28" s="559"/>
      <c r="D28" s="378">
        <v>100</v>
      </c>
      <c r="E28" s="559"/>
      <c r="F28" s="404">
        <f>SUMIF(92:92,E28,93:93)-SUMIF(92:92,C28,93:93)+100</f>
        <v>100</v>
      </c>
      <c r="G28" s="559"/>
      <c r="H28" s="378">
        <f>SUMIF(92:92,G28,93:93)-SUMIF(92:92,C28,93:93)+100</f>
        <v>100</v>
      </c>
      <c r="I28" s="559"/>
      <c r="J28" s="378">
        <f>SUMIF(92:92,I28,93:93)-SUMIF(92:92,C28,93:93)+100</f>
        <v>100</v>
      </c>
      <c r="K28" s="556"/>
      <c r="L28" s="1086"/>
      <c r="M28" s="1077"/>
      <c r="N28" s="1077"/>
      <c r="O28" s="1077"/>
      <c r="P28" s="3356"/>
      <c r="Q28" s="1737" t="str">
        <f t="shared" si="11"/>
        <v>楼层</v>
      </c>
      <c r="R28" s="717" t="s">
        <v>17</v>
      </c>
      <c r="S28" s="718">
        <f t="shared" ref="S28:S46" si="12">F28</f>
        <v>100</v>
      </c>
      <c r="T28" s="717" t="s">
        <v>17</v>
      </c>
      <c r="U28" s="718">
        <f t="shared" ref="U28:U46" si="13">H28</f>
        <v>100</v>
      </c>
      <c r="V28" s="717" t="s">
        <v>17</v>
      </c>
      <c r="W28" s="718">
        <f t="shared" ref="W28:W46" si="14">J28</f>
        <v>100</v>
      </c>
      <c r="X28" s="1740"/>
      <c r="Y28" s="3307"/>
      <c r="Z28" s="1741" t="str">
        <f t="shared" ref="Z28:Z46" si="15">Q28</f>
        <v>楼层</v>
      </c>
      <c r="AA28" s="1738">
        <f t="shared" si="3"/>
        <v>1</v>
      </c>
      <c r="AB28" s="1738">
        <f t="shared" si="4"/>
        <v>1</v>
      </c>
      <c r="AC28" s="1738">
        <f t="shared" si="5"/>
        <v>1</v>
      </c>
    </row>
    <row r="29" spans="1:29" ht="15">
      <c r="A29" s="371"/>
      <c r="B29" s="1318">
        <v>111</v>
      </c>
      <c r="C29" s="377"/>
      <c r="D29" s="378">
        <v>100</v>
      </c>
      <c r="E29" s="377"/>
      <c r="F29" s="404">
        <f>SUMIF(94:94,E29,95:95)-SUMIF(94:94,C29,95:95)+100</f>
        <v>100</v>
      </c>
      <c r="G29" s="377"/>
      <c r="H29" s="378">
        <f>SUMIF(94:94,G29,95:95)-SUMIF(94:94,C29,95:95)+100</f>
        <v>100</v>
      </c>
      <c r="I29" s="377"/>
      <c r="J29" s="378">
        <f>SUMIF(94:94,I29,95:95)-SUMIF(94:94,C29,95:95)+100</f>
        <v>100</v>
      </c>
      <c r="K29" s="556"/>
      <c r="L29" s="1086"/>
      <c r="M29" s="1077"/>
      <c r="N29" s="1077"/>
      <c r="O29" s="1077"/>
      <c r="P29" s="3356"/>
      <c r="Q29" s="1737">
        <f t="shared" si="11"/>
        <v>111</v>
      </c>
      <c r="R29" s="717" t="s">
        <v>17</v>
      </c>
      <c r="S29" s="718">
        <f t="shared" si="12"/>
        <v>100</v>
      </c>
      <c r="T29" s="717" t="s">
        <v>17</v>
      </c>
      <c r="U29" s="718">
        <f t="shared" si="13"/>
        <v>100</v>
      </c>
      <c r="V29" s="717" t="s">
        <v>17</v>
      </c>
      <c r="W29" s="718">
        <f t="shared" si="14"/>
        <v>100</v>
      </c>
      <c r="X29" s="1740"/>
      <c r="Y29" s="3307"/>
      <c r="Z29" s="1741">
        <f t="shared" si="15"/>
        <v>111</v>
      </c>
      <c r="AA29" s="1738">
        <f t="shared" si="3"/>
        <v>1</v>
      </c>
      <c r="AB29" s="1738">
        <f t="shared" si="4"/>
        <v>1</v>
      </c>
      <c r="AC29" s="1738">
        <f t="shared" si="5"/>
        <v>1</v>
      </c>
    </row>
    <row r="30" spans="1:29" ht="15">
      <c r="A30" s="371"/>
      <c r="B30" s="1318">
        <v>111</v>
      </c>
      <c r="C30" s="377"/>
      <c r="D30" s="378">
        <v>100</v>
      </c>
      <c r="E30" s="377"/>
      <c r="F30" s="404">
        <f>SUMIF(96:96,E30,97:97)-SUMIF(96:96,C30,97:97)+100</f>
        <v>100</v>
      </c>
      <c r="G30" s="377"/>
      <c r="H30" s="378">
        <f>SUMIF(96:96,G30,97:97)-SUMIF(96:96,C30,97:97)+100</f>
        <v>100</v>
      </c>
      <c r="I30" s="377"/>
      <c r="J30" s="378">
        <f>SUMIF(96:96,I30,97:97)-SUMIF(96:96,C30,97:97)+100</f>
        <v>100</v>
      </c>
      <c r="K30" s="556"/>
      <c r="L30" s="1086"/>
      <c r="M30" s="1077"/>
      <c r="N30" s="1077"/>
      <c r="O30" s="1077"/>
      <c r="P30" s="3356"/>
      <c r="Q30" s="1737">
        <f t="shared" si="11"/>
        <v>111</v>
      </c>
      <c r="R30" s="717" t="s">
        <v>17</v>
      </c>
      <c r="S30" s="718">
        <f t="shared" si="12"/>
        <v>100</v>
      </c>
      <c r="T30" s="717" t="s">
        <v>17</v>
      </c>
      <c r="U30" s="718">
        <f t="shared" si="13"/>
        <v>100</v>
      </c>
      <c r="V30" s="717" t="s">
        <v>17</v>
      </c>
      <c r="W30" s="718">
        <f t="shared" si="14"/>
        <v>100</v>
      </c>
      <c r="X30" s="1740"/>
      <c r="Y30" s="3307"/>
      <c r="Z30" s="1741">
        <f t="shared" si="15"/>
        <v>111</v>
      </c>
      <c r="AA30" s="1738">
        <f t="shared" si="3"/>
        <v>1</v>
      </c>
      <c r="AB30" s="1738">
        <f t="shared" si="4"/>
        <v>1</v>
      </c>
      <c r="AC30" s="1738">
        <f t="shared" si="5"/>
        <v>1</v>
      </c>
    </row>
    <row r="31" spans="1:29" ht="15.75" thickBot="1">
      <c r="A31" s="379"/>
      <c r="B31" s="1318">
        <v>111</v>
      </c>
      <c r="C31" s="380"/>
      <c r="D31" s="381">
        <v>100</v>
      </c>
      <c r="E31" s="377"/>
      <c r="F31" s="382">
        <f>SUMIF(98:98,E31,99:99)-SUMIF(98:98,C31,99:99)+100</f>
        <v>100</v>
      </c>
      <c r="G31" s="377"/>
      <c r="H31" s="381">
        <f>SUMIF(98:98,G31,99:99)-SUMIF(98:98,C31,99:99)+100</f>
        <v>100</v>
      </c>
      <c r="I31" s="377"/>
      <c r="J31" s="381">
        <f>SUMIF(98:98,I31,99:99)-SUMIF(98:98,C31,99:99)+100</f>
        <v>100</v>
      </c>
      <c r="K31" s="556"/>
      <c r="L31" s="1086"/>
      <c r="M31" s="1077"/>
      <c r="N31" s="1077"/>
      <c r="O31" s="1077"/>
      <c r="P31" s="3356"/>
      <c r="Q31" s="1737">
        <f t="shared" si="11"/>
        <v>111</v>
      </c>
      <c r="R31" s="717" t="s">
        <v>17</v>
      </c>
      <c r="S31" s="718">
        <f t="shared" si="12"/>
        <v>100</v>
      </c>
      <c r="T31" s="717" t="s">
        <v>17</v>
      </c>
      <c r="U31" s="718">
        <f t="shared" si="13"/>
        <v>100</v>
      </c>
      <c r="V31" s="717" t="s">
        <v>17</v>
      </c>
      <c r="W31" s="718">
        <f t="shared" si="14"/>
        <v>100</v>
      </c>
      <c r="X31" s="1740"/>
      <c r="Y31" s="3307"/>
      <c r="Z31" s="1741">
        <f t="shared" si="15"/>
        <v>111</v>
      </c>
      <c r="AA31" s="1738">
        <f t="shared" si="3"/>
        <v>1</v>
      </c>
      <c r="AB31" s="1738">
        <f t="shared" si="4"/>
        <v>1</v>
      </c>
      <c r="AC31" s="1738">
        <f t="shared" si="5"/>
        <v>1</v>
      </c>
    </row>
    <row r="32" spans="1:29" ht="15">
      <c r="A32" s="383" t="s">
        <v>2434</v>
      </c>
      <c r="B32" s="70" t="s">
        <v>2531</v>
      </c>
      <c r="C32" s="2482"/>
      <c r="D32" s="410">
        <v>100</v>
      </c>
      <c r="E32" s="2482"/>
      <c r="F32" s="404">
        <f>SUMIF(100:100,E32,101:101)-SUMIF(100:100,C32,101:101)+100</f>
        <v>100</v>
      </c>
      <c r="G32" s="2482"/>
      <c r="H32" s="378">
        <f>SUMIF(100:100,G32,101:101)-SUMIF(100:100,C32,101:101)+100</f>
        <v>100</v>
      </c>
      <c r="I32" s="2482"/>
      <c r="J32" s="410">
        <f>SUMIF(100:100,I32,101:101)-SUMIF(100:100,C32,101:101)+100</f>
        <v>100</v>
      </c>
      <c r="K32" s="555"/>
      <c r="L32" s="1086"/>
      <c r="M32" s="1077"/>
      <c r="N32" s="1077"/>
      <c r="O32" s="1077"/>
      <c r="P32" s="3351" t="s">
        <v>2436</v>
      </c>
      <c r="Q32" s="1737" t="str">
        <f t="shared" si="11"/>
        <v>商业类型</v>
      </c>
      <c r="R32" s="717" t="s">
        <v>17</v>
      </c>
      <c r="S32" s="718">
        <f t="shared" si="12"/>
        <v>100</v>
      </c>
      <c r="T32" s="717" t="s">
        <v>17</v>
      </c>
      <c r="U32" s="718">
        <f t="shared" si="13"/>
        <v>100</v>
      </c>
      <c r="V32" s="717" t="s">
        <v>17</v>
      </c>
      <c r="W32" s="718">
        <f t="shared" si="14"/>
        <v>100</v>
      </c>
      <c r="X32" s="1740"/>
      <c r="Y32" s="3309" t="s">
        <v>2436</v>
      </c>
      <c r="Z32" s="1741" t="str">
        <f t="shared" si="15"/>
        <v>商业类型</v>
      </c>
      <c r="AA32" s="1738">
        <f t="shared" si="3"/>
        <v>1</v>
      </c>
      <c r="AB32" s="1738">
        <f t="shared" si="4"/>
        <v>1</v>
      </c>
      <c r="AC32" s="1738">
        <f t="shared" si="5"/>
        <v>1</v>
      </c>
    </row>
    <row r="33" spans="1:29" s="414" customFormat="1" ht="15">
      <c r="A33" s="411"/>
      <c r="B33" s="365" t="s">
        <v>2437</v>
      </c>
      <c r="C33" s="412"/>
      <c r="D33" s="79">
        <v>100</v>
      </c>
      <c r="E33" s="373"/>
      <c r="F33" s="368" t="e">
        <f>LOOKUP(E33,103:103,104:104)-LOOKUP(C33,103:103,104:104)+100</f>
        <v>#N/A</v>
      </c>
      <c r="G33" s="372"/>
      <c r="H33" s="79" t="e">
        <f>LOOKUP(G33,103:103,104:104)-LOOKUP(C33,103:103,104:104)+100</f>
        <v>#N/A</v>
      </c>
      <c r="I33" s="372"/>
      <c r="J33" s="79" t="e">
        <f>LOOKUP(I33,103:103,104:104)-LOOKUP(C33,103:103,104:104)+100</f>
        <v>#N/A</v>
      </c>
      <c r="K33" s="556"/>
      <c r="L33" s="1084"/>
      <c r="M33" s="1087"/>
      <c r="N33" s="1087"/>
      <c r="O33" s="1087"/>
      <c r="P33" s="3352"/>
      <c r="Q33" s="719" t="str">
        <f t="shared" si="11"/>
        <v>项目建筑规模</v>
      </c>
      <c r="R33" s="720" t="s">
        <v>17</v>
      </c>
      <c r="S33" s="721" t="e">
        <f t="shared" si="12"/>
        <v>#N/A</v>
      </c>
      <c r="T33" s="720" t="s">
        <v>17</v>
      </c>
      <c r="U33" s="721" t="e">
        <f t="shared" si="13"/>
        <v>#N/A</v>
      </c>
      <c r="V33" s="720" t="s">
        <v>17</v>
      </c>
      <c r="W33" s="721" t="e">
        <f t="shared" si="14"/>
        <v>#N/A</v>
      </c>
      <c r="X33" s="722"/>
      <c r="Y33" s="3309"/>
      <c r="Z33" s="723" t="str">
        <f t="shared" si="15"/>
        <v>项目建筑规模</v>
      </c>
      <c r="AA33" s="1738" t="e">
        <f t="shared" si="3"/>
        <v>#N/A</v>
      </c>
      <c r="AB33" s="1738" t="e">
        <f t="shared" si="4"/>
        <v>#N/A</v>
      </c>
      <c r="AC33" s="1738" t="e">
        <f t="shared" si="5"/>
        <v>#N/A</v>
      </c>
    </row>
    <row r="34" spans="1:29" ht="15">
      <c r="A34" s="415"/>
      <c r="B34" s="365" t="s">
        <v>2438</v>
      </c>
      <c r="C34" s="2483"/>
      <c r="D34" s="378">
        <v>100</v>
      </c>
      <c r="E34" s="2483"/>
      <c r="F34" s="404">
        <f>SUMIF(105:105,E34,106:106)-SUMIF(105:105,C34,106:106)+100</f>
        <v>100</v>
      </c>
      <c r="G34" s="2483"/>
      <c r="H34" s="378">
        <f>SUMIF(105:105,G34,106:106)-SUMIF(105:105,C34,106:106)+100</f>
        <v>100</v>
      </c>
      <c r="I34" s="2483"/>
      <c r="J34" s="378">
        <f>SUMIF(105:105,I34,106:106)-SUMIF(105:105,C34,106:106)+100</f>
        <v>100</v>
      </c>
      <c r="K34" s="555"/>
      <c r="L34" s="1086"/>
      <c r="M34" s="1077"/>
      <c r="N34" s="1077"/>
      <c r="O34" s="1077"/>
      <c r="P34" s="3352"/>
      <c r="Q34" s="1737" t="str">
        <f t="shared" si="11"/>
        <v>建筑结构</v>
      </c>
      <c r="R34" s="717" t="s">
        <v>17</v>
      </c>
      <c r="S34" s="718">
        <f t="shared" si="12"/>
        <v>100</v>
      </c>
      <c r="T34" s="717" t="s">
        <v>17</v>
      </c>
      <c r="U34" s="718">
        <f t="shared" si="13"/>
        <v>100</v>
      </c>
      <c r="V34" s="717" t="s">
        <v>17</v>
      </c>
      <c r="W34" s="718">
        <f t="shared" si="14"/>
        <v>100</v>
      </c>
      <c r="X34" s="1740"/>
      <c r="Y34" s="3309"/>
      <c r="Z34" s="1741" t="str">
        <f t="shared" si="15"/>
        <v>建筑结构</v>
      </c>
      <c r="AA34" s="1738">
        <f t="shared" si="3"/>
        <v>1</v>
      </c>
      <c r="AB34" s="1738">
        <f t="shared" si="4"/>
        <v>1</v>
      </c>
      <c r="AC34" s="1738">
        <f t="shared" si="5"/>
        <v>1</v>
      </c>
    </row>
    <row r="35" spans="1:29" ht="15">
      <c r="A35" s="415"/>
      <c r="B35" s="365" t="s">
        <v>2532</v>
      </c>
      <c r="C35" s="2478"/>
      <c r="D35" s="378">
        <v>100</v>
      </c>
      <c r="E35" s="2478"/>
      <c r="F35" s="404">
        <f>SUMIF(107:107,E35,108:108)-SUMIF(107:107,C35,108:108)+100</f>
        <v>100</v>
      </c>
      <c r="G35" s="2478"/>
      <c r="H35" s="378">
        <f>SUMIF(107:107,G35,108:108)-SUMIF(107:107,C35,108:108)+100</f>
        <v>100</v>
      </c>
      <c r="I35" s="2478"/>
      <c r="J35" s="378">
        <f>SUMIF(107:107,I35,108:108)-SUMIF(107:107,C35,108:108)+100</f>
        <v>100</v>
      </c>
      <c r="K35" s="555"/>
      <c r="L35" s="1086"/>
      <c r="M35" s="1077"/>
      <c r="N35" s="1077"/>
      <c r="O35" s="1077"/>
      <c r="P35" s="3352"/>
      <c r="Q35" s="1737" t="str">
        <f t="shared" si="11"/>
        <v>公共部分装修</v>
      </c>
      <c r="R35" s="717" t="s">
        <v>17</v>
      </c>
      <c r="S35" s="718">
        <f t="shared" si="12"/>
        <v>100</v>
      </c>
      <c r="T35" s="717" t="s">
        <v>17</v>
      </c>
      <c r="U35" s="718">
        <f t="shared" si="13"/>
        <v>100</v>
      </c>
      <c r="V35" s="717" t="s">
        <v>17</v>
      </c>
      <c r="W35" s="718">
        <f t="shared" si="14"/>
        <v>100</v>
      </c>
      <c r="X35" s="1740"/>
      <c r="Y35" s="3309"/>
      <c r="Z35" s="1741" t="str">
        <f t="shared" si="15"/>
        <v>公共部分装修</v>
      </c>
      <c r="AA35" s="1738">
        <f t="shared" si="3"/>
        <v>1</v>
      </c>
      <c r="AB35" s="1738">
        <f t="shared" si="4"/>
        <v>1</v>
      </c>
      <c r="AC35" s="1738">
        <f t="shared" si="5"/>
        <v>1</v>
      </c>
    </row>
    <row r="36" spans="1:29" ht="15">
      <c r="A36" s="415"/>
      <c r="B36" s="365" t="s">
        <v>2533</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86"/>
      <c r="M36" s="1077"/>
      <c r="N36" s="1077"/>
      <c r="O36" s="1077"/>
      <c r="P36" s="3352"/>
      <c r="Q36" s="1737" t="str">
        <f t="shared" si="11"/>
        <v>成新度</v>
      </c>
      <c r="R36" s="717" t="s">
        <v>17</v>
      </c>
      <c r="S36" s="718" t="e">
        <f t="shared" si="12"/>
        <v>#N/A</v>
      </c>
      <c r="T36" s="717" t="s">
        <v>17</v>
      </c>
      <c r="U36" s="718" t="e">
        <f t="shared" si="13"/>
        <v>#N/A</v>
      </c>
      <c r="V36" s="717" t="s">
        <v>17</v>
      </c>
      <c r="W36" s="718" t="e">
        <f t="shared" si="14"/>
        <v>#N/A</v>
      </c>
      <c r="X36" s="1740"/>
      <c r="Y36" s="3309"/>
      <c r="Z36" s="1741" t="str">
        <f t="shared" si="15"/>
        <v>成新度</v>
      </c>
      <c r="AA36" s="1738" t="e">
        <f t="shared" si="3"/>
        <v>#N/A</v>
      </c>
      <c r="AB36" s="1738" t="e">
        <f t="shared" si="4"/>
        <v>#N/A</v>
      </c>
      <c r="AC36" s="1738" t="e">
        <f t="shared" si="5"/>
        <v>#N/A</v>
      </c>
    </row>
    <row r="37" spans="1:29" s="72" customFormat="1" ht="15">
      <c r="A37" s="416"/>
      <c r="B37" s="365" t="s">
        <v>2534</v>
      </c>
      <c r="C37" s="2478"/>
      <c r="D37" s="79">
        <v>100</v>
      </c>
      <c r="E37" s="2478"/>
      <c r="F37" s="404">
        <f>SUMIF(112:112,E37,113:113)-SUMIF(112:112,C37,113:113)+100</f>
        <v>100</v>
      </c>
      <c r="G37" s="2478"/>
      <c r="H37" s="378">
        <f>SUMIF(112:112,G37,113:113)-SUMIF(112:112,C37,113:113)+100</f>
        <v>100</v>
      </c>
      <c r="I37" s="2478"/>
      <c r="J37" s="378">
        <f>SUMIF(112:112,I37,113:113)-SUMIF(112:112,C37,113:113)+100</f>
        <v>100</v>
      </c>
      <c r="K37" s="555"/>
      <c r="L37" s="1078"/>
      <c r="M37" s="1079"/>
      <c r="N37" s="1079"/>
      <c r="O37" s="1079"/>
      <c r="P37" s="3352"/>
      <c r="Q37" s="1723" t="str">
        <f t="shared" si="11"/>
        <v>市政基础设施</v>
      </c>
      <c r="R37" s="713" t="s">
        <v>17</v>
      </c>
      <c r="S37" s="714">
        <f t="shared" si="12"/>
        <v>100</v>
      </c>
      <c r="T37" s="713" t="s">
        <v>17</v>
      </c>
      <c r="U37" s="714">
        <f t="shared" si="13"/>
        <v>100</v>
      </c>
      <c r="V37" s="713" t="s">
        <v>17</v>
      </c>
      <c r="W37" s="714">
        <f t="shared" si="14"/>
        <v>100</v>
      </c>
      <c r="X37" s="715"/>
      <c r="Y37" s="3309"/>
      <c r="Z37" s="54" t="str">
        <f t="shared" si="15"/>
        <v>市政基础设施</v>
      </c>
      <c r="AA37" s="716">
        <f t="shared" si="3"/>
        <v>1</v>
      </c>
      <c r="AB37" s="716">
        <f t="shared" si="4"/>
        <v>1</v>
      </c>
      <c r="AC37" s="716">
        <f t="shared" si="5"/>
        <v>1</v>
      </c>
    </row>
    <row r="38" spans="1:29" ht="15">
      <c r="A38" s="415"/>
      <c r="B38" s="365" t="s">
        <v>2535</v>
      </c>
      <c r="C38" s="2478"/>
      <c r="D38" s="378">
        <v>100</v>
      </c>
      <c r="E38" s="2478"/>
      <c r="F38" s="404">
        <f>SUMIF(114:114,E38,115:115)-SUMIF(114:114,C38,115:115)+100</f>
        <v>100</v>
      </c>
      <c r="G38" s="2478"/>
      <c r="H38" s="378">
        <f>SUMIF(114:114,G38,115:115)-SUMIF(114:114,C38,115:115)+100</f>
        <v>100</v>
      </c>
      <c r="I38" s="2478"/>
      <c r="J38" s="378">
        <f>SUMIF(114:114,I38,115:115)-SUMIF(114:114,C38,115:115)+100</f>
        <v>100</v>
      </c>
      <c r="K38" s="555"/>
      <c r="L38" s="1086"/>
      <c r="M38" s="1077"/>
      <c r="N38" s="1077"/>
      <c r="O38" s="1077"/>
      <c r="P38" s="3352" t="s">
        <v>2436</v>
      </c>
      <c r="Q38" s="1737" t="str">
        <f t="shared" si="11"/>
        <v>业态</v>
      </c>
      <c r="R38" s="717" t="s">
        <v>17</v>
      </c>
      <c r="S38" s="718">
        <f t="shared" si="12"/>
        <v>100</v>
      </c>
      <c r="T38" s="717" t="s">
        <v>17</v>
      </c>
      <c r="U38" s="718">
        <f t="shared" si="13"/>
        <v>100</v>
      </c>
      <c r="V38" s="717" t="s">
        <v>17</v>
      </c>
      <c r="W38" s="718">
        <f t="shared" si="14"/>
        <v>100</v>
      </c>
      <c r="X38" s="1740"/>
      <c r="Y38" s="3309" t="s">
        <v>2436</v>
      </c>
      <c r="Z38" s="1741" t="str">
        <f t="shared" si="15"/>
        <v>业态</v>
      </c>
      <c r="AA38" s="1738">
        <f t="shared" si="3"/>
        <v>1</v>
      </c>
      <c r="AB38" s="1738">
        <f t="shared" si="4"/>
        <v>1</v>
      </c>
      <c r="AC38" s="1738">
        <f t="shared" si="5"/>
        <v>1</v>
      </c>
    </row>
    <row r="39" spans="1:29" ht="15">
      <c r="A39" s="415"/>
      <c r="B39" s="365" t="s">
        <v>2536</v>
      </c>
      <c r="C39" s="2478"/>
      <c r="D39" s="378">
        <v>100</v>
      </c>
      <c r="E39" s="2478"/>
      <c r="F39" s="404">
        <f>SUMIF(116:116,E39,117:117)-SUMIF(116:116,C39,117:117)+100</f>
        <v>100</v>
      </c>
      <c r="G39" s="2478"/>
      <c r="H39" s="378">
        <f>SUMIF(116:116,G39,117:117)-SUMIF(116:116,C39,117:117)+100</f>
        <v>100</v>
      </c>
      <c r="I39" s="2478"/>
      <c r="J39" s="378">
        <f>SUMIF(116:116,I39,117:117)-SUMIF(116:116,C39,117:117)+100</f>
        <v>100</v>
      </c>
      <c r="K39" s="555"/>
      <c r="L39" s="1086"/>
      <c r="M39" s="1077"/>
      <c r="N39" s="1077"/>
      <c r="O39" s="1077"/>
      <c r="P39" s="3352"/>
      <c r="Q39" s="1737" t="str">
        <f t="shared" si="11"/>
        <v>层高</v>
      </c>
      <c r="R39" s="717" t="s">
        <v>17</v>
      </c>
      <c r="S39" s="718">
        <f t="shared" si="12"/>
        <v>100</v>
      </c>
      <c r="T39" s="717" t="s">
        <v>17</v>
      </c>
      <c r="U39" s="718">
        <f t="shared" si="13"/>
        <v>100</v>
      </c>
      <c r="V39" s="717" t="s">
        <v>17</v>
      </c>
      <c r="W39" s="718">
        <f t="shared" si="14"/>
        <v>100</v>
      </c>
      <c r="X39" s="1740"/>
      <c r="Y39" s="3309"/>
      <c r="Z39" s="1741" t="str">
        <f t="shared" si="15"/>
        <v>层高</v>
      </c>
      <c r="AA39" s="1738">
        <f t="shared" si="3"/>
        <v>1</v>
      </c>
      <c r="AB39" s="1738">
        <f t="shared" si="4"/>
        <v>1</v>
      </c>
      <c r="AC39" s="1738">
        <f t="shared" si="5"/>
        <v>1</v>
      </c>
    </row>
    <row r="40" spans="1:29" ht="15">
      <c r="A40" s="415"/>
      <c r="B40" s="365" t="s">
        <v>2537</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86"/>
      <c r="M40" s="1077"/>
      <c r="N40" s="1077"/>
      <c r="O40" s="1077"/>
      <c r="P40" s="3352"/>
      <c r="Q40" s="1737" t="str">
        <f t="shared" si="11"/>
        <v>单套建筑面积</v>
      </c>
      <c r="R40" s="717" t="s">
        <v>17</v>
      </c>
      <c r="S40" s="718">
        <f t="shared" si="12"/>
        <v>100</v>
      </c>
      <c r="T40" s="717" t="s">
        <v>17</v>
      </c>
      <c r="U40" s="718">
        <f t="shared" si="13"/>
        <v>100</v>
      </c>
      <c r="V40" s="717" t="s">
        <v>17</v>
      </c>
      <c r="W40" s="718">
        <f t="shared" si="14"/>
        <v>100</v>
      </c>
      <c r="X40" s="1740"/>
      <c r="Y40" s="3309"/>
      <c r="Z40" s="1741" t="str">
        <f t="shared" si="15"/>
        <v>单套建筑面积</v>
      </c>
      <c r="AA40" s="1738">
        <f t="shared" si="3"/>
        <v>1</v>
      </c>
      <c r="AB40" s="1738">
        <f t="shared" si="4"/>
        <v>1</v>
      </c>
      <c r="AC40" s="1738">
        <f t="shared" si="5"/>
        <v>1</v>
      </c>
    </row>
    <row r="41" spans="1:29" s="414" customFormat="1" ht="15">
      <c r="A41" s="411"/>
      <c r="B41" s="1739" t="s">
        <v>2538</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84"/>
      <c r="M41" s="1087"/>
      <c r="N41" s="1087"/>
      <c r="O41" s="1087"/>
      <c r="P41" s="3352"/>
      <c r="Q41" s="719" t="str">
        <f t="shared" si="11"/>
        <v>进深比</v>
      </c>
      <c r="R41" s="720" t="s">
        <v>17</v>
      </c>
      <c r="S41" s="721">
        <f t="shared" si="12"/>
        <v>100</v>
      </c>
      <c r="T41" s="720" t="s">
        <v>17</v>
      </c>
      <c r="U41" s="721">
        <f t="shared" si="13"/>
        <v>100</v>
      </c>
      <c r="V41" s="720" t="s">
        <v>17</v>
      </c>
      <c r="W41" s="721">
        <f t="shared" si="14"/>
        <v>100</v>
      </c>
      <c r="X41" s="722"/>
      <c r="Y41" s="3309"/>
      <c r="Z41" s="723" t="str">
        <f t="shared" si="15"/>
        <v>进深比</v>
      </c>
      <c r="AA41" s="1738">
        <f t="shared" si="3"/>
        <v>1</v>
      </c>
      <c r="AB41" s="1738">
        <f t="shared" si="4"/>
        <v>1</v>
      </c>
      <c r="AC41" s="1738">
        <f t="shared" si="5"/>
        <v>1</v>
      </c>
    </row>
    <row r="42" spans="1:29" ht="15">
      <c r="A42" s="415"/>
      <c r="B42" s="365" t="s">
        <v>2539</v>
      </c>
      <c r="C42" s="2478"/>
      <c r="D42" s="378">
        <v>100</v>
      </c>
      <c r="E42" s="2478"/>
      <c r="F42" s="404">
        <f>SUMIF(122:122,E42,123:123)-SUMIF(122:122,C42,123:123)+100</f>
        <v>100</v>
      </c>
      <c r="G42" s="2478"/>
      <c r="H42" s="378">
        <f>SUMIF(122:122,G42,123:123)-SUMIF(122:122,C42,123:123)+100</f>
        <v>100</v>
      </c>
      <c r="I42" s="2478"/>
      <c r="J42" s="378">
        <f>SUMIF(122:122,I42,123:123)-SUMIF(122:122,C42,123:123)+100</f>
        <v>100</v>
      </c>
      <c r="K42" s="555"/>
      <c r="L42" s="1086"/>
      <c r="M42" s="1077"/>
      <c r="N42" s="1077"/>
      <c r="O42" s="1077"/>
      <c r="P42" s="3352"/>
      <c r="Q42" s="1737" t="str">
        <f t="shared" si="11"/>
        <v>内部装修</v>
      </c>
      <c r="R42" s="717" t="s">
        <v>17</v>
      </c>
      <c r="S42" s="718">
        <f t="shared" si="12"/>
        <v>100</v>
      </c>
      <c r="T42" s="717" t="s">
        <v>17</v>
      </c>
      <c r="U42" s="718">
        <f t="shared" si="13"/>
        <v>100</v>
      </c>
      <c r="V42" s="717" t="s">
        <v>17</v>
      </c>
      <c r="W42" s="718">
        <f t="shared" si="14"/>
        <v>100</v>
      </c>
      <c r="X42" s="1740"/>
      <c r="Y42" s="3309"/>
      <c r="Z42" s="1741" t="str">
        <f t="shared" si="15"/>
        <v>内部装修</v>
      </c>
      <c r="AA42" s="1738">
        <f t="shared" si="3"/>
        <v>1</v>
      </c>
      <c r="AB42" s="1738">
        <f t="shared" si="4"/>
        <v>1</v>
      </c>
      <c r="AC42" s="1738">
        <f t="shared" si="5"/>
        <v>1</v>
      </c>
    </row>
    <row r="43" spans="1:29" ht="15">
      <c r="A43" s="415"/>
      <c r="B43" s="365" t="s">
        <v>2447</v>
      </c>
      <c r="C43" s="2478"/>
      <c r="D43" s="378">
        <v>100</v>
      </c>
      <c r="E43" s="2478"/>
      <c r="F43" s="404">
        <f>SUMIF(124:124,E43,125:125)-SUMIF(124:124,C43,125:125)+100</f>
        <v>100</v>
      </c>
      <c r="G43" s="2478"/>
      <c r="H43" s="378">
        <f>SUMIF(124:124,G43,125:125)-SUMIF(124:124,C43,125:125)+100</f>
        <v>100</v>
      </c>
      <c r="I43" s="2478"/>
      <c r="J43" s="378">
        <f>SUMIF(124:124,I43,125:125)-SUMIF(124:124,C43,125:125)+100</f>
        <v>100</v>
      </c>
      <c r="K43" s="555"/>
      <c r="L43" s="1086"/>
      <c r="M43" s="1077"/>
      <c r="N43" s="1077"/>
      <c r="O43" s="1077"/>
      <c r="P43" s="3352"/>
      <c r="Q43" s="1737" t="str">
        <f t="shared" si="11"/>
        <v>内部装修维护情况</v>
      </c>
      <c r="R43" s="717" t="s">
        <v>17</v>
      </c>
      <c r="S43" s="718">
        <f t="shared" si="12"/>
        <v>100</v>
      </c>
      <c r="T43" s="717" t="s">
        <v>17</v>
      </c>
      <c r="U43" s="718">
        <f t="shared" si="13"/>
        <v>100</v>
      </c>
      <c r="V43" s="717" t="s">
        <v>17</v>
      </c>
      <c r="W43" s="718">
        <f t="shared" si="14"/>
        <v>100</v>
      </c>
      <c r="X43" s="1740"/>
      <c r="Y43" s="3309"/>
      <c r="Z43" s="1741" t="str">
        <f t="shared" si="15"/>
        <v>内部装修维护情况</v>
      </c>
      <c r="AA43" s="1738">
        <f t="shared" si="3"/>
        <v>1</v>
      </c>
      <c r="AB43" s="1738">
        <f t="shared" si="4"/>
        <v>1</v>
      </c>
      <c r="AC43" s="1738">
        <f t="shared" si="5"/>
        <v>1</v>
      </c>
    </row>
    <row r="44" spans="1:29" s="72" customFormat="1" ht="15">
      <c r="A44" s="416"/>
      <c r="B44" s="1318">
        <v>111</v>
      </c>
      <c r="C44" s="412"/>
      <c r="D44" s="79">
        <v>100</v>
      </c>
      <c r="E44" s="377"/>
      <c r="F44" s="368">
        <f>SUMIF(126:126,E44,127:127)-SUMIF(126:126,C44,127:127)+100</f>
        <v>100</v>
      </c>
      <c r="G44" s="377"/>
      <c r="H44" s="79">
        <f>SUMIF(126:126,G44,127:127)-SUMIF(126:126,C44,127:127)+100</f>
        <v>100</v>
      </c>
      <c r="I44" s="377"/>
      <c r="J44" s="79">
        <f>SUMIF(126:126,I44,127:127)-SUMIF(126:126,C44,127:127)+100</f>
        <v>100</v>
      </c>
      <c r="K44" s="556"/>
      <c r="L44" s="1078"/>
      <c r="M44" s="1079"/>
      <c r="N44" s="1079"/>
      <c r="O44" s="1079"/>
      <c r="P44" s="3352"/>
      <c r="Q44" s="1723">
        <f t="shared" si="11"/>
        <v>111</v>
      </c>
      <c r="R44" s="713" t="s">
        <v>17</v>
      </c>
      <c r="S44" s="714">
        <f t="shared" si="12"/>
        <v>100</v>
      </c>
      <c r="T44" s="713" t="s">
        <v>17</v>
      </c>
      <c r="U44" s="714">
        <f t="shared" si="13"/>
        <v>100</v>
      </c>
      <c r="V44" s="713" t="s">
        <v>17</v>
      </c>
      <c r="W44" s="714">
        <f t="shared" si="14"/>
        <v>100</v>
      </c>
      <c r="X44" s="715"/>
      <c r="Y44" s="3309"/>
      <c r="Z44" s="54">
        <f t="shared" si="15"/>
        <v>111</v>
      </c>
      <c r="AA44" s="716">
        <f t="shared" si="3"/>
        <v>1</v>
      </c>
      <c r="AB44" s="716">
        <f t="shared" si="4"/>
        <v>1</v>
      </c>
      <c r="AC44" s="716">
        <f t="shared" si="5"/>
        <v>1</v>
      </c>
    </row>
    <row r="45" spans="1:29" ht="15">
      <c r="A45" s="415"/>
      <c r="B45" s="1318">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86"/>
      <c r="M45" s="1077"/>
      <c r="N45" s="1077"/>
      <c r="O45" s="1077"/>
      <c r="P45" s="3352"/>
      <c r="Q45" s="1737">
        <f t="shared" si="11"/>
        <v>111</v>
      </c>
      <c r="R45" s="717" t="s">
        <v>17</v>
      </c>
      <c r="S45" s="718">
        <f t="shared" si="12"/>
        <v>100</v>
      </c>
      <c r="T45" s="717" t="s">
        <v>17</v>
      </c>
      <c r="U45" s="718">
        <f t="shared" si="13"/>
        <v>100</v>
      </c>
      <c r="V45" s="717" t="s">
        <v>17</v>
      </c>
      <c r="W45" s="718">
        <f t="shared" si="14"/>
        <v>100</v>
      </c>
      <c r="X45" s="1740"/>
      <c r="Y45" s="3309"/>
      <c r="Z45" s="1741">
        <f t="shared" si="15"/>
        <v>111</v>
      </c>
      <c r="AA45" s="1738">
        <f t="shared" si="3"/>
        <v>1</v>
      </c>
      <c r="AB45" s="1738">
        <f t="shared" si="4"/>
        <v>1</v>
      </c>
      <c r="AC45" s="1738">
        <f t="shared" si="5"/>
        <v>1</v>
      </c>
    </row>
    <row r="46" spans="1:29" ht="15.75" thickBot="1">
      <c r="A46" s="421"/>
      <c r="B46" s="2467">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86"/>
      <c r="M46" s="1077"/>
      <c r="N46" s="1077"/>
      <c r="O46" s="1077"/>
      <c r="P46" s="3353"/>
      <c r="Q46" s="1737">
        <f t="shared" si="11"/>
        <v>111</v>
      </c>
      <c r="R46" s="717" t="s">
        <v>17</v>
      </c>
      <c r="S46" s="718">
        <f t="shared" si="12"/>
        <v>100</v>
      </c>
      <c r="T46" s="717" t="s">
        <v>17</v>
      </c>
      <c r="U46" s="718">
        <f t="shared" si="13"/>
        <v>100</v>
      </c>
      <c r="V46" s="717" t="s">
        <v>17</v>
      </c>
      <c r="W46" s="718">
        <f t="shared" si="14"/>
        <v>100</v>
      </c>
      <c r="X46" s="1740"/>
      <c r="Y46" s="3354"/>
      <c r="Z46" s="1741">
        <f t="shared" si="15"/>
        <v>111</v>
      </c>
      <c r="AA46" s="1738">
        <f t="shared" si="3"/>
        <v>1</v>
      </c>
      <c r="AB46" s="1738">
        <f t="shared" si="4"/>
        <v>1</v>
      </c>
      <c r="AC46" s="1738">
        <f t="shared" si="5"/>
        <v>1</v>
      </c>
    </row>
    <row r="47" spans="1:29" ht="15">
      <c r="A47" s="422" t="s">
        <v>2448</v>
      </c>
      <c r="B47" s="423"/>
      <c r="C47" s="1339" t="s">
        <v>1</v>
      </c>
      <c r="D47" s="1340"/>
      <c r="E47" s="1341"/>
      <c r="F47" s="1342"/>
      <c r="G47" s="1343"/>
      <c r="H47" s="1344"/>
      <c r="I47" s="1341"/>
      <c r="J47" s="1344"/>
      <c r="K47" s="726"/>
      <c r="L47" s="1089"/>
      <c r="M47" s="1090"/>
      <c r="N47" s="1077"/>
      <c r="O47" s="1090"/>
      <c r="P47" s="3291" t="str">
        <f>A47</f>
        <v>成交单价（元/平方米）</v>
      </c>
      <c r="Q47" s="3291"/>
      <c r="R47" s="3304">
        <f>E47</f>
        <v>0</v>
      </c>
      <c r="S47" s="3304"/>
      <c r="T47" s="3304">
        <f>G47</f>
        <v>0</v>
      </c>
      <c r="U47" s="3304"/>
      <c r="V47" s="3304">
        <f>I47</f>
        <v>0</v>
      </c>
      <c r="W47" s="3304"/>
      <c r="X47" s="702"/>
      <c r="Y47" s="724"/>
      <c r="Z47" s="702"/>
      <c r="AA47" s="702"/>
      <c r="AB47" s="702"/>
      <c r="AC47" s="702"/>
    </row>
    <row r="48" spans="1:29" ht="15.75" thickBot="1">
      <c r="A48" s="429" t="s">
        <v>2540</v>
      </c>
      <c r="B48" s="430"/>
      <c r="C48" s="1345" t="e">
        <f>R49</f>
        <v>#DIV/0!</v>
      </c>
      <c r="D48" s="1346"/>
      <c r="E48" s="1347" t="e">
        <f>R48</f>
        <v>#DIV/0!</v>
      </c>
      <c r="F48" s="1347"/>
      <c r="G48" s="1345" t="e">
        <f>T48</f>
        <v>#DIV/0!</v>
      </c>
      <c r="H48" s="1346"/>
      <c r="I48" s="1347" t="e">
        <f>V48</f>
        <v>#DIV/0!</v>
      </c>
      <c r="J48" s="1346"/>
      <c r="K48" s="727"/>
      <c r="L48" s="1089"/>
      <c r="M48" s="1090"/>
      <c r="N48" s="1077"/>
      <c r="O48" s="1090"/>
      <c r="P48" s="3291" t="str">
        <f>A48</f>
        <v>比较价值（元/平方米）</v>
      </c>
      <c r="Q48" s="3291"/>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702"/>
      <c r="Y48" s="702"/>
      <c r="Z48" s="702"/>
      <c r="AA48" s="702"/>
      <c r="AB48" s="702"/>
      <c r="AC48" s="702"/>
    </row>
    <row r="49" spans="1:29" ht="15.75" thickBot="1">
      <c r="A49" s="435" t="s">
        <v>2541</v>
      </c>
      <c r="B49" s="436"/>
      <c r="C49" s="1349" t="e">
        <f>R49</f>
        <v>#DIV/0!</v>
      </c>
      <c r="D49" s="1349"/>
      <c r="E49" s="1349"/>
      <c r="F49" s="1349"/>
      <c r="G49" s="1349"/>
      <c r="H49" s="1349"/>
      <c r="I49" s="1349"/>
      <c r="J49" s="1349"/>
      <c r="K49" s="728"/>
      <c r="L49" s="1089"/>
      <c r="M49" s="1090"/>
      <c r="N49" s="1077"/>
      <c r="O49" s="1090"/>
      <c r="P49" s="3311" t="str">
        <f>A49</f>
        <v>估价对象XX用房的比较价值（楼面单价，元/平方米）</v>
      </c>
      <c r="Q49" s="3312"/>
      <c r="R49" s="3349" t="e">
        <f>IF(F1="售价",ROUND(AVERAGE(R48:V48),0),ROUND(AVERAGE(R48:V48),1))</f>
        <v>#DIV/0!</v>
      </c>
      <c r="S49" s="3349"/>
      <c r="T49" s="3349"/>
      <c r="U49" s="3349"/>
      <c r="V49" s="3349"/>
      <c r="W49" s="3349"/>
      <c r="X49" s="702"/>
      <c r="Y49" s="702"/>
      <c r="Z49" s="702"/>
      <c r="AA49" s="702"/>
      <c r="AB49" s="702"/>
      <c r="AC49" s="702"/>
    </row>
    <row r="50" spans="1:29">
      <c r="A50" s="1090"/>
      <c r="B50" s="1090"/>
      <c r="C50" s="1090"/>
      <c r="D50" s="1090"/>
      <c r="E50" s="1090"/>
      <c r="F50" s="1090"/>
      <c r="G50" s="1093"/>
      <c r="H50" s="1090"/>
      <c r="I50" s="1090"/>
      <c r="J50" s="1090"/>
      <c r="K50" s="1051"/>
      <c r="L50" s="1052"/>
      <c r="M50" s="1090"/>
      <c r="N50" s="1090"/>
      <c r="O50" s="1090"/>
      <c r="P50" s="618"/>
      <c r="Q50" s="702"/>
      <c r="R50" s="702"/>
      <c r="S50" s="702"/>
      <c r="T50" s="702"/>
      <c r="U50" s="702"/>
      <c r="V50" s="702"/>
      <c r="W50" s="702"/>
      <c r="X50" s="702"/>
      <c r="Y50" s="702"/>
      <c r="Z50" s="702"/>
      <c r="AA50" s="702"/>
      <c r="AB50" s="702"/>
      <c r="AC50" s="702"/>
    </row>
    <row r="51" spans="1:29">
      <c r="A51" s="1090"/>
      <c r="B51" s="1090"/>
      <c r="C51" s="1090"/>
      <c r="D51" s="1090"/>
      <c r="E51" s="1090"/>
      <c r="F51" s="1090"/>
      <c r="G51" s="1090"/>
      <c r="H51" s="1090"/>
      <c r="I51" s="1090"/>
      <c r="J51" s="1090"/>
      <c r="K51" s="1051"/>
      <c r="L51" s="1052"/>
      <c r="M51" s="1090"/>
      <c r="N51" s="1090"/>
      <c r="O51" s="1090"/>
      <c r="P51" s="618"/>
      <c r="Q51" s="702"/>
      <c r="R51" s="702"/>
      <c r="S51" s="702"/>
      <c r="T51" s="702"/>
      <c r="U51" s="702"/>
      <c r="V51" s="702"/>
      <c r="W51" s="702"/>
      <c r="X51" s="702"/>
      <c r="Y51" s="702"/>
      <c r="Z51" s="702"/>
      <c r="AA51" s="702"/>
      <c r="AB51" s="702"/>
      <c r="AC51" s="702"/>
    </row>
    <row r="52" spans="1:29" ht="13.5" customHeight="1">
      <c r="A52" s="1090"/>
      <c r="B52" s="1090"/>
      <c r="C52" s="440" t="s">
        <v>2542</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51"/>
      <c r="L52" s="1052"/>
      <c r="M52" s="1090"/>
      <c r="N52" s="1090"/>
      <c r="O52" s="1090"/>
      <c r="P52" s="618"/>
      <c r="Q52" s="702"/>
      <c r="R52" s="702"/>
      <c r="S52" s="702"/>
      <c r="T52" s="702"/>
      <c r="U52" s="702"/>
      <c r="V52" s="702"/>
      <c r="W52" s="702"/>
      <c r="X52" s="702"/>
      <c r="Y52" s="702"/>
      <c r="Z52" s="702"/>
      <c r="AA52" s="702"/>
      <c r="AB52" s="702"/>
      <c r="AC52" s="702"/>
    </row>
    <row r="53" spans="1:29" ht="13.5" customHeight="1">
      <c r="A53" s="1090"/>
      <c r="B53" s="1090"/>
      <c r="C53" s="440" t="s">
        <v>2543</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51"/>
      <c r="L53" s="1052"/>
      <c r="M53" s="1090"/>
      <c r="N53" s="1090"/>
      <c r="O53" s="1090"/>
      <c r="P53" s="618"/>
      <c r="Q53" s="702"/>
      <c r="R53" s="702"/>
      <c r="S53" s="702"/>
      <c r="T53" s="702"/>
      <c r="U53" s="702"/>
      <c r="V53" s="702"/>
      <c r="W53" s="702"/>
      <c r="X53" s="702"/>
      <c r="Y53" s="702"/>
      <c r="Z53" s="702"/>
      <c r="AA53" s="702"/>
      <c r="AB53" s="702"/>
      <c r="AC53" s="702"/>
    </row>
    <row r="54" spans="1:29" s="445" customFormat="1" ht="13.5" customHeight="1">
      <c r="A54" s="1091"/>
      <c r="B54" s="1091"/>
      <c r="C54" s="440" t="s">
        <v>2544</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94"/>
      <c r="L54" s="1095"/>
      <c r="M54" s="1091"/>
      <c r="N54" s="1091"/>
      <c r="O54" s="1091"/>
      <c r="P54" s="2529"/>
      <c r="Q54" s="703"/>
      <c r="R54" s="703"/>
      <c r="S54" s="703"/>
      <c r="T54" s="703"/>
      <c r="U54" s="703"/>
      <c r="V54" s="703"/>
      <c r="W54" s="703"/>
      <c r="X54" s="703"/>
      <c r="Y54" s="703"/>
      <c r="Z54" s="703"/>
      <c r="AA54" s="703"/>
      <c r="AB54" s="703"/>
      <c r="AC54" s="703"/>
    </row>
    <row r="55" spans="1:29" s="445" customFormat="1">
      <c r="A55" s="1091"/>
      <c r="B55" s="1092"/>
      <c r="C55" s="1096"/>
      <c r="D55" s="1091"/>
      <c r="E55" s="1091"/>
      <c r="F55" s="1091"/>
      <c r="G55" s="1091"/>
      <c r="H55" s="1091"/>
      <c r="I55" s="1091"/>
      <c r="J55" s="1091"/>
      <c r="K55" s="1094"/>
      <c r="L55" s="1095"/>
      <c r="M55" s="1091"/>
      <c r="N55" s="1091"/>
      <c r="O55" s="1091"/>
      <c r="P55" s="2529"/>
      <c r="Q55" s="703"/>
      <c r="R55" s="703"/>
      <c r="S55" s="703"/>
      <c r="T55" s="703"/>
      <c r="U55" s="703"/>
      <c r="V55" s="703"/>
      <c r="W55" s="703"/>
      <c r="X55" s="703"/>
      <c r="Y55" s="703"/>
      <c r="Z55" s="703"/>
      <c r="AA55" s="703"/>
      <c r="AB55" s="703"/>
      <c r="AC55" s="703"/>
    </row>
    <row r="56" spans="1:29">
      <c r="A56" s="1090"/>
      <c r="B56" s="1092"/>
      <c r="C56" s="1096"/>
      <c r="D56" s="1090"/>
      <c r="E56" s="1090"/>
      <c r="F56" s="1090"/>
      <c r="G56" s="1090"/>
      <c r="H56" s="1090"/>
      <c r="I56" s="1090"/>
      <c r="J56" s="1090"/>
      <c r="K56" s="1051"/>
      <c r="L56" s="1052"/>
      <c r="M56" s="1090"/>
      <c r="N56" s="1090"/>
      <c r="O56" s="1090"/>
      <c r="P56" s="618"/>
      <c r="Q56" s="702"/>
      <c r="R56" s="702"/>
      <c r="S56" s="702"/>
      <c r="T56" s="702"/>
      <c r="U56" s="702"/>
      <c r="V56" s="702"/>
      <c r="W56" s="702"/>
      <c r="X56" s="702"/>
      <c r="Y56" s="702"/>
      <c r="Z56" s="702"/>
      <c r="AA56" s="702"/>
      <c r="AB56" s="702"/>
      <c r="AC56" s="702"/>
    </row>
    <row r="57" spans="1:29" ht="21.75" thickBot="1">
      <c r="A57" s="706" t="s">
        <v>2545</v>
      </c>
      <c r="B57" s="702"/>
      <c r="C57" s="707"/>
      <c r="D57" s="707"/>
      <c r="E57" s="707"/>
      <c r="F57" s="708"/>
      <c r="G57" s="708"/>
      <c r="H57" s="707"/>
      <c r="I57" s="707"/>
      <c r="J57" s="707"/>
      <c r="K57" s="709"/>
      <c r="L57" s="1107"/>
      <c r="M57" s="1105"/>
      <c r="N57" s="1105"/>
      <c r="O57" s="1105"/>
      <c r="P57" s="2530"/>
      <c r="Q57" s="2531"/>
      <c r="R57" s="702"/>
      <c r="S57" s="702"/>
      <c r="T57" s="702"/>
      <c r="U57" s="702"/>
      <c r="V57" s="702"/>
      <c r="W57" s="702"/>
      <c r="X57" s="702"/>
      <c r="Y57" s="702"/>
      <c r="Z57" s="702"/>
      <c r="AA57" s="702"/>
      <c r="AB57" s="702"/>
      <c r="AC57" s="702"/>
    </row>
    <row r="58" spans="1:29" s="451" customFormat="1" ht="15">
      <c r="A58" s="448" t="s">
        <v>2419</v>
      </c>
      <c r="B58" s="449"/>
      <c r="C58" s="1504" t="str">
        <f>YEAR(C7)&amp;"-"&amp;MONTH(C7)</f>
        <v>2018-7</v>
      </c>
      <c r="D58" s="1505">
        <f>EDATE(C58,-1)</f>
        <v>43252</v>
      </c>
      <c r="E58" s="1505">
        <f t="shared" ref="E58:N58" si="16">EDATE(D58,-1)</f>
        <v>43221</v>
      </c>
      <c r="F58" s="1505">
        <f t="shared" si="16"/>
        <v>43191</v>
      </c>
      <c r="G58" s="1505">
        <f t="shared" si="16"/>
        <v>43160</v>
      </c>
      <c r="H58" s="1505">
        <f t="shared" si="16"/>
        <v>43132</v>
      </c>
      <c r="I58" s="1505">
        <f t="shared" si="16"/>
        <v>43101</v>
      </c>
      <c r="J58" s="1505">
        <f t="shared" si="16"/>
        <v>43070</v>
      </c>
      <c r="K58" s="1505">
        <f t="shared" si="16"/>
        <v>43040</v>
      </c>
      <c r="L58" s="1505">
        <f t="shared" si="16"/>
        <v>43009</v>
      </c>
      <c r="M58" s="1505">
        <f t="shared" si="16"/>
        <v>42979</v>
      </c>
      <c r="N58" s="1505">
        <f t="shared" si="16"/>
        <v>42948</v>
      </c>
      <c r="O58" s="1505">
        <f>EDATE(N58,-1)</f>
        <v>42917</v>
      </c>
      <c r="P58" s="1500"/>
    </row>
    <row r="59" spans="1:29" s="72" customFormat="1" ht="15">
      <c r="A59" s="452"/>
      <c r="B59" s="453"/>
      <c r="C59" s="1503">
        <v>100</v>
      </c>
      <c r="D59" s="455"/>
      <c r="E59" s="455"/>
      <c r="F59" s="455"/>
      <c r="G59" s="455"/>
      <c r="H59" s="455"/>
      <c r="I59" s="455"/>
      <c r="J59" s="455"/>
      <c r="K59" s="455"/>
      <c r="L59" s="455"/>
      <c r="M59" s="456"/>
      <c r="N59" s="455"/>
      <c r="O59" s="456"/>
      <c r="P59" s="2491"/>
    </row>
    <row r="60" spans="1:29" s="72" customFormat="1" ht="15.75" thickBot="1">
      <c r="A60" s="458" t="s">
        <v>2456</v>
      </c>
      <c r="B60" s="459"/>
      <c r="C60" s="460"/>
      <c r="D60" s="461"/>
      <c r="E60" s="461"/>
      <c r="F60" s="461"/>
      <c r="G60" s="461"/>
      <c r="H60" s="461"/>
      <c r="I60" s="461"/>
      <c r="J60" s="461"/>
      <c r="K60" s="461"/>
      <c r="L60" s="461"/>
      <c r="M60" s="462"/>
      <c r="N60" s="461"/>
      <c r="O60" s="462"/>
      <c r="P60" s="2491"/>
      <c r="Q60" s="447"/>
    </row>
    <row r="61" spans="1:29" s="72" customFormat="1" ht="15">
      <c r="A61" s="464" t="s">
        <v>2421</v>
      </c>
      <c r="B61" s="453"/>
      <c r="C61" s="465" t="s">
        <v>2523</v>
      </c>
      <c r="D61" s="466"/>
      <c r="E61" s="466"/>
      <c r="F61" s="466"/>
      <c r="G61" s="466"/>
      <c r="H61" s="466"/>
      <c r="I61" s="466"/>
      <c r="J61" s="466"/>
      <c r="K61" s="466"/>
      <c r="L61" s="467"/>
      <c r="M61" s="468"/>
      <c r="N61" s="1097"/>
      <c r="O61" s="1097"/>
      <c r="P61" s="2492"/>
      <c r="Q61" s="447"/>
    </row>
    <row r="62" spans="1:29" s="72" customFormat="1" ht="15.75" thickBot="1">
      <c r="A62" s="464"/>
      <c r="B62" s="453"/>
      <c r="C62" s="454">
        <v>100</v>
      </c>
      <c r="D62" s="455"/>
      <c r="E62" s="455"/>
      <c r="F62" s="455"/>
      <c r="G62" s="455"/>
      <c r="H62" s="455"/>
      <c r="I62" s="455"/>
      <c r="J62" s="455"/>
      <c r="K62" s="455"/>
      <c r="L62" s="455"/>
      <c r="M62" s="457"/>
      <c r="N62" s="1097"/>
      <c r="O62" s="1097"/>
      <c r="P62" s="2491"/>
      <c r="Q62" s="447"/>
    </row>
    <row r="63" spans="1:29">
      <c r="A63" s="470" t="s">
        <v>2459</v>
      </c>
      <c r="B63" s="471" t="s">
        <v>2425</v>
      </c>
      <c r="C63" s="472">
        <f>C9</f>
        <v>0</v>
      </c>
      <c r="D63" s="473"/>
      <c r="E63" s="473"/>
      <c r="F63" s="473"/>
      <c r="G63" s="473"/>
      <c r="H63" s="473"/>
      <c r="I63" s="473"/>
      <c r="J63" s="473"/>
      <c r="K63" s="474"/>
      <c r="L63" s="475"/>
      <c r="M63" s="476"/>
      <c r="N63" s="1098"/>
      <c r="O63" s="1098"/>
      <c r="P63" s="2493"/>
      <c r="Q63" s="447"/>
    </row>
    <row r="64" spans="1:29" ht="15.75" thickBot="1">
      <c r="A64" s="477"/>
      <c r="B64" s="478"/>
      <c r="C64" s="479">
        <v>100</v>
      </c>
      <c r="D64" s="479"/>
      <c r="E64" s="479"/>
      <c r="F64" s="479"/>
      <c r="G64" s="479"/>
      <c r="H64" s="479"/>
      <c r="I64" s="479"/>
      <c r="J64" s="479"/>
      <c r="K64" s="479"/>
      <c r="L64" s="479"/>
      <c r="M64" s="480"/>
      <c r="N64" s="1099"/>
      <c r="O64" s="1099"/>
      <c r="P64" s="2493"/>
      <c r="Q64" s="447"/>
    </row>
    <row r="65" spans="1:17" ht="27.75" thickTop="1">
      <c r="A65" s="477"/>
      <c r="B65" s="481" t="s">
        <v>2428</v>
      </c>
      <c r="C65" s="482" t="s">
        <v>2460</v>
      </c>
      <c r="D65" s="482" t="s">
        <v>2461</v>
      </c>
      <c r="E65" s="482" t="s">
        <v>2462</v>
      </c>
      <c r="F65" s="482" t="s">
        <v>2463</v>
      </c>
      <c r="G65" s="482" t="s">
        <v>2464</v>
      </c>
      <c r="H65" s="482" t="s">
        <v>2465</v>
      </c>
      <c r="I65" s="482" t="s">
        <v>2466</v>
      </c>
      <c r="J65" s="482"/>
      <c r="K65" s="483"/>
      <c r="L65" s="484"/>
      <c r="M65" s="485"/>
      <c r="N65" s="1098"/>
      <c r="O65" s="1098"/>
      <c r="P65" s="2493"/>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9"/>
      <c r="O66" s="1099"/>
      <c r="P66" s="2493"/>
      <c r="Q66" s="447"/>
    </row>
    <row r="67" spans="1:17" ht="15.75" thickTop="1">
      <c r="A67" s="477"/>
      <c r="B67" s="489" t="s">
        <v>2429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9"/>
      <c r="O67" s="1099"/>
      <c r="P67" s="2493"/>
      <c r="Q67" s="447"/>
    </row>
    <row r="68" spans="1:17" ht="15">
      <c r="A68" s="477"/>
      <c r="B68" s="491"/>
      <c r="C68" s="492"/>
      <c r="D68" s="492"/>
      <c r="E68" s="492"/>
      <c r="F68" s="492"/>
      <c r="G68" s="492"/>
      <c r="H68" s="492"/>
      <c r="I68" s="492"/>
      <c r="J68" s="492"/>
      <c r="K68" s="493"/>
      <c r="L68" s="494"/>
      <c r="M68" s="495"/>
      <c r="N68" s="1098"/>
      <c r="O68" s="1098"/>
      <c r="P68" s="2493"/>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9"/>
      <c r="O69" s="1099"/>
      <c r="P69" s="2493"/>
      <c r="Q69" s="447"/>
    </row>
    <row r="70" spans="1:17" s="414" customFormat="1" ht="15.75" thickTop="1">
      <c r="A70" s="496"/>
      <c r="B70" s="481">
        <f>B12</f>
        <v>111</v>
      </c>
      <c r="C70" s="497"/>
      <c r="D70" s="497"/>
      <c r="E70" s="497"/>
      <c r="F70" s="497"/>
      <c r="G70" s="497"/>
      <c r="H70" s="498"/>
      <c r="I70" s="498"/>
      <c r="J70" s="498"/>
      <c r="K70" s="498"/>
      <c r="L70" s="499"/>
      <c r="M70" s="500"/>
      <c r="N70" s="1100"/>
      <c r="O70" s="1100"/>
      <c r="P70" s="2494"/>
      <c r="Q70" s="502"/>
    </row>
    <row r="71" spans="1:17" s="414" customFormat="1" ht="15.75" thickBot="1">
      <c r="A71" s="496"/>
      <c r="B71" s="486"/>
      <c r="C71" s="503"/>
      <c r="D71" s="479"/>
      <c r="E71" s="479"/>
      <c r="F71" s="479"/>
      <c r="G71" s="479"/>
      <c r="H71" s="479"/>
      <c r="I71" s="479"/>
      <c r="J71" s="479"/>
      <c r="K71" s="479"/>
      <c r="L71" s="479"/>
      <c r="M71" s="480"/>
      <c r="N71" s="1099"/>
      <c r="O71" s="1099"/>
      <c r="P71" s="2494"/>
      <c r="Q71" s="502"/>
    </row>
    <row r="72" spans="1:17" s="414" customFormat="1" ht="15.75" thickTop="1">
      <c r="A72" s="496"/>
      <c r="B72" s="481">
        <f>B13</f>
        <v>111</v>
      </c>
      <c r="C72" s="497"/>
      <c r="D72" s="497"/>
      <c r="E72" s="497"/>
      <c r="F72" s="497"/>
      <c r="G72" s="497"/>
      <c r="H72" s="498"/>
      <c r="I72" s="498"/>
      <c r="J72" s="498"/>
      <c r="K72" s="498"/>
      <c r="L72" s="499"/>
      <c r="M72" s="500"/>
      <c r="N72" s="1100"/>
      <c r="O72" s="1100"/>
      <c r="P72" s="2495"/>
      <c r="Q72" s="504"/>
    </row>
    <row r="73" spans="1:17" s="414" customFormat="1" ht="15.75" thickBot="1">
      <c r="A73" s="496"/>
      <c r="B73" s="486"/>
      <c r="C73" s="503"/>
      <c r="D73" s="479"/>
      <c r="E73" s="479"/>
      <c r="F73" s="479"/>
      <c r="G73" s="503"/>
      <c r="H73" s="505"/>
      <c r="I73" s="505"/>
      <c r="J73" s="505"/>
      <c r="K73" s="505"/>
      <c r="L73" s="505"/>
      <c r="M73" s="506"/>
      <c r="N73" s="1100"/>
      <c r="O73" s="1100"/>
      <c r="P73" s="2494"/>
      <c r="Q73" s="502"/>
    </row>
    <row r="74" spans="1:17" s="414" customFormat="1" ht="15.75" thickTop="1">
      <c r="A74" s="496"/>
      <c r="B74" s="489">
        <f>B14</f>
        <v>111</v>
      </c>
      <c r="C74" s="497"/>
      <c r="D74" s="497"/>
      <c r="E74" s="497"/>
      <c r="F74" s="497"/>
      <c r="G74" s="466"/>
      <c r="H74" s="507"/>
      <c r="I74" s="507"/>
      <c r="J74" s="507"/>
      <c r="K74" s="507"/>
      <c r="L74" s="508"/>
      <c r="M74" s="509"/>
      <c r="N74" s="1100"/>
      <c r="O74" s="1100"/>
      <c r="P74" s="2496"/>
      <c r="Q74" s="502"/>
    </row>
    <row r="75" spans="1:17" s="414" customFormat="1" ht="15.75" thickBot="1">
      <c r="A75" s="511"/>
      <c r="B75" s="512"/>
      <c r="C75" s="513"/>
      <c r="D75" s="513"/>
      <c r="E75" s="513"/>
      <c r="F75" s="513"/>
      <c r="G75" s="513"/>
      <c r="H75" s="514"/>
      <c r="I75" s="514"/>
      <c r="J75" s="514"/>
      <c r="K75" s="514"/>
      <c r="L75" s="514"/>
      <c r="M75" s="515"/>
      <c r="N75" s="1100"/>
      <c r="O75" s="1100"/>
      <c r="P75" s="2494"/>
      <c r="Q75" s="502"/>
    </row>
    <row r="76" spans="1:17">
      <c r="A76" s="470" t="s">
        <v>2430</v>
      </c>
      <c r="B76" s="471" t="s">
        <v>2467</v>
      </c>
      <c r="C76" s="516" t="s">
        <v>2468</v>
      </c>
      <c r="D76" s="516" t="s">
        <v>2469</v>
      </c>
      <c r="E76" s="516" t="s">
        <v>2470</v>
      </c>
      <c r="F76" s="516" t="s">
        <v>2471</v>
      </c>
      <c r="G76" s="516" t="s">
        <v>2472</v>
      </c>
      <c r="H76" s="472"/>
      <c r="I76" s="472"/>
      <c r="J76" s="472"/>
      <c r="K76" s="517"/>
      <c r="L76" s="518"/>
      <c r="M76" s="519"/>
      <c r="N76" s="1098"/>
      <c r="O76" s="1098"/>
      <c r="P76" s="249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9"/>
      <c r="O77" s="1099"/>
      <c r="P77" s="2493"/>
      <c r="Q77" s="447"/>
    </row>
    <row r="78" spans="1:17" ht="15.75" thickTop="1">
      <c r="A78" s="477"/>
      <c r="B78" s="481" t="s">
        <v>2473</v>
      </c>
      <c r="C78" s="521" t="s">
        <v>2468</v>
      </c>
      <c r="D78" s="521" t="s">
        <v>2469</v>
      </c>
      <c r="E78" s="521" t="s">
        <v>2470</v>
      </c>
      <c r="F78" s="521" t="s">
        <v>2471</v>
      </c>
      <c r="G78" s="521" t="s">
        <v>2472</v>
      </c>
      <c r="H78" s="482"/>
      <c r="I78" s="482"/>
      <c r="J78" s="482"/>
      <c r="K78" s="483"/>
      <c r="L78" s="484"/>
      <c r="M78" s="485"/>
      <c r="N78" s="1098"/>
      <c r="O78" s="1098"/>
      <c r="P78" s="249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9"/>
      <c r="O79" s="1099"/>
      <c r="P79" s="2493"/>
      <c r="Q79" s="447"/>
    </row>
    <row r="80" spans="1:17" ht="15.75" thickTop="1">
      <c r="A80" s="477"/>
      <c r="B80" s="481" t="s">
        <v>2474</v>
      </c>
      <c r="C80" s="521" t="s">
        <v>2468</v>
      </c>
      <c r="D80" s="521" t="s">
        <v>2469</v>
      </c>
      <c r="E80" s="521" t="s">
        <v>2470</v>
      </c>
      <c r="F80" s="521" t="s">
        <v>2471</v>
      </c>
      <c r="G80" s="521" t="s">
        <v>2472</v>
      </c>
      <c r="H80" s="482"/>
      <c r="I80" s="482"/>
      <c r="J80" s="482"/>
      <c r="K80" s="483"/>
      <c r="L80" s="484"/>
      <c r="M80" s="485"/>
      <c r="N80" s="1098"/>
      <c r="O80" s="1098"/>
      <c r="P80" s="249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9"/>
      <c r="O81" s="1099"/>
      <c r="P81" s="2493"/>
      <c r="Q81" s="447"/>
    </row>
    <row r="82" spans="1:17" ht="15.75" thickTop="1">
      <c r="A82" s="477"/>
      <c r="B82" s="489" t="s">
        <v>2526</v>
      </c>
      <c r="C82" s="603" t="s">
        <v>2546</v>
      </c>
      <c r="D82" s="603" t="s">
        <v>2547</v>
      </c>
      <c r="E82" s="603" t="s">
        <v>2548</v>
      </c>
      <c r="F82" s="603" t="s">
        <v>2549</v>
      </c>
      <c r="G82" s="603" t="s">
        <v>2550</v>
      </c>
      <c r="H82" s="482"/>
      <c r="I82" s="482"/>
      <c r="J82" s="482"/>
      <c r="K82" s="482"/>
      <c r="L82" s="482"/>
      <c r="M82" s="1314"/>
      <c r="N82" s="1099"/>
      <c r="O82" s="1099"/>
      <c r="P82" s="2493"/>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9"/>
      <c r="O83" s="1099"/>
      <c r="P83" s="2493"/>
      <c r="Q83" s="447"/>
    </row>
    <row r="84" spans="1:17" ht="15.75" thickTop="1">
      <c r="A84" s="477"/>
      <c r="B84" s="481" t="s">
        <v>2480</v>
      </c>
      <c r="C84" s="521" t="s">
        <v>2468</v>
      </c>
      <c r="D84" s="521" t="s">
        <v>2469</v>
      </c>
      <c r="E84" s="521" t="s">
        <v>2470</v>
      </c>
      <c r="F84" s="521" t="s">
        <v>2471</v>
      </c>
      <c r="G84" s="521" t="s">
        <v>2472</v>
      </c>
      <c r="H84" s="482"/>
      <c r="I84" s="482"/>
      <c r="J84" s="482"/>
      <c r="K84" s="483"/>
      <c r="L84" s="484"/>
      <c r="M84" s="485"/>
      <c r="N84" s="1098"/>
      <c r="O84" s="1098"/>
      <c r="P84" s="249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9"/>
      <c r="O85" s="1099"/>
      <c r="P85" s="2493"/>
      <c r="Q85" s="447"/>
    </row>
    <row r="86" spans="1:17" s="72" customFormat="1" ht="15.75" thickTop="1">
      <c r="A86" s="522"/>
      <c r="B86" s="481" t="s">
        <v>2551</v>
      </c>
      <c r="C86" s="497"/>
      <c r="D86" s="497"/>
      <c r="E86" s="497"/>
      <c r="F86" s="497"/>
      <c r="G86" s="497"/>
      <c r="H86" s="497"/>
      <c r="I86" s="497"/>
      <c r="J86" s="497"/>
      <c r="K86" s="497"/>
      <c r="L86" s="523"/>
      <c r="M86" s="524"/>
      <c r="N86" s="1097"/>
      <c r="O86" s="1097"/>
      <c r="P86" s="2493"/>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9"/>
      <c r="O87" s="1099"/>
      <c r="P87" s="2493"/>
      <c r="Q87" s="447"/>
    </row>
    <row r="88" spans="1:17" s="72" customFormat="1" ht="15.75" thickTop="1">
      <c r="A88" s="522"/>
      <c r="B88" s="481" t="str">
        <f>B26</f>
        <v>平面位置/可视性</v>
      </c>
      <c r="C88" s="497"/>
      <c r="D88" s="497"/>
      <c r="E88" s="497"/>
      <c r="F88" s="2498"/>
      <c r="G88" s="497"/>
      <c r="H88" s="497"/>
      <c r="I88" s="497"/>
      <c r="J88" s="497"/>
      <c r="K88" s="497"/>
      <c r="L88" s="497"/>
      <c r="M88" s="524"/>
      <c r="N88" s="1097"/>
      <c r="O88" s="1097"/>
      <c r="P88" s="2493"/>
      <c r="Q88" s="447"/>
    </row>
    <row r="89" spans="1:17" s="72" customFormat="1" ht="15.75" thickBot="1">
      <c r="A89" s="522"/>
      <c r="B89" s="486"/>
      <c r="C89" s="503"/>
      <c r="D89" s="479"/>
      <c r="E89" s="479"/>
      <c r="F89" s="479"/>
      <c r="G89" s="479"/>
      <c r="H89" s="479"/>
      <c r="I89" s="479"/>
      <c r="J89" s="479"/>
      <c r="K89" s="479"/>
      <c r="L89" s="479"/>
      <c r="M89" s="479"/>
      <c r="N89" s="1099"/>
      <c r="O89" s="1099"/>
      <c r="P89" s="2493"/>
      <c r="Q89" s="447"/>
    </row>
    <row r="90" spans="1:17" s="414" customFormat="1" ht="15.75" thickTop="1">
      <c r="A90" s="496"/>
      <c r="B90" s="481" t="str">
        <f>B27</f>
        <v>人流量</v>
      </c>
      <c r="C90" s="497"/>
      <c r="D90" s="497"/>
      <c r="E90" s="497"/>
      <c r="F90" s="497"/>
      <c r="G90" s="497"/>
      <c r="H90" s="498"/>
      <c r="I90" s="498"/>
      <c r="J90" s="498"/>
      <c r="K90" s="498"/>
      <c r="L90" s="499"/>
      <c r="M90" s="500"/>
      <c r="N90" s="1100"/>
      <c r="O90" s="1100"/>
      <c r="P90" s="2494"/>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100"/>
      <c r="O91" s="1100"/>
      <c r="P91" s="2494"/>
      <c r="Q91" s="502"/>
    </row>
    <row r="92" spans="1:17" ht="15.75" thickTop="1">
      <c r="A92" s="477"/>
      <c r="B92" s="481" t="str">
        <f>B28</f>
        <v>楼层</v>
      </c>
      <c r="C92" s="497"/>
      <c r="D92" s="497"/>
      <c r="E92" s="497"/>
      <c r="F92" s="497"/>
      <c r="G92" s="497"/>
      <c r="H92" s="497"/>
      <c r="I92" s="497"/>
      <c r="J92" s="497"/>
      <c r="K92" s="497"/>
      <c r="L92" s="523"/>
      <c r="M92" s="524"/>
      <c r="N92" s="1098"/>
      <c r="O92" s="1098"/>
      <c r="P92" s="2493"/>
      <c r="Q92" s="447"/>
    </row>
    <row r="93" spans="1:17" ht="15.75" thickBot="1">
      <c r="A93" s="477"/>
      <c r="B93" s="486"/>
      <c r="C93" s="479"/>
      <c r="D93" s="479"/>
      <c r="E93" s="479"/>
      <c r="F93" s="479"/>
      <c r="G93" s="479"/>
      <c r="H93" s="479"/>
      <c r="I93" s="479"/>
      <c r="J93" s="479"/>
      <c r="K93" s="479"/>
      <c r="L93" s="479"/>
      <c r="M93" s="480"/>
      <c r="N93" s="1099"/>
      <c r="O93" s="1099"/>
      <c r="P93" s="2493"/>
      <c r="Q93" s="447"/>
    </row>
    <row r="94" spans="1:17" ht="15.75" thickTop="1">
      <c r="A94" s="477"/>
      <c r="B94" s="481">
        <f>B29</f>
        <v>111</v>
      </c>
      <c r="C94" s="497"/>
      <c r="D94" s="497"/>
      <c r="E94" s="497"/>
      <c r="F94" s="497"/>
      <c r="G94" s="526"/>
      <c r="H94" s="526"/>
      <c r="I94" s="526"/>
      <c r="J94" s="526"/>
      <c r="K94" s="527"/>
      <c r="L94" s="528"/>
      <c r="M94" s="529"/>
      <c r="N94" s="1098"/>
      <c r="O94" s="1098"/>
      <c r="P94" s="2493"/>
      <c r="Q94" s="447"/>
    </row>
    <row r="95" spans="1:17" ht="15.75" thickBot="1">
      <c r="A95" s="477"/>
      <c r="B95" s="486"/>
      <c r="C95" s="503"/>
      <c r="D95" s="479"/>
      <c r="E95" s="479"/>
      <c r="F95" s="479"/>
      <c r="G95" s="479"/>
      <c r="H95" s="479"/>
      <c r="I95" s="479"/>
      <c r="J95" s="479"/>
      <c r="K95" s="479"/>
      <c r="L95" s="479"/>
      <c r="M95" s="480"/>
      <c r="N95" s="1099"/>
      <c r="O95" s="1099"/>
      <c r="P95" s="2493"/>
      <c r="Q95" s="447"/>
    </row>
    <row r="96" spans="1:17" ht="15.75" thickTop="1">
      <c r="A96" s="477"/>
      <c r="B96" s="481">
        <f>B30</f>
        <v>111</v>
      </c>
      <c r="C96" s="497"/>
      <c r="D96" s="497"/>
      <c r="E96" s="497"/>
      <c r="F96" s="497"/>
      <c r="G96" s="526"/>
      <c r="H96" s="526"/>
      <c r="I96" s="526"/>
      <c r="J96" s="526"/>
      <c r="K96" s="527"/>
      <c r="L96" s="528"/>
      <c r="M96" s="529"/>
      <c r="N96" s="1098"/>
      <c r="O96" s="1098"/>
      <c r="P96" s="2493"/>
      <c r="Q96" s="447"/>
    </row>
    <row r="97" spans="1:17" ht="15.75" thickBot="1">
      <c r="A97" s="477"/>
      <c r="B97" s="486"/>
      <c r="C97" s="503"/>
      <c r="D97" s="479"/>
      <c r="E97" s="479"/>
      <c r="F97" s="479"/>
      <c r="G97" s="479"/>
      <c r="H97" s="479"/>
      <c r="I97" s="479"/>
      <c r="J97" s="479"/>
      <c r="K97" s="479"/>
      <c r="L97" s="479"/>
      <c r="M97" s="480"/>
      <c r="N97" s="1099"/>
      <c r="O97" s="1099"/>
      <c r="P97" s="2493"/>
      <c r="Q97" s="447"/>
    </row>
    <row r="98" spans="1:17" ht="15.75" thickTop="1">
      <c r="A98" s="477"/>
      <c r="B98" s="489">
        <f>B31</f>
        <v>111</v>
      </c>
      <c r="C98" s="497"/>
      <c r="D98" s="497"/>
      <c r="E98" s="497"/>
      <c r="F98" s="497"/>
      <c r="G98" s="530"/>
      <c r="H98" s="530"/>
      <c r="I98" s="530"/>
      <c r="J98" s="530"/>
      <c r="K98" s="531"/>
      <c r="L98" s="532"/>
      <c r="M98" s="533"/>
      <c r="N98" s="1098"/>
      <c r="O98" s="1098"/>
      <c r="P98" s="2493"/>
      <c r="Q98" s="447"/>
    </row>
    <row r="99" spans="1:17" ht="15.75" thickBot="1">
      <c r="A99" s="2499"/>
      <c r="B99" s="512"/>
      <c r="C99" s="513"/>
      <c r="D99" s="513"/>
      <c r="E99" s="513"/>
      <c r="F99" s="513"/>
      <c r="G99" s="534"/>
      <c r="H99" s="534"/>
      <c r="I99" s="534"/>
      <c r="J99" s="534"/>
      <c r="K99" s="534"/>
      <c r="L99" s="534"/>
      <c r="M99" s="535"/>
      <c r="N99" s="1099"/>
      <c r="O99" s="1099"/>
      <c r="P99" s="2493"/>
      <c r="Q99" s="447"/>
    </row>
    <row r="100" spans="1:17">
      <c r="A100" s="470" t="s">
        <v>2434</v>
      </c>
      <c r="B100" s="471" t="s">
        <v>2552</v>
      </c>
      <c r="C100" s="473"/>
      <c r="D100" s="473"/>
      <c r="E100" s="473"/>
      <c r="F100" s="473"/>
      <c r="G100" s="473"/>
      <c r="H100" s="473"/>
      <c r="I100" s="473"/>
      <c r="J100" s="473"/>
      <c r="K100" s="474"/>
      <c r="L100" s="475"/>
      <c r="M100" s="476"/>
      <c r="N100" s="1098"/>
      <c r="O100" s="1098"/>
      <c r="P100" s="2493"/>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9"/>
      <c r="O101" s="1099"/>
      <c r="P101" s="2493"/>
      <c r="Q101" s="447"/>
    </row>
    <row r="102" spans="1:17" ht="15.75" thickTop="1">
      <c r="A102" s="477"/>
      <c r="B102" s="481" t="s">
        <v>2484</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7"/>
      <c r="O102" s="1097"/>
      <c r="P102" s="2493"/>
      <c r="Q102" s="447"/>
    </row>
    <row r="103" spans="1:17" s="414" customFormat="1">
      <c r="A103" s="536"/>
      <c r="B103" s="537"/>
      <c r="C103" s="538"/>
      <c r="D103" s="538"/>
      <c r="E103" s="538"/>
      <c r="F103" s="538"/>
      <c r="G103" s="538"/>
      <c r="H103" s="538"/>
      <c r="I103" s="538"/>
      <c r="J103" s="539"/>
      <c r="K103" s="539"/>
      <c r="L103" s="540"/>
      <c r="M103" s="541"/>
      <c r="N103" s="1100"/>
      <c r="O103" s="1100"/>
      <c r="P103" s="2494"/>
      <c r="Q103" s="502"/>
    </row>
    <row r="104" spans="1:17" s="414" customFormat="1" ht="15.75" thickBot="1">
      <c r="A104" s="496"/>
      <c r="B104" s="486"/>
      <c r="C104" s="503"/>
      <c r="D104" s="479"/>
      <c r="E104" s="479"/>
      <c r="F104" s="479"/>
      <c r="G104" s="479"/>
      <c r="H104" s="479"/>
      <c r="I104" s="479"/>
      <c r="J104" s="479"/>
      <c r="K104" s="479"/>
      <c r="L104" s="479"/>
      <c r="M104" s="480"/>
      <c r="N104" s="1099"/>
      <c r="O104" s="1099"/>
      <c r="P104" s="2494"/>
      <c r="Q104" s="502"/>
    </row>
    <row r="105" spans="1:17" ht="15" thickTop="1">
      <c r="A105" s="542"/>
      <c r="B105" s="481" t="s">
        <v>2485</v>
      </c>
      <c r="C105" s="497"/>
      <c r="D105" s="497"/>
      <c r="E105" s="526"/>
      <c r="F105" s="526"/>
      <c r="G105" s="526"/>
      <c r="H105" s="526"/>
      <c r="I105" s="526"/>
      <c r="J105" s="526"/>
      <c r="K105" s="527"/>
      <c r="L105" s="528"/>
      <c r="M105" s="529"/>
      <c r="N105" s="1098"/>
      <c r="O105" s="1098"/>
      <c r="P105" s="2493"/>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9"/>
      <c r="O106" s="1099"/>
      <c r="P106" s="2493"/>
      <c r="Q106" s="447"/>
    </row>
    <row r="107" spans="1:17" ht="15" thickTop="1">
      <c r="A107" s="542"/>
      <c r="B107" s="481" t="s">
        <v>2487</v>
      </c>
      <c r="C107" s="497"/>
      <c r="D107" s="497"/>
      <c r="E107" s="497"/>
      <c r="F107" s="526"/>
      <c r="G107" s="526"/>
      <c r="H107" s="526"/>
      <c r="I107" s="526"/>
      <c r="J107" s="526"/>
      <c r="K107" s="527"/>
      <c r="L107" s="528"/>
      <c r="M107" s="529"/>
      <c r="N107" s="1098"/>
      <c r="O107" s="1098"/>
      <c r="P107" s="2493"/>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9"/>
      <c r="O108" s="1099"/>
      <c r="P108" s="2493"/>
      <c r="Q108" s="447"/>
    </row>
    <row r="109" spans="1:17" ht="15" thickTop="1">
      <c r="A109" s="542"/>
      <c r="B109" s="481" t="s">
        <v>1962</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8"/>
      <c r="O109" s="1098"/>
      <c r="P109" s="2493"/>
      <c r="Q109" s="447"/>
    </row>
    <row r="110" spans="1:17">
      <c r="A110" s="542"/>
      <c r="B110" s="489"/>
      <c r="C110" s="546">
        <v>0.5</v>
      </c>
      <c r="D110" s="546">
        <v>0.6</v>
      </c>
      <c r="E110" s="546">
        <v>0.7</v>
      </c>
      <c r="F110" s="546">
        <v>0.8</v>
      </c>
      <c r="G110" s="546">
        <v>0.9</v>
      </c>
      <c r="H110" s="546">
        <v>1.0001</v>
      </c>
      <c r="I110" s="566"/>
      <c r="J110" s="566"/>
      <c r="K110" s="567"/>
      <c r="L110" s="568"/>
      <c r="M110" s="569"/>
      <c r="N110" s="1098"/>
      <c r="O110" s="1098"/>
      <c r="P110" s="2493"/>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9"/>
      <c r="O111" s="1099"/>
      <c r="P111" s="2493"/>
      <c r="Q111" s="447"/>
    </row>
    <row r="112" spans="1:17" s="414" customFormat="1" ht="15" thickTop="1">
      <c r="A112" s="536"/>
      <c r="B112" s="481" t="s">
        <v>2489</v>
      </c>
      <c r="C112" s="497"/>
      <c r="D112" s="497"/>
      <c r="E112" s="497"/>
      <c r="F112" s="497"/>
      <c r="G112" s="497"/>
      <c r="H112" s="526"/>
      <c r="I112" s="526"/>
      <c r="J112" s="526"/>
      <c r="K112" s="527"/>
      <c r="L112" s="528"/>
      <c r="M112" s="529"/>
      <c r="N112" s="1100"/>
      <c r="O112" s="1100"/>
      <c r="P112" s="2494"/>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100"/>
      <c r="O113" s="1100"/>
      <c r="P113" s="2494"/>
      <c r="Q113" s="502"/>
    </row>
    <row r="114" spans="1:17" ht="15" thickTop="1">
      <c r="A114" s="542"/>
      <c r="B114" s="481" t="s">
        <v>2553</v>
      </c>
      <c r="C114" s="497"/>
      <c r="D114" s="497"/>
      <c r="E114" s="526"/>
      <c r="F114" s="526"/>
      <c r="G114" s="526"/>
      <c r="H114" s="526"/>
      <c r="I114" s="526"/>
      <c r="J114" s="526"/>
      <c r="K114" s="527"/>
      <c r="L114" s="528"/>
      <c r="M114" s="529"/>
      <c r="N114" s="1098"/>
      <c r="O114" s="1098"/>
      <c r="P114" s="2493"/>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9"/>
      <c r="O115" s="1099"/>
      <c r="P115" s="2493"/>
      <c r="Q115" s="447"/>
    </row>
    <row r="116" spans="1:17" ht="15" thickTop="1">
      <c r="A116" s="542"/>
      <c r="B116" s="481" t="s">
        <v>2554</v>
      </c>
      <c r="C116" s="497"/>
      <c r="D116" s="497"/>
      <c r="E116" s="497"/>
      <c r="F116" s="497"/>
      <c r="G116" s="497"/>
      <c r="H116" s="526"/>
      <c r="I116" s="526"/>
      <c r="J116" s="526"/>
      <c r="K116" s="527"/>
      <c r="L116" s="528"/>
      <c r="M116" s="529"/>
      <c r="N116" s="1098"/>
      <c r="O116" s="1098"/>
      <c r="P116" s="249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9"/>
      <c r="O117" s="1099"/>
      <c r="P117" s="2493"/>
      <c r="Q117" s="447"/>
    </row>
    <row r="118" spans="1:17" ht="15" thickTop="1">
      <c r="A118" s="542"/>
      <c r="B118" s="481" t="s">
        <v>2555</v>
      </c>
      <c r="C118" s="570"/>
      <c r="D118" s="570"/>
      <c r="E118" s="570"/>
      <c r="F118" s="570"/>
      <c r="G118" s="570"/>
      <c r="H118" s="498"/>
      <c r="I118" s="498"/>
      <c r="J118" s="498"/>
      <c r="K118" s="498"/>
      <c r="L118" s="499"/>
      <c r="M118" s="500"/>
      <c r="N118" s="1098"/>
      <c r="O118" s="1098"/>
      <c r="P118" s="2493"/>
      <c r="Q118" s="447"/>
    </row>
    <row r="119" spans="1:17" ht="15.75" thickBot="1">
      <c r="A119" s="477"/>
      <c r="B119" s="486"/>
      <c r="C119" s="503"/>
      <c r="D119" s="479"/>
      <c r="E119" s="479"/>
      <c r="F119" s="479"/>
      <c r="G119" s="479"/>
      <c r="H119" s="479"/>
      <c r="I119" s="479"/>
      <c r="J119" s="479"/>
      <c r="K119" s="479"/>
      <c r="L119" s="479"/>
      <c r="M119" s="480"/>
      <c r="N119" s="1099"/>
      <c r="O119" s="1099"/>
      <c r="P119" s="2493"/>
      <c r="Q119" s="447"/>
    </row>
    <row r="120" spans="1:17" s="414" customFormat="1" ht="15" thickTop="1">
      <c r="A120" s="536"/>
      <c r="B120" s="481" t="s">
        <v>2556</v>
      </c>
      <c r="C120" s="526"/>
      <c r="D120" s="526"/>
      <c r="E120" s="526"/>
      <c r="F120" s="526"/>
      <c r="G120" s="498"/>
      <c r="H120" s="498"/>
      <c r="I120" s="498"/>
      <c r="J120" s="498"/>
      <c r="K120" s="498"/>
      <c r="L120" s="499"/>
      <c r="M120" s="500"/>
      <c r="N120" s="1100"/>
      <c r="O120" s="1100"/>
      <c r="P120" s="2494"/>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100"/>
      <c r="O121" s="1100"/>
      <c r="P121" s="2494"/>
      <c r="Q121" s="502"/>
    </row>
    <row r="122" spans="1:17" ht="15" thickTop="1">
      <c r="A122" s="542"/>
      <c r="B122" s="481" t="s">
        <v>2491</v>
      </c>
      <c r="C122" s="497"/>
      <c r="D122" s="497"/>
      <c r="E122" s="497"/>
      <c r="F122" s="526"/>
      <c r="G122" s="526"/>
      <c r="H122" s="526"/>
      <c r="I122" s="526"/>
      <c r="J122" s="526"/>
      <c r="K122" s="527"/>
      <c r="L122" s="528"/>
      <c r="M122" s="529"/>
      <c r="N122" s="1098"/>
      <c r="O122" s="1098"/>
      <c r="P122" s="2493"/>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9"/>
      <c r="O123" s="1099"/>
      <c r="P123" s="2493"/>
      <c r="Q123" s="447"/>
    </row>
    <row r="124" spans="1:17" ht="15" thickTop="1">
      <c r="A124" s="542"/>
      <c r="B124" s="481" t="s">
        <v>2492</v>
      </c>
      <c r="C124" s="521" t="s">
        <v>2468</v>
      </c>
      <c r="D124" s="521" t="s">
        <v>2469</v>
      </c>
      <c r="E124" s="521" t="s">
        <v>2470</v>
      </c>
      <c r="F124" s="521" t="s">
        <v>2471</v>
      </c>
      <c r="G124" s="521" t="s">
        <v>2472</v>
      </c>
      <c r="H124" s="482"/>
      <c r="I124" s="482"/>
      <c r="J124" s="482"/>
      <c r="K124" s="483"/>
      <c r="L124" s="484"/>
      <c r="M124" s="485"/>
      <c r="N124" s="1098"/>
      <c r="O124" s="1098"/>
      <c r="P124" s="249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9"/>
      <c r="O125" s="1099"/>
      <c r="P125" s="2493"/>
      <c r="Q125" s="447"/>
    </row>
    <row r="126" spans="1:17" s="414" customFormat="1" ht="15" thickTop="1">
      <c r="A126" s="536"/>
      <c r="B126" s="481">
        <f>B44</f>
        <v>111</v>
      </c>
      <c r="C126" s="497"/>
      <c r="D126" s="497"/>
      <c r="E126" s="497"/>
      <c r="F126" s="497"/>
      <c r="G126" s="497"/>
      <c r="H126" s="498"/>
      <c r="I126" s="498"/>
      <c r="J126" s="498"/>
      <c r="K126" s="498"/>
      <c r="L126" s="499"/>
      <c r="M126" s="500"/>
      <c r="N126" s="1100"/>
      <c r="O126" s="1100"/>
      <c r="P126" s="2494"/>
      <c r="Q126" s="502"/>
    </row>
    <row r="127" spans="1:17" s="414" customFormat="1" ht="15.75" thickBot="1">
      <c r="A127" s="496"/>
      <c r="B127" s="486"/>
      <c r="C127" s="503"/>
      <c r="D127" s="479"/>
      <c r="E127" s="479"/>
      <c r="F127" s="479"/>
      <c r="G127" s="503"/>
      <c r="H127" s="505"/>
      <c r="I127" s="505"/>
      <c r="J127" s="505"/>
      <c r="K127" s="505"/>
      <c r="L127" s="505"/>
      <c r="M127" s="506"/>
      <c r="N127" s="1100"/>
      <c r="O127" s="1100"/>
      <c r="P127" s="2494"/>
      <c r="Q127" s="502"/>
    </row>
    <row r="128" spans="1:17" ht="15" thickTop="1">
      <c r="A128" s="542"/>
      <c r="B128" s="481">
        <f>B45</f>
        <v>111</v>
      </c>
      <c r="C128" s="497"/>
      <c r="D128" s="497"/>
      <c r="E128" s="497"/>
      <c r="F128" s="497"/>
      <c r="G128" s="526"/>
      <c r="H128" s="526"/>
      <c r="I128" s="526"/>
      <c r="J128" s="526"/>
      <c r="K128" s="527"/>
      <c r="L128" s="528"/>
      <c r="M128" s="529"/>
      <c r="N128" s="1098"/>
      <c r="O128" s="1098"/>
      <c r="P128" s="2493"/>
      <c r="Q128" s="447"/>
    </row>
    <row r="129" spans="1:17" ht="15.75" thickBot="1">
      <c r="A129" s="477"/>
      <c r="B129" s="486"/>
      <c r="C129" s="503"/>
      <c r="D129" s="479"/>
      <c r="E129" s="479"/>
      <c r="F129" s="479"/>
      <c r="G129" s="479"/>
      <c r="H129" s="479"/>
      <c r="I129" s="479"/>
      <c r="J129" s="479"/>
      <c r="K129" s="479"/>
      <c r="L129" s="479"/>
      <c r="M129" s="480"/>
      <c r="N129" s="1099"/>
      <c r="O129" s="1099"/>
      <c r="P129" s="2493"/>
      <c r="Q129" s="447"/>
    </row>
    <row r="130" spans="1:17" ht="15" thickTop="1">
      <c r="A130" s="542"/>
      <c r="B130" s="489">
        <f>B46</f>
        <v>111</v>
      </c>
      <c r="C130" s="497"/>
      <c r="D130" s="497"/>
      <c r="E130" s="497"/>
      <c r="F130" s="497"/>
      <c r="G130" s="530"/>
      <c r="H130" s="530"/>
      <c r="I130" s="530"/>
      <c r="J130" s="530"/>
      <c r="K130" s="466"/>
      <c r="L130" s="467"/>
      <c r="M130" s="533"/>
      <c r="N130" s="1098"/>
      <c r="O130" s="1098"/>
      <c r="P130" s="2493"/>
      <c r="Q130" s="447"/>
    </row>
    <row r="131" spans="1:17" ht="15.75" thickBot="1">
      <c r="A131" s="2499"/>
      <c r="B131" s="512"/>
      <c r="C131" s="513"/>
      <c r="D131" s="513"/>
      <c r="E131" s="513"/>
      <c r="F131" s="513"/>
      <c r="G131" s="534"/>
      <c r="H131" s="534"/>
      <c r="I131" s="534"/>
      <c r="J131" s="534"/>
      <c r="K131" s="534"/>
      <c r="L131" s="534"/>
      <c r="M131" s="535"/>
      <c r="N131" s="1099"/>
      <c r="O131" s="1099"/>
      <c r="P131" s="2493"/>
      <c r="Q131" s="44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9" sqref="C39"/>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2399</v>
      </c>
      <c r="B1" s="2532" t="s">
        <v>2557</v>
      </c>
      <c r="C1" s="1550" t="s">
        <v>2401</v>
      </c>
      <c r="D1" s="1551"/>
      <c r="E1" s="1560"/>
      <c r="F1" s="2449"/>
      <c r="G1" s="1561" t="s">
        <v>2514</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2201</v>
      </c>
      <c r="B2" s="1350" t="e">
        <f ca="1">IF(C2="——",ROUND(C50*D3/10000,0),ROUND(C50*D3/10000,0)-D2)</f>
        <v>#DIV/0!</v>
      </c>
      <c r="C2" s="2451"/>
      <c r="D2" s="1297" t="e">
        <f ca="1">SUMIF(INDIRECT("'"&amp;F2&amp;"'"&amp;"!A:A"),"承租人权益价值",INDIRECT("'"&amp;F2&amp;"'"&amp;"!c:c"))</f>
        <v>#REF!</v>
      </c>
      <c r="E2" s="2452" t="s">
        <v>2202</v>
      </c>
      <c r="F2" s="2453"/>
      <c r="G2" s="1071"/>
      <c r="H2" s="1071"/>
      <c r="I2" s="1071"/>
      <c r="J2" s="1071"/>
      <c r="K2" s="1071"/>
      <c r="L2" s="1074"/>
      <c r="M2" s="1075"/>
      <c r="N2" s="1075"/>
      <c r="O2" s="1075"/>
      <c r="P2" s="711"/>
      <c r="Q2" s="711"/>
      <c r="R2" s="711"/>
      <c r="S2" s="711"/>
      <c r="T2" s="711"/>
      <c r="U2" s="711"/>
      <c r="V2" s="711"/>
      <c r="W2" s="711"/>
      <c r="X2" s="711"/>
      <c r="Y2" s="711"/>
      <c r="Z2" s="711"/>
      <c r="AA2" s="711"/>
      <c r="AB2" s="711"/>
      <c r="AC2" s="712"/>
    </row>
    <row r="3" spans="1:29" s="341" customFormat="1" ht="28.5" customHeight="1" thickBot="1">
      <c r="A3" s="190" t="s">
        <v>2203</v>
      </c>
      <c r="B3" s="552" t="e">
        <f ca="1">IF(C2="——",C50,ROUND(B2*10000/D3,0))</f>
        <v>#DIV/0!</v>
      </c>
      <c r="C3" s="343" t="s">
        <v>2515</v>
      </c>
      <c r="D3" s="342">
        <f>IF(D1="",'数据-汇总表'!E3,SUMIF('数据-汇总表'!$C19:$C33,D1,'数据-汇总表'!$E19:$E33))</f>
        <v>119454.59</v>
      </c>
      <c r="E3" s="2526"/>
      <c r="F3" s="1072"/>
      <c r="G3" s="1071"/>
      <c r="H3" s="1071"/>
      <c r="I3" s="1071"/>
      <c r="J3" s="1071"/>
      <c r="K3" s="1073"/>
      <c r="L3" s="1074"/>
      <c r="M3" s="1075"/>
      <c r="N3" s="1075"/>
      <c r="O3" s="1075"/>
      <c r="P3" s="711"/>
      <c r="Q3" s="711"/>
      <c r="R3" s="711"/>
      <c r="S3" s="711"/>
      <c r="T3" s="711"/>
      <c r="U3" s="711"/>
      <c r="V3" s="711"/>
      <c r="W3" s="711"/>
      <c r="X3" s="711"/>
      <c r="Y3" s="711"/>
      <c r="Z3" s="711"/>
      <c r="AA3" s="711"/>
      <c r="AB3" s="711"/>
      <c r="AC3" s="712"/>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363" t="s">
        <v>2522</v>
      </c>
      <c r="Q4" s="3364"/>
      <c r="R4" s="3358" t="s">
        <v>2518</v>
      </c>
      <c r="S4" s="3359"/>
      <c r="T4" s="3358" t="s">
        <v>2519</v>
      </c>
      <c r="U4" s="3359"/>
      <c r="V4" s="3367" t="s">
        <v>2520</v>
      </c>
      <c r="W4" s="3367"/>
      <c r="X4" s="2533"/>
      <c r="Y4" s="3358" t="s">
        <v>2522</v>
      </c>
      <c r="Z4" s="3359"/>
      <c r="AA4" s="3357" t="s">
        <v>2518</v>
      </c>
      <c r="AB4" s="3357" t="s">
        <v>2519</v>
      </c>
      <c r="AC4" s="3360" t="s">
        <v>2520</v>
      </c>
    </row>
    <row r="5" spans="1:29" ht="15">
      <c r="A5" s="347"/>
      <c r="B5" s="348"/>
      <c r="C5" s="3285" t="s">
        <v>2413</v>
      </c>
      <c r="D5" s="3286"/>
      <c r="E5" s="3283" t="s">
        <v>2414</v>
      </c>
      <c r="F5" s="3284"/>
      <c r="G5" s="3285" t="s">
        <v>2415</v>
      </c>
      <c r="H5" s="3286"/>
      <c r="I5" s="3285" t="s">
        <v>2416</v>
      </c>
      <c r="J5" s="3286"/>
      <c r="K5" s="553"/>
      <c r="L5" s="1076"/>
      <c r="M5" s="1077"/>
      <c r="N5" s="1077"/>
      <c r="O5" s="1077"/>
      <c r="P5" s="3365"/>
      <c r="Q5" s="3299"/>
      <c r="R5" s="3281"/>
      <c r="S5" s="3282"/>
      <c r="T5" s="3281"/>
      <c r="U5" s="3282"/>
      <c r="V5" s="3304"/>
      <c r="W5" s="3304"/>
      <c r="X5" s="1740"/>
      <c r="Y5" s="3281"/>
      <c r="Z5" s="3282"/>
      <c r="AA5" s="3275"/>
      <c r="AB5" s="3275"/>
      <c r="AC5" s="3361"/>
    </row>
    <row r="6" spans="1:29" ht="15.75" thickBot="1">
      <c r="A6" s="349"/>
      <c r="B6" s="350"/>
      <c r="C6" s="3287" t="s">
        <v>2417</v>
      </c>
      <c r="D6" s="3288"/>
      <c r="E6" s="3289" t="s">
        <v>2417</v>
      </c>
      <c r="F6" s="3290"/>
      <c r="G6" s="3287" t="s">
        <v>2417</v>
      </c>
      <c r="H6" s="3288"/>
      <c r="I6" s="3287" t="s">
        <v>2417</v>
      </c>
      <c r="J6" s="3288"/>
      <c r="K6" s="553" t="s">
        <v>2418</v>
      </c>
      <c r="L6" s="1076"/>
      <c r="M6" s="1077"/>
      <c r="N6" s="1077"/>
      <c r="O6" s="1077"/>
      <c r="P6" s="3366"/>
      <c r="Q6" s="3301"/>
      <c r="R6" s="3281"/>
      <c r="S6" s="3282"/>
      <c r="T6" s="3302"/>
      <c r="U6" s="3303"/>
      <c r="V6" s="3304"/>
      <c r="W6" s="3304"/>
      <c r="X6" s="1740"/>
      <c r="Y6" s="3302"/>
      <c r="Z6" s="3303"/>
      <c r="AA6" s="3276"/>
      <c r="AB6" s="3276"/>
      <c r="AC6" s="3362"/>
    </row>
    <row r="7" spans="1:29" s="72" customFormat="1" ht="15.75" thickBot="1">
      <c r="A7" s="351" t="s">
        <v>2419</v>
      </c>
      <c r="B7" s="352"/>
      <c r="C7" s="353">
        <f>'数据-取费表'!B2</f>
        <v>43284</v>
      </c>
      <c r="D7" s="354">
        <v>100</v>
      </c>
      <c r="E7" s="355"/>
      <c r="F7" s="356">
        <f>SUMIF(59:59,YEAR(E7)&amp;"-"&amp;MONTH(E7),60:60)</f>
        <v>0</v>
      </c>
      <c r="G7" s="355"/>
      <c r="H7" s="354">
        <f>SUMIF(59:59,YEAR(G7)&amp;"-"&amp;MONTH(G7),60:60)</f>
        <v>0</v>
      </c>
      <c r="I7" s="355"/>
      <c r="J7" s="354">
        <f>SUMIF(59:59,YEAR(I7)&amp;"-"&amp;MONTH(I7),60:60)</f>
        <v>0</v>
      </c>
      <c r="K7" s="554"/>
      <c r="L7" s="1078"/>
      <c r="M7" s="1079"/>
      <c r="N7" s="1079"/>
      <c r="O7" s="1079"/>
      <c r="P7" s="3368" t="s">
        <v>2420</v>
      </c>
      <c r="Q7" s="3305"/>
      <c r="R7" s="713" t="s">
        <v>17</v>
      </c>
      <c r="S7" s="714">
        <f t="shared" ref="S7:S15" si="0">F7</f>
        <v>0</v>
      </c>
      <c r="T7" s="713" t="s">
        <v>17</v>
      </c>
      <c r="U7" s="714">
        <f t="shared" ref="U7:U15" si="1">H7</f>
        <v>0</v>
      </c>
      <c r="V7" s="713" t="s">
        <v>17</v>
      </c>
      <c r="W7" s="714">
        <f t="shared" ref="W7:W15" si="2">J7</f>
        <v>0</v>
      </c>
      <c r="X7" s="715"/>
      <c r="Y7" s="3277" t="s">
        <v>2420</v>
      </c>
      <c r="Z7" s="3278"/>
      <c r="AA7" s="716" t="e">
        <f>D7/F7</f>
        <v>#DIV/0!</v>
      </c>
      <c r="AB7" s="716" t="e">
        <f>D7/H7</f>
        <v>#DIV/0!</v>
      </c>
      <c r="AC7" s="2534" t="e">
        <f>D7/J7</f>
        <v>#DIV/0!</v>
      </c>
    </row>
    <row r="8" spans="1:29" s="72" customFormat="1" ht="15.75" thickBot="1">
      <c r="A8" s="351" t="s">
        <v>2421</v>
      </c>
      <c r="B8" s="352"/>
      <c r="C8" s="357" t="s">
        <v>2523</v>
      </c>
      <c r="D8" s="354">
        <v>100</v>
      </c>
      <c r="E8" s="357"/>
      <c r="F8" s="356">
        <f>SUMIF(62:62,E8,63:63)-SUMIF(62:62,C8,63:63)+100</f>
        <v>0</v>
      </c>
      <c r="G8" s="357"/>
      <c r="H8" s="354">
        <f>SUMIF(62:62,G8,63:63)-SUMIF(62:62,C8,63:63)+100</f>
        <v>0</v>
      </c>
      <c r="I8" s="357"/>
      <c r="J8" s="354">
        <f>SUMIF(62:62,I8,63:63)-SUMIF(62:62,C8,63:63)+100</f>
        <v>0</v>
      </c>
      <c r="K8" s="554"/>
      <c r="L8" s="1078"/>
      <c r="M8" s="1079"/>
      <c r="N8" s="1079"/>
      <c r="O8" s="1079"/>
      <c r="P8" s="3368" t="s">
        <v>2423</v>
      </c>
      <c r="Q8" s="3278"/>
      <c r="R8" s="713" t="s">
        <v>17</v>
      </c>
      <c r="S8" s="714">
        <f t="shared" si="0"/>
        <v>0</v>
      </c>
      <c r="T8" s="713" t="s">
        <v>17</v>
      </c>
      <c r="U8" s="714">
        <f t="shared" si="1"/>
        <v>0</v>
      </c>
      <c r="V8" s="713" t="s">
        <v>17</v>
      </c>
      <c r="W8" s="714">
        <f t="shared" si="2"/>
        <v>0</v>
      </c>
      <c r="X8" s="715"/>
      <c r="Y8" s="3277" t="s">
        <v>2423</v>
      </c>
      <c r="Z8" s="3278"/>
      <c r="AA8" s="716" t="e">
        <f t="shared" ref="AA8:AA47" si="3">D8/F8</f>
        <v>#DIV/0!</v>
      </c>
      <c r="AB8" s="716" t="e">
        <f t="shared" ref="AB8:AB47" si="4">D8/H8</f>
        <v>#DIV/0!</v>
      </c>
      <c r="AC8" s="2534" t="e">
        <f t="shared" ref="AC8:AC47" si="5">D8/J8</f>
        <v>#DIV/0!</v>
      </c>
    </row>
    <row r="9" spans="1:29" s="72" customFormat="1">
      <c r="A9" s="358" t="s">
        <v>2424</v>
      </c>
      <c r="B9" s="70" t="s">
        <v>2425</v>
      </c>
      <c r="C9" s="359"/>
      <c r="D9" s="78">
        <v>100</v>
      </c>
      <c r="E9" s="362"/>
      <c r="F9" s="78">
        <f>SUMIF(64:64,E9,65:65)-SUMIF(64:64,C9,65:65)+100</f>
        <v>100</v>
      </c>
      <c r="G9" s="360"/>
      <c r="H9" s="78">
        <f>SUMIF(64:64,G9,65:65)-SUMIF(64:64,C9,65:65)+100</f>
        <v>100</v>
      </c>
      <c r="I9" s="360"/>
      <c r="J9" s="78">
        <f>SUMIF(64:64,I9,65:65)-SUMIF(64:64,C9,65:65)+100</f>
        <v>100</v>
      </c>
      <c r="K9" s="554"/>
      <c r="L9" s="1078"/>
      <c r="M9" s="1079"/>
      <c r="N9" s="1079"/>
      <c r="O9" s="1079"/>
      <c r="P9" s="3315"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2534">
        <f t="shared" si="5"/>
        <v>1</v>
      </c>
    </row>
    <row r="10" spans="1:29" s="370" customFormat="1" ht="27">
      <c r="A10" s="364"/>
      <c r="B10" s="365" t="s">
        <v>2428</v>
      </c>
      <c r="C10" s="366"/>
      <c r="D10" s="79">
        <v>100</v>
      </c>
      <c r="E10" s="366"/>
      <c r="F10" s="79">
        <f>SUMIF(66:66,E10,67:67)-SUMIF(66:66,C10,67:67)+100</f>
        <v>100</v>
      </c>
      <c r="G10" s="367"/>
      <c r="H10" s="79">
        <f>SUMIF(66:66,G10,67:67)-SUMIF(66:66,C10,67:67)+100</f>
        <v>100</v>
      </c>
      <c r="I10" s="366"/>
      <c r="J10" s="79">
        <f>SUMIF(66:66,I10,67:67)-SUMIF(66:66,C10,67:67)+100</f>
        <v>100</v>
      </c>
      <c r="K10" s="555"/>
      <c r="L10" s="1081"/>
      <c r="M10" s="1082"/>
      <c r="N10" s="1082"/>
      <c r="O10" s="1082"/>
      <c r="P10" s="3315"/>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2534">
        <f t="shared" si="5"/>
        <v>1</v>
      </c>
    </row>
    <row r="11" spans="1:29" ht="15">
      <c r="A11" s="371"/>
      <c r="B11" s="365" t="s">
        <v>2429</v>
      </c>
      <c r="C11" s="372"/>
      <c r="D11" s="79">
        <v>100</v>
      </c>
      <c r="E11" s="372"/>
      <c r="F11" s="79" t="e">
        <f>LOOKUP(E11,69:69,70:70)-LOOKUP(C11,69:69,70:70)+100</f>
        <v>#N/A</v>
      </c>
      <c r="G11" s="373"/>
      <c r="H11" s="79" t="e">
        <f>LOOKUP(G11,69:69,70:70)-LOOKUP(C11,69:69,70:70)+100</f>
        <v>#N/A</v>
      </c>
      <c r="I11" s="372"/>
      <c r="J11" s="79" t="e">
        <f>LOOKUP(I11,69:69,70:70)-LOOKUP(C11,69:69,70:70)+100</f>
        <v>#N/A</v>
      </c>
      <c r="K11" s="555"/>
      <c r="L11" s="1084"/>
      <c r="M11" s="1077"/>
      <c r="N11" s="1077"/>
      <c r="O11" s="1077"/>
      <c r="P11" s="3315"/>
      <c r="Q11" s="1723" t="str">
        <f t="shared" si="6"/>
        <v>容积率</v>
      </c>
      <c r="R11" s="713" t="s">
        <v>17</v>
      </c>
      <c r="S11" s="714" t="e">
        <f t="shared" si="0"/>
        <v>#N/A</v>
      </c>
      <c r="T11" s="713" t="s">
        <v>17</v>
      </c>
      <c r="U11" s="714" t="e">
        <f t="shared" si="1"/>
        <v>#N/A</v>
      </c>
      <c r="V11" s="713" t="s">
        <v>17</v>
      </c>
      <c r="W11" s="714" t="e">
        <f t="shared" si="2"/>
        <v>#N/A</v>
      </c>
      <c r="X11" s="715"/>
      <c r="Y11" s="3113"/>
      <c r="Z11" s="54" t="str">
        <f t="shared" si="7"/>
        <v>容积率</v>
      </c>
      <c r="AA11" s="716" t="e">
        <f t="shared" si="3"/>
        <v>#N/A</v>
      </c>
      <c r="AB11" s="716" t="e">
        <f t="shared" si="4"/>
        <v>#N/A</v>
      </c>
      <c r="AC11" s="2534" t="e">
        <f t="shared" si="5"/>
        <v>#N/A</v>
      </c>
    </row>
    <row r="12" spans="1:29" s="72" customFormat="1" ht="15">
      <c r="A12" s="374"/>
      <c r="B12" s="2465">
        <v>111</v>
      </c>
      <c r="C12" s="375"/>
      <c r="D12" s="376">
        <v>100</v>
      </c>
      <c r="E12" s="375"/>
      <c r="F12" s="79">
        <f>SUMIF(71:71,E12,72:72)-SUMIF(71:71,C12,72:72)+100</f>
        <v>100</v>
      </c>
      <c r="G12" s="2535"/>
      <c r="H12" s="79">
        <f>SUMIF(71:71,G12,72:72)-SUMIF(71:71,C12,72:72)+100</f>
        <v>100</v>
      </c>
      <c r="I12" s="375"/>
      <c r="J12" s="79">
        <f>SUMIF(71:71,I12,72:72)-SUMIF(71:71,C12,72:72)+100</f>
        <v>100</v>
      </c>
      <c r="K12" s="556"/>
      <c r="L12" s="1078"/>
      <c r="M12" s="1079"/>
      <c r="N12" s="1079"/>
      <c r="O12" s="1079"/>
      <c r="P12" s="3315"/>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2534">
        <f>D12/J12</f>
        <v>1</v>
      </c>
    </row>
    <row r="13" spans="1:29" ht="15">
      <c r="A13" s="371"/>
      <c r="B13" s="2465">
        <v>111</v>
      </c>
      <c r="C13" s="377"/>
      <c r="D13" s="378">
        <v>100</v>
      </c>
      <c r="E13" s="375"/>
      <c r="F13" s="79">
        <f>SUMIF(73:73,E13,74:74)-SUMIF(73:73,C13,74:74)+100</f>
        <v>100</v>
      </c>
      <c r="G13" s="2535"/>
      <c r="H13" s="378">
        <f>SUMIF(73:73,G13,74:74)-SUMIF(73:73,C13,74:74)+100</f>
        <v>100</v>
      </c>
      <c r="I13" s="375"/>
      <c r="J13" s="378">
        <f>SUMIF(73:73,I13,74:74)-SUMIF(73:73,C13,74:74)+100</f>
        <v>100</v>
      </c>
      <c r="K13" s="556"/>
      <c r="L13" s="1086"/>
      <c r="M13" s="1077"/>
      <c r="N13" s="1077"/>
      <c r="O13" s="1077"/>
      <c r="P13" s="3315"/>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2534">
        <f t="shared" si="5"/>
        <v>1</v>
      </c>
    </row>
    <row r="14" spans="1:29" ht="15.75" thickBot="1">
      <c r="A14" s="379"/>
      <c r="B14" s="2467">
        <v>111</v>
      </c>
      <c r="C14" s="380"/>
      <c r="D14" s="381">
        <v>100</v>
      </c>
      <c r="E14" s="571"/>
      <c r="F14" s="381">
        <f>SUMIF(75:75,E14,76:76)-SUMIF(75:75,C14,76:76)+100</f>
        <v>100</v>
      </c>
      <c r="G14" s="2535"/>
      <c r="H14" s="381">
        <f>SUMIF(75:75,G14,76:76)-SUMIF(75:75,C14,76:76)+100</f>
        <v>100</v>
      </c>
      <c r="I14" s="375"/>
      <c r="J14" s="381">
        <f>SUMIF(75:75,I14,76:76)-SUMIF(75:75,C14,76:76)+100</f>
        <v>100</v>
      </c>
      <c r="K14" s="556"/>
      <c r="L14" s="1086"/>
      <c r="M14" s="1077"/>
      <c r="N14" s="1077"/>
      <c r="O14" s="1077"/>
      <c r="P14" s="3315"/>
      <c r="Q14" s="1723">
        <f t="shared" si="6"/>
        <v>111</v>
      </c>
      <c r="R14" s="713" t="s">
        <v>17</v>
      </c>
      <c r="S14" s="714">
        <f t="shared" si="0"/>
        <v>100</v>
      </c>
      <c r="T14" s="713" t="s">
        <v>17</v>
      </c>
      <c r="U14" s="714">
        <f t="shared" si="1"/>
        <v>100</v>
      </c>
      <c r="V14" s="713" t="s">
        <v>17</v>
      </c>
      <c r="W14" s="714">
        <f t="shared" si="2"/>
        <v>100</v>
      </c>
      <c r="X14" s="715"/>
      <c r="Y14" s="3113"/>
      <c r="Z14" s="54">
        <f t="shared" si="7"/>
        <v>111</v>
      </c>
      <c r="AA14" s="716">
        <f t="shared" si="3"/>
        <v>1</v>
      </c>
      <c r="AB14" s="716">
        <f t="shared" si="4"/>
        <v>1</v>
      </c>
      <c r="AC14" s="2534">
        <f t="shared" si="5"/>
        <v>1</v>
      </c>
    </row>
    <row r="15" spans="1:29" ht="15">
      <c r="A15" s="383" t="s">
        <v>2430</v>
      </c>
      <c r="B15" s="572" t="s">
        <v>2558</v>
      </c>
      <c r="C15" s="2536">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86"/>
      <c r="M15" s="1077"/>
      <c r="N15" s="1077"/>
      <c r="O15" s="1077"/>
      <c r="P15" s="3355" t="s">
        <v>2431</v>
      </c>
      <c r="Q15" s="1737" t="str">
        <f t="shared" si="6"/>
        <v>办公集聚程度</v>
      </c>
      <c r="R15" s="717" t="s">
        <v>17</v>
      </c>
      <c r="S15" s="718">
        <f t="shared" si="0"/>
        <v>100</v>
      </c>
      <c r="T15" s="717" t="s">
        <v>17</v>
      </c>
      <c r="U15" s="718">
        <f t="shared" si="1"/>
        <v>100</v>
      </c>
      <c r="V15" s="717" t="s">
        <v>17</v>
      </c>
      <c r="W15" s="718">
        <f t="shared" si="2"/>
        <v>100</v>
      </c>
      <c r="X15" s="1740"/>
      <c r="Y15" s="3306" t="s">
        <v>2431</v>
      </c>
      <c r="Z15" s="1741" t="str">
        <f t="shared" si="7"/>
        <v>办公集聚程度</v>
      </c>
      <c r="AA15" s="1738">
        <f t="shared" si="3"/>
        <v>1</v>
      </c>
      <c r="AB15" s="1738">
        <f t="shared" si="4"/>
        <v>1</v>
      </c>
      <c r="AC15" s="2537">
        <f t="shared" si="5"/>
        <v>1</v>
      </c>
    </row>
    <row r="16" spans="1:29" ht="15">
      <c r="A16" s="371"/>
      <c r="B16" s="573"/>
      <c r="C16" s="2476"/>
      <c r="D16" s="391"/>
      <c r="E16" s="390"/>
      <c r="F16" s="391"/>
      <c r="G16" s="2476"/>
      <c r="H16" s="393"/>
      <c r="I16" s="390"/>
      <c r="J16" s="391"/>
      <c r="K16" s="558"/>
      <c r="L16" s="1086"/>
      <c r="M16" s="1077"/>
      <c r="N16" s="1077"/>
      <c r="O16" s="1077"/>
      <c r="P16" s="3356"/>
      <c r="Q16" s="1737"/>
      <c r="R16" s="717"/>
      <c r="S16" s="718"/>
      <c r="T16" s="717"/>
      <c r="U16" s="718"/>
      <c r="V16" s="717"/>
      <c r="W16" s="718"/>
      <c r="X16" s="1740"/>
      <c r="Y16" s="3307"/>
      <c r="Z16" s="1741"/>
      <c r="AA16" s="1738">
        <v>1</v>
      </c>
      <c r="AB16" s="1738">
        <v>1</v>
      </c>
      <c r="AC16" s="2537">
        <v>1</v>
      </c>
    </row>
    <row r="17" spans="1:29" ht="71.25">
      <c r="A17" s="371"/>
      <c r="B17" s="574" t="s">
        <v>1977</v>
      </c>
      <c r="C17" s="253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57"/>
      <c r="L17" s="1086"/>
      <c r="M17" s="1077"/>
      <c r="N17" s="1077"/>
      <c r="O17" s="1077"/>
      <c r="P17" s="3356"/>
      <c r="Q17" s="1737" t="str">
        <f>B17</f>
        <v>交通便捷度</v>
      </c>
      <c r="R17" s="717" t="s">
        <v>17</v>
      </c>
      <c r="S17" s="718">
        <f>F17</f>
        <v>100</v>
      </c>
      <c r="T17" s="717" t="s">
        <v>17</v>
      </c>
      <c r="U17" s="718">
        <f>H17</f>
        <v>100</v>
      </c>
      <c r="V17" s="717" t="s">
        <v>17</v>
      </c>
      <c r="W17" s="718">
        <f>J17</f>
        <v>100</v>
      </c>
      <c r="X17" s="1740"/>
      <c r="Y17" s="3307"/>
      <c r="Z17" s="1741" t="str">
        <f>Q17</f>
        <v>交通便捷度</v>
      </c>
      <c r="AA17" s="1738">
        <f t="shared" si="3"/>
        <v>1</v>
      </c>
      <c r="AB17" s="1738">
        <f t="shared" si="4"/>
        <v>1</v>
      </c>
      <c r="AC17" s="2537">
        <f t="shared" si="5"/>
        <v>1</v>
      </c>
    </row>
    <row r="18" spans="1:29" ht="15">
      <c r="A18" s="371"/>
      <c r="B18" s="575"/>
      <c r="C18" s="2539"/>
      <c r="D18" s="393"/>
      <c r="E18" s="2474"/>
      <c r="F18" s="393"/>
      <c r="G18" s="2475"/>
      <c r="H18" s="391"/>
      <c r="I18" s="2475"/>
      <c r="J18" s="391"/>
      <c r="K18" s="558"/>
      <c r="L18" s="1086"/>
      <c r="M18" s="1077"/>
      <c r="N18" s="1077"/>
      <c r="O18" s="1077"/>
      <c r="P18" s="3356"/>
      <c r="Q18" s="1737"/>
      <c r="R18" s="717"/>
      <c r="S18" s="718"/>
      <c r="T18" s="717"/>
      <c r="U18" s="718"/>
      <c r="V18" s="717"/>
      <c r="W18" s="718"/>
      <c r="X18" s="1740"/>
      <c r="Y18" s="3307"/>
      <c r="Z18" s="1741"/>
      <c r="AA18" s="1738">
        <v>1</v>
      </c>
      <c r="AB18" s="1738">
        <v>1</v>
      </c>
      <c r="AC18" s="2537">
        <v>1</v>
      </c>
    </row>
    <row r="19" spans="1:29" ht="15">
      <c r="A19" s="371"/>
      <c r="B19" s="574" t="s">
        <v>2559</v>
      </c>
      <c r="C19" s="2538">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86"/>
      <c r="M19" s="1077"/>
      <c r="N19" s="1077"/>
      <c r="O19" s="1077"/>
      <c r="P19" s="3356"/>
      <c r="Q19" s="1737" t="str">
        <f>B19</f>
        <v>公共配套设施</v>
      </c>
      <c r="R19" s="717" t="s">
        <v>17</v>
      </c>
      <c r="S19" s="718">
        <f>F19</f>
        <v>100</v>
      </c>
      <c r="T19" s="717" t="s">
        <v>17</v>
      </c>
      <c r="U19" s="718">
        <f>H19</f>
        <v>100</v>
      </c>
      <c r="V19" s="717" t="s">
        <v>17</v>
      </c>
      <c r="W19" s="718">
        <f>J19</f>
        <v>100</v>
      </c>
      <c r="X19" s="1740"/>
      <c r="Y19" s="3307"/>
      <c r="Z19" s="1741" t="str">
        <f>Q19</f>
        <v>公共配套设施</v>
      </c>
      <c r="AA19" s="1738">
        <f t="shared" si="3"/>
        <v>1</v>
      </c>
      <c r="AB19" s="1738">
        <f t="shared" si="4"/>
        <v>1</v>
      </c>
      <c r="AC19" s="2537">
        <f t="shared" si="5"/>
        <v>1</v>
      </c>
    </row>
    <row r="20" spans="1:29" ht="15">
      <c r="A20" s="371"/>
      <c r="B20" s="575"/>
      <c r="C20" s="2476"/>
      <c r="D20" s="391"/>
      <c r="E20" s="2469"/>
      <c r="F20" s="391"/>
      <c r="G20" s="2470"/>
      <c r="H20" s="391"/>
      <c r="I20" s="2470"/>
      <c r="J20" s="391"/>
      <c r="K20" s="558"/>
      <c r="L20" s="1086"/>
      <c r="M20" s="1077"/>
      <c r="N20" s="1077"/>
      <c r="O20" s="1077"/>
      <c r="P20" s="3356"/>
      <c r="Q20" s="1737"/>
      <c r="R20" s="717"/>
      <c r="S20" s="718"/>
      <c r="T20" s="717"/>
      <c r="U20" s="718"/>
      <c r="V20" s="717"/>
      <c r="W20" s="718"/>
      <c r="X20" s="1740"/>
      <c r="Y20" s="3307"/>
      <c r="Z20" s="1741"/>
      <c r="AA20" s="1738">
        <v>1</v>
      </c>
      <c r="AB20" s="1738">
        <v>1</v>
      </c>
      <c r="AC20" s="2537">
        <v>1</v>
      </c>
    </row>
    <row r="21" spans="1:29" ht="15">
      <c r="A21" s="371"/>
      <c r="B21" s="576" t="s">
        <v>2560</v>
      </c>
      <c r="C21" s="2538">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86"/>
      <c r="M21" s="1077"/>
      <c r="N21" s="1077"/>
      <c r="O21" s="1077"/>
      <c r="P21" s="3356"/>
      <c r="Q21" s="1737" t="str">
        <f>B21</f>
        <v>基础设施水平</v>
      </c>
      <c r="R21" s="717" t="s">
        <v>17</v>
      </c>
      <c r="S21" s="718">
        <f>F21</f>
        <v>100</v>
      </c>
      <c r="T21" s="717" t="s">
        <v>17</v>
      </c>
      <c r="U21" s="718">
        <f>H21</f>
        <v>100</v>
      </c>
      <c r="V21" s="717" t="s">
        <v>17</v>
      </c>
      <c r="W21" s="718">
        <f>J21</f>
        <v>100</v>
      </c>
      <c r="X21" s="1740"/>
      <c r="Y21" s="3307"/>
      <c r="Z21" s="1741" t="str">
        <f>Q21</f>
        <v>基础设施水平</v>
      </c>
      <c r="AA21" s="1738">
        <f t="shared" ref="AA21" si="8">D21/F21</f>
        <v>1</v>
      </c>
      <c r="AB21" s="1738">
        <f t="shared" ref="AB21" si="9">D21/H21</f>
        <v>1</v>
      </c>
      <c r="AC21" s="2537">
        <f t="shared" ref="AC21" si="10">D21/J21</f>
        <v>1</v>
      </c>
    </row>
    <row r="22" spans="1:29" ht="15">
      <c r="A22" s="371"/>
      <c r="B22" s="576"/>
      <c r="C22" s="2539"/>
      <c r="D22" s="391"/>
      <c r="E22" s="390"/>
      <c r="F22" s="391"/>
      <c r="G22" s="2476"/>
      <c r="H22" s="391"/>
      <c r="I22" s="2476"/>
      <c r="J22" s="391"/>
      <c r="K22" s="1315"/>
      <c r="L22" s="1086"/>
      <c r="M22" s="1077"/>
      <c r="N22" s="1077"/>
      <c r="O22" s="1077"/>
      <c r="P22" s="3356"/>
      <c r="Q22" s="1737"/>
      <c r="R22" s="717"/>
      <c r="S22" s="718"/>
      <c r="T22" s="717"/>
      <c r="U22" s="718"/>
      <c r="V22" s="717"/>
      <c r="W22" s="718"/>
      <c r="X22" s="1740"/>
      <c r="Y22" s="3307"/>
      <c r="Z22" s="1741"/>
      <c r="AA22" s="1738">
        <v>1</v>
      </c>
      <c r="AB22" s="1738">
        <v>1</v>
      </c>
      <c r="AC22" s="2537">
        <v>1</v>
      </c>
    </row>
    <row r="23" spans="1:29" ht="15">
      <c r="A23" s="371"/>
      <c r="B23" s="574" t="s">
        <v>2561</v>
      </c>
      <c r="C23" s="2538">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86"/>
      <c r="M23" s="1077"/>
      <c r="N23" s="1077"/>
      <c r="O23" s="1077"/>
      <c r="P23" s="3356"/>
      <c r="Q23" s="1737" t="str">
        <f>B23</f>
        <v>环境质量</v>
      </c>
      <c r="R23" s="717" t="s">
        <v>17</v>
      </c>
      <c r="S23" s="718">
        <f>F23</f>
        <v>100</v>
      </c>
      <c r="T23" s="717" t="s">
        <v>17</v>
      </c>
      <c r="U23" s="718">
        <f>H23</f>
        <v>100</v>
      </c>
      <c r="V23" s="717" t="s">
        <v>17</v>
      </c>
      <c r="W23" s="718">
        <f>J23</f>
        <v>100</v>
      </c>
      <c r="X23" s="1740"/>
      <c r="Y23" s="3307"/>
      <c r="Z23" s="1741" t="str">
        <f>Q23</f>
        <v>环境质量</v>
      </c>
      <c r="AA23" s="1738">
        <f t="shared" si="3"/>
        <v>1</v>
      </c>
      <c r="AB23" s="1738">
        <f t="shared" si="4"/>
        <v>1</v>
      </c>
      <c r="AC23" s="2537">
        <f t="shared" si="5"/>
        <v>1</v>
      </c>
    </row>
    <row r="24" spans="1:29" ht="15">
      <c r="A24" s="371"/>
      <c r="B24" s="576"/>
      <c r="C24" s="2476"/>
      <c r="D24" s="391"/>
      <c r="E24" s="2469"/>
      <c r="F24" s="391"/>
      <c r="G24" s="2470"/>
      <c r="H24" s="391"/>
      <c r="I24" s="2470"/>
      <c r="J24" s="391"/>
      <c r="K24" s="558"/>
      <c r="L24" s="1086"/>
      <c r="M24" s="1077"/>
      <c r="N24" s="1077"/>
      <c r="O24" s="1077"/>
      <c r="P24" s="3356"/>
      <c r="Q24" s="1737"/>
      <c r="R24" s="717"/>
      <c r="S24" s="718"/>
      <c r="T24" s="717"/>
      <c r="U24" s="718"/>
      <c r="V24" s="717"/>
      <c r="W24" s="718"/>
      <c r="X24" s="1740"/>
      <c r="Y24" s="3307"/>
      <c r="Z24" s="1741"/>
      <c r="AA24" s="1738">
        <v>1</v>
      </c>
      <c r="AB24" s="1738">
        <v>1</v>
      </c>
      <c r="AC24" s="2537">
        <v>1</v>
      </c>
    </row>
    <row r="25" spans="1:29" ht="27">
      <c r="A25" s="347"/>
      <c r="B25" s="574" t="s">
        <v>2562</v>
      </c>
      <c r="C25" s="2480"/>
      <c r="D25" s="378">
        <v>100</v>
      </c>
      <c r="E25" s="377"/>
      <c r="F25" s="378">
        <f>SUMIF(87:87,E26,88:88)-SUMIF(87:87,C26,88:88)+100</f>
        <v>100</v>
      </c>
      <c r="G25" s="2480"/>
      <c r="H25" s="378">
        <f>SUMIF(87:87,G26,88:88)-SUMIF(87:87,C26,88:88)+100</f>
        <v>100</v>
      </c>
      <c r="I25" s="377"/>
      <c r="J25" s="378">
        <f>SUMIF(87:87,I26,88:88)-SUMIF(87:87,C26,88:88)+100</f>
        <v>100</v>
      </c>
      <c r="K25" s="557"/>
      <c r="L25" s="1086"/>
      <c r="M25" s="1077"/>
      <c r="N25" s="1077"/>
      <c r="O25" s="1077"/>
      <c r="P25" s="3356"/>
      <c r="Q25" s="1737" t="str">
        <f>B25</f>
        <v>毗邻道路的类型与等级</v>
      </c>
      <c r="R25" s="717" t="s">
        <v>17</v>
      </c>
      <c r="S25" s="718">
        <f>F25</f>
        <v>100</v>
      </c>
      <c r="T25" s="717" t="s">
        <v>17</v>
      </c>
      <c r="U25" s="718">
        <f>H25</f>
        <v>100</v>
      </c>
      <c r="V25" s="717" t="s">
        <v>17</v>
      </c>
      <c r="W25" s="718">
        <f>J25</f>
        <v>100</v>
      </c>
      <c r="X25" s="1740"/>
      <c r="Y25" s="3307"/>
      <c r="Z25" s="1741" t="str">
        <f>Q25</f>
        <v>毗邻道路的类型与等级</v>
      </c>
      <c r="AA25" s="1738">
        <f t="shared" si="3"/>
        <v>1</v>
      </c>
      <c r="AB25" s="1738">
        <f t="shared" si="4"/>
        <v>1</v>
      </c>
      <c r="AC25" s="2537">
        <f t="shared" si="5"/>
        <v>1</v>
      </c>
    </row>
    <row r="26" spans="1:29" ht="15">
      <c r="A26" s="347"/>
      <c r="B26" s="575"/>
      <c r="C26" s="577"/>
      <c r="D26" s="378"/>
      <c r="E26" s="559"/>
      <c r="F26" s="378"/>
      <c r="G26" s="577"/>
      <c r="H26" s="378"/>
      <c r="I26" s="559"/>
      <c r="J26" s="378"/>
      <c r="K26" s="558"/>
      <c r="L26" s="1086"/>
      <c r="M26" s="1077"/>
      <c r="N26" s="1077"/>
      <c r="O26" s="1077"/>
      <c r="P26" s="3356"/>
      <c r="Q26" s="1737"/>
      <c r="R26" s="717"/>
      <c r="S26" s="718"/>
      <c r="T26" s="717"/>
      <c r="U26" s="718"/>
      <c r="V26" s="717"/>
      <c r="W26" s="718"/>
      <c r="X26" s="1740"/>
      <c r="Y26" s="3307"/>
      <c r="Z26" s="1741"/>
      <c r="AA26" s="1738">
        <v>1</v>
      </c>
      <c r="AB26" s="1738">
        <v>1</v>
      </c>
      <c r="AC26" s="2537">
        <v>1</v>
      </c>
    </row>
    <row r="27" spans="1:29" ht="15">
      <c r="A27" s="371"/>
      <c r="B27" s="575" t="s">
        <v>2530</v>
      </c>
      <c r="C27" s="577"/>
      <c r="D27" s="378">
        <v>100</v>
      </c>
      <c r="E27" s="559"/>
      <c r="F27" s="378">
        <f>SUMIF(89:89,E27,90:90)-SUMIF(89:89,C27,90:90)+100</f>
        <v>100</v>
      </c>
      <c r="G27" s="577"/>
      <c r="H27" s="378">
        <f>SUMIF(89:89,G27,90:90)-SUMIF(89:89,C27,90:90)+100</f>
        <v>100</v>
      </c>
      <c r="I27" s="559"/>
      <c r="J27" s="378">
        <f>SUMIF(89:89,I27,90:90)-SUMIF(89:89,C27,90:90)+100</f>
        <v>100</v>
      </c>
      <c r="K27" s="555"/>
      <c r="L27" s="1086"/>
      <c r="M27" s="1077"/>
      <c r="N27" s="1077"/>
      <c r="O27" s="1077"/>
      <c r="P27" s="3356"/>
      <c r="Q27" s="1737" t="str">
        <f t="shared" ref="Q27:Q47" si="11">B27</f>
        <v>楼层</v>
      </c>
      <c r="R27" s="717" t="s">
        <v>17</v>
      </c>
      <c r="S27" s="718">
        <f>F27</f>
        <v>100</v>
      </c>
      <c r="T27" s="717" t="s">
        <v>17</v>
      </c>
      <c r="U27" s="718">
        <f>H27</f>
        <v>100</v>
      </c>
      <c r="V27" s="717" t="s">
        <v>17</v>
      </c>
      <c r="W27" s="718">
        <f>J27</f>
        <v>100</v>
      </c>
      <c r="X27" s="1740"/>
      <c r="Y27" s="3307"/>
      <c r="Z27" s="1741" t="str">
        <f>Q27</f>
        <v>楼层</v>
      </c>
      <c r="AA27" s="1738">
        <f t="shared" si="3"/>
        <v>1</v>
      </c>
      <c r="AB27" s="1738">
        <f t="shared" si="4"/>
        <v>1</v>
      </c>
      <c r="AC27" s="2537">
        <f t="shared" si="5"/>
        <v>1</v>
      </c>
    </row>
    <row r="28" spans="1:29" s="72" customFormat="1" ht="15">
      <c r="A28" s="374"/>
      <c r="B28" s="574" t="s">
        <v>2563</v>
      </c>
      <c r="C28" s="2540"/>
      <c r="D28" s="405">
        <v>100</v>
      </c>
      <c r="E28" s="2528"/>
      <c r="F28" s="405">
        <f>SUMIF(91:91,E28,92:92)-SUMIF(91:91,C28,92:92)+100</f>
        <v>100</v>
      </c>
      <c r="G28" s="2540"/>
      <c r="H28" s="405">
        <f>SUMIF(91:91,G28,92:92)-SUMIF(91:91,C28,92:92)+100</f>
        <v>100</v>
      </c>
      <c r="I28" s="2528"/>
      <c r="J28" s="405">
        <f>SUMIF(91:91,I28,92:92)-SUMIF(91:91,C28,92:92)+100</f>
        <v>100</v>
      </c>
      <c r="K28" s="555"/>
      <c r="L28" s="1078"/>
      <c r="M28" s="1079"/>
      <c r="N28" s="1079"/>
      <c r="O28" s="1079"/>
      <c r="P28" s="3356"/>
      <c r="Q28" s="1723" t="str">
        <f t="shared" si="11"/>
        <v>朝向</v>
      </c>
      <c r="R28" s="713" t="s">
        <v>17</v>
      </c>
      <c r="S28" s="714">
        <f>F28</f>
        <v>100</v>
      </c>
      <c r="T28" s="713" t="s">
        <v>17</v>
      </c>
      <c r="U28" s="714">
        <f>H28</f>
        <v>100</v>
      </c>
      <c r="V28" s="713" t="s">
        <v>17</v>
      </c>
      <c r="W28" s="714">
        <f>J28</f>
        <v>100</v>
      </c>
      <c r="X28" s="715"/>
      <c r="Y28" s="3307"/>
      <c r="Z28" s="54" t="str">
        <f>Q28</f>
        <v>朝向</v>
      </c>
      <c r="AA28" s="1738">
        <f>D28/F28</f>
        <v>1</v>
      </c>
      <c r="AB28" s="1738">
        <f>D28/H28</f>
        <v>1</v>
      </c>
      <c r="AC28" s="2537">
        <f>D28/J28</f>
        <v>1</v>
      </c>
    </row>
    <row r="29" spans="1:29" ht="15">
      <c r="A29" s="371"/>
      <c r="B29" s="2541">
        <v>111</v>
      </c>
      <c r="C29" s="2480"/>
      <c r="D29" s="378">
        <v>100</v>
      </c>
      <c r="E29" s="375"/>
      <c r="F29" s="378">
        <f>SUMIF(93:93,E29,94:94)-SUMIF(93:93,C29,94:94)+100</f>
        <v>100</v>
      </c>
      <c r="G29" s="2535"/>
      <c r="H29" s="378">
        <f>SUMIF(93:93,G29,94:94)-SUMIF(93:93,C29,94:94)+100</f>
        <v>100</v>
      </c>
      <c r="I29" s="375"/>
      <c r="J29" s="378">
        <f>SUMIF(93:93,I29,94:94)-SUMIF(93:93,C29,94:94)+100</f>
        <v>100</v>
      </c>
      <c r="K29" s="556"/>
      <c r="L29" s="1086"/>
      <c r="M29" s="1077"/>
      <c r="N29" s="1077"/>
      <c r="O29" s="1077"/>
      <c r="P29" s="3356"/>
      <c r="Q29" s="1737">
        <f t="shared" si="11"/>
        <v>111</v>
      </c>
      <c r="R29" s="717" t="s">
        <v>17</v>
      </c>
      <c r="S29" s="718">
        <f t="shared" ref="S29:S47" si="12">F29</f>
        <v>100</v>
      </c>
      <c r="T29" s="717" t="s">
        <v>17</v>
      </c>
      <c r="U29" s="718">
        <f t="shared" ref="U29:U47" si="13">H29</f>
        <v>100</v>
      </c>
      <c r="V29" s="717" t="s">
        <v>17</v>
      </c>
      <c r="W29" s="718">
        <f t="shared" ref="W29:W47" si="14">J29</f>
        <v>100</v>
      </c>
      <c r="X29" s="1740"/>
      <c r="Y29" s="3307"/>
      <c r="Z29" s="1741">
        <f t="shared" ref="Z29:Z47" si="15">Q29</f>
        <v>111</v>
      </c>
      <c r="AA29" s="1738">
        <f t="shared" si="3"/>
        <v>1</v>
      </c>
      <c r="AB29" s="1738">
        <f t="shared" si="4"/>
        <v>1</v>
      </c>
      <c r="AC29" s="2537">
        <f t="shared" si="5"/>
        <v>1</v>
      </c>
    </row>
    <row r="30" spans="1:29" ht="15">
      <c r="A30" s="371"/>
      <c r="B30" s="2541">
        <v>111</v>
      </c>
      <c r="C30" s="2480"/>
      <c r="D30" s="378">
        <v>100</v>
      </c>
      <c r="E30" s="375"/>
      <c r="F30" s="378">
        <f>SUMIF(95:95,E30,96:96)-SUMIF(95:95,C30,96:96)+100</f>
        <v>100</v>
      </c>
      <c r="G30" s="2535"/>
      <c r="H30" s="378">
        <f>SUMIF(95:95,G30,96:96)-SUMIF(95:95,C30,96:96)+100</f>
        <v>100</v>
      </c>
      <c r="I30" s="375"/>
      <c r="J30" s="378">
        <f>SUMIF(95:95,I30,96:96)-SUMIF(95:95,C30,96:96)+100</f>
        <v>100</v>
      </c>
      <c r="K30" s="556"/>
      <c r="L30" s="1086"/>
      <c r="M30" s="1077"/>
      <c r="N30" s="1077"/>
      <c r="O30" s="1077"/>
      <c r="P30" s="3356"/>
      <c r="Q30" s="1737">
        <f t="shared" si="11"/>
        <v>111</v>
      </c>
      <c r="R30" s="717" t="s">
        <v>17</v>
      </c>
      <c r="S30" s="718">
        <f t="shared" si="12"/>
        <v>100</v>
      </c>
      <c r="T30" s="717" t="s">
        <v>17</v>
      </c>
      <c r="U30" s="718">
        <f t="shared" si="13"/>
        <v>100</v>
      </c>
      <c r="V30" s="717" t="s">
        <v>17</v>
      </c>
      <c r="W30" s="718">
        <f t="shared" si="14"/>
        <v>100</v>
      </c>
      <c r="X30" s="1740"/>
      <c r="Y30" s="3307"/>
      <c r="Z30" s="1741">
        <f t="shared" si="15"/>
        <v>111</v>
      </c>
      <c r="AA30" s="1738">
        <f t="shared" si="3"/>
        <v>1</v>
      </c>
      <c r="AB30" s="1738">
        <f t="shared" si="4"/>
        <v>1</v>
      </c>
      <c r="AC30" s="2537">
        <f t="shared" si="5"/>
        <v>1</v>
      </c>
    </row>
    <row r="31" spans="1:29" ht="15">
      <c r="A31" s="371"/>
      <c r="B31" s="2541">
        <v>111</v>
      </c>
      <c r="C31" s="2480"/>
      <c r="D31" s="378">
        <v>100</v>
      </c>
      <c r="E31" s="375"/>
      <c r="F31" s="378">
        <f>SUMIF(97:97,E31,98:98)-SUMIF(97:97,C31,98:98)+100</f>
        <v>100</v>
      </c>
      <c r="G31" s="2535"/>
      <c r="H31" s="378">
        <f>SUMIF(97:97,G31,98:98)-SUMIF(97:97,C31,98:98)+100</f>
        <v>100</v>
      </c>
      <c r="I31" s="375"/>
      <c r="J31" s="378">
        <f>SUMIF(97:97,I31,98:98)-SUMIF(97:97,C31,98:98)+100</f>
        <v>100</v>
      </c>
      <c r="K31" s="556"/>
      <c r="L31" s="1086"/>
      <c r="M31" s="1077"/>
      <c r="N31" s="1077"/>
      <c r="O31" s="1077"/>
      <c r="P31" s="3356"/>
      <c r="Q31" s="1737">
        <f t="shared" si="11"/>
        <v>111</v>
      </c>
      <c r="R31" s="717" t="s">
        <v>17</v>
      </c>
      <c r="S31" s="718">
        <f t="shared" si="12"/>
        <v>100</v>
      </c>
      <c r="T31" s="717" t="s">
        <v>17</v>
      </c>
      <c r="U31" s="718">
        <f t="shared" si="13"/>
        <v>100</v>
      </c>
      <c r="V31" s="717" t="s">
        <v>17</v>
      </c>
      <c r="W31" s="718">
        <f t="shared" si="14"/>
        <v>100</v>
      </c>
      <c r="X31" s="1740"/>
      <c r="Y31" s="3307"/>
      <c r="Z31" s="1741">
        <f t="shared" si="15"/>
        <v>111</v>
      </c>
      <c r="AA31" s="1738">
        <f t="shared" si="3"/>
        <v>1</v>
      </c>
      <c r="AB31" s="1738">
        <f t="shared" si="4"/>
        <v>1</v>
      </c>
      <c r="AC31" s="2537">
        <f t="shared" si="5"/>
        <v>1</v>
      </c>
    </row>
    <row r="32" spans="1:29" ht="15.75" thickBot="1">
      <c r="A32" s="379"/>
      <c r="B32" s="578">
        <v>111</v>
      </c>
      <c r="C32" s="2481"/>
      <c r="D32" s="381">
        <v>100</v>
      </c>
      <c r="E32" s="571"/>
      <c r="F32" s="381">
        <f>SUMIF(99:99,E32,100:100)-SUMIF(99:99,C32,100:100)+100</f>
        <v>100</v>
      </c>
      <c r="G32" s="2535"/>
      <c r="H32" s="381">
        <f>SUMIF(99:99,G32,100:100)-SUMIF(99:99,C32,100:100)+100</f>
        <v>100</v>
      </c>
      <c r="I32" s="375"/>
      <c r="J32" s="381">
        <f>SUMIF(99:99,I32,100:100)-SUMIF(99:99,C32,100:100)+100</f>
        <v>100</v>
      </c>
      <c r="K32" s="556"/>
      <c r="L32" s="1086"/>
      <c r="M32" s="1077"/>
      <c r="N32" s="1077"/>
      <c r="O32" s="1077"/>
      <c r="P32" s="3356"/>
      <c r="Q32" s="1737">
        <f t="shared" si="11"/>
        <v>111</v>
      </c>
      <c r="R32" s="717" t="s">
        <v>17</v>
      </c>
      <c r="S32" s="718">
        <f t="shared" si="12"/>
        <v>100</v>
      </c>
      <c r="T32" s="717" t="s">
        <v>17</v>
      </c>
      <c r="U32" s="718">
        <f t="shared" si="13"/>
        <v>100</v>
      </c>
      <c r="V32" s="717" t="s">
        <v>17</v>
      </c>
      <c r="W32" s="718">
        <f t="shared" si="14"/>
        <v>100</v>
      </c>
      <c r="X32" s="1740"/>
      <c r="Y32" s="3307"/>
      <c r="Z32" s="1741">
        <f t="shared" si="15"/>
        <v>111</v>
      </c>
      <c r="AA32" s="1738">
        <f t="shared" si="3"/>
        <v>1</v>
      </c>
      <c r="AB32" s="1738">
        <f t="shared" si="4"/>
        <v>1</v>
      </c>
      <c r="AC32" s="2537">
        <f t="shared" si="5"/>
        <v>1</v>
      </c>
    </row>
    <row r="33" spans="1:29" ht="15">
      <c r="A33" s="383" t="s">
        <v>2434</v>
      </c>
      <c r="B33" s="70" t="s">
        <v>2564</v>
      </c>
      <c r="C33" s="2542"/>
      <c r="D33" s="410">
        <v>100</v>
      </c>
      <c r="E33" s="2542"/>
      <c r="F33" s="404">
        <f>SUMIF(101:101,E33,102:102)-SUMIF(101:101,C33,102:102)+100</f>
        <v>100</v>
      </c>
      <c r="G33" s="2542"/>
      <c r="H33" s="378">
        <f>SUMIF(101:101,G33,102:102)-SUMIF(101:101,C33,102:102)+100</f>
        <v>100</v>
      </c>
      <c r="I33" s="2542"/>
      <c r="J33" s="410">
        <f>SUMIF(101:101,I33,102:102)-SUMIF(101:101,C33,102:102)+100</f>
        <v>100</v>
      </c>
      <c r="K33" s="555"/>
      <c r="L33" s="1086"/>
      <c r="M33" s="1077"/>
      <c r="N33" s="1077"/>
      <c r="O33" s="1077"/>
      <c r="P33" s="3351" t="s">
        <v>2436</v>
      </c>
      <c r="Q33" s="1737" t="str">
        <f t="shared" si="11"/>
        <v>建筑类型</v>
      </c>
      <c r="R33" s="717" t="s">
        <v>17</v>
      </c>
      <c r="S33" s="718">
        <f t="shared" si="12"/>
        <v>100</v>
      </c>
      <c r="T33" s="717" t="s">
        <v>17</v>
      </c>
      <c r="U33" s="718">
        <f t="shared" si="13"/>
        <v>100</v>
      </c>
      <c r="V33" s="717" t="s">
        <v>17</v>
      </c>
      <c r="W33" s="718">
        <f t="shared" si="14"/>
        <v>100</v>
      </c>
      <c r="X33" s="1740"/>
      <c r="Y33" s="3309" t="s">
        <v>2436</v>
      </c>
      <c r="Z33" s="1741" t="str">
        <f t="shared" si="15"/>
        <v>建筑类型</v>
      </c>
      <c r="AA33" s="1738">
        <f t="shared" si="3"/>
        <v>1</v>
      </c>
      <c r="AB33" s="1738">
        <f t="shared" si="4"/>
        <v>1</v>
      </c>
      <c r="AC33" s="2537">
        <f t="shared" si="5"/>
        <v>1</v>
      </c>
    </row>
    <row r="34" spans="1:29" s="414" customFormat="1" ht="15">
      <c r="A34" s="411"/>
      <c r="B34" s="365" t="s">
        <v>2437</v>
      </c>
      <c r="C34" s="412"/>
      <c r="D34" s="79">
        <v>100</v>
      </c>
      <c r="E34" s="373"/>
      <c r="F34" s="368" t="e">
        <f>LOOKUP(E34,104:104,105:105)-LOOKUP(C34,104:104,105:105)+100</f>
        <v>#N/A</v>
      </c>
      <c r="G34" s="372"/>
      <c r="H34" s="79" t="e">
        <f>LOOKUP(G34,104:104,105:105)-LOOKUP(C34,104:104,105:105)+100</f>
        <v>#N/A</v>
      </c>
      <c r="I34" s="372"/>
      <c r="J34" s="79" t="e">
        <f>LOOKUP(I34,104:104,105:105)-LOOKUP(C34,104:104,105:105)+100</f>
        <v>#N/A</v>
      </c>
      <c r="K34" s="556"/>
      <c r="L34" s="1084"/>
      <c r="M34" s="1087"/>
      <c r="N34" s="1087"/>
      <c r="O34" s="1087"/>
      <c r="P34" s="3352"/>
      <c r="Q34" s="719" t="str">
        <f t="shared" si="11"/>
        <v>项目建筑规模</v>
      </c>
      <c r="R34" s="720" t="s">
        <v>17</v>
      </c>
      <c r="S34" s="721" t="e">
        <f t="shared" si="12"/>
        <v>#N/A</v>
      </c>
      <c r="T34" s="720" t="s">
        <v>17</v>
      </c>
      <c r="U34" s="721" t="e">
        <f t="shared" si="13"/>
        <v>#N/A</v>
      </c>
      <c r="V34" s="720" t="s">
        <v>17</v>
      </c>
      <c r="W34" s="721" t="e">
        <f t="shared" si="14"/>
        <v>#N/A</v>
      </c>
      <c r="X34" s="722"/>
      <c r="Y34" s="3309"/>
      <c r="Z34" s="723" t="str">
        <f t="shared" si="15"/>
        <v>项目建筑规模</v>
      </c>
      <c r="AA34" s="1738" t="e">
        <f t="shared" si="3"/>
        <v>#N/A</v>
      </c>
      <c r="AB34" s="1738" t="e">
        <f t="shared" si="4"/>
        <v>#N/A</v>
      </c>
      <c r="AC34" s="2537" t="e">
        <f t="shared" si="5"/>
        <v>#N/A</v>
      </c>
    </row>
    <row r="35" spans="1:29" ht="15">
      <c r="A35" s="415"/>
      <c r="B35" s="365" t="s">
        <v>2438</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86"/>
      <c r="M35" s="1077"/>
      <c r="N35" s="1077"/>
      <c r="O35" s="1077"/>
      <c r="P35" s="3352"/>
      <c r="Q35" s="1737" t="str">
        <f t="shared" si="11"/>
        <v>建筑结构</v>
      </c>
      <c r="R35" s="717" t="s">
        <v>17</v>
      </c>
      <c r="S35" s="718">
        <f t="shared" si="12"/>
        <v>100</v>
      </c>
      <c r="T35" s="717" t="s">
        <v>17</v>
      </c>
      <c r="U35" s="718">
        <f t="shared" si="13"/>
        <v>100</v>
      </c>
      <c r="V35" s="717" t="s">
        <v>17</v>
      </c>
      <c r="W35" s="718">
        <f t="shared" si="14"/>
        <v>100</v>
      </c>
      <c r="X35" s="1740"/>
      <c r="Y35" s="3309"/>
      <c r="Z35" s="1741" t="str">
        <f t="shared" si="15"/>
        <v>建筑结构</v>
      </c>
      <c r="AA35" s="1738">
        <f t="shared" si="3"/>
        <v>1</v>
      </c>
      <c r="AB35" s="1738">
        <f t="shared" si="4"/>
        <v>1</v>
      </c>
      <c r="AC35" s="2537">
        <f t="shared" si="5"/>
        <v>1</v>
      </c>
    </row>
    <row r="36" spans="1:29" ht="15">
      <c r="A36" s="415"/>
      <c r="B36" s="365" t="s">
        <v>2532</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86"/>
      <c r="M36" s="1077"/>
      <c r="N36" s="1077"/>
      <c r="O36" s="1077"/>
      <c r="P36" s="3352"/>
      <c r="Q36" s="1737" t="str">
        <f t="shared" si="11"/>
        <v>公共部分装修</v>
      </c>
      <c r="R36" s="717" t="s">
        <v>17</v>
      </c>
      <c r="S36" s="718">
        <f t="shared" si="12"/>
        <v>100</v>
      </c>
      <c r="T36" s="717" t="s">
        <v>17</v>
      </c>
      <c r="U36" s="718">
        <f t="shared" si="13"/>
        <v>100</v>
      </c>
      <c r="V36" s="717" t="s">
        <v>17</v>
      </c>
      <c r="W36" s="718">
        <f t="shared" si="14"/>
        <v>100</v>
      </c>
      <c r="X36" s="1740"/>
      <c r="Y36" s="3309"/>
      <c r="Z36" s="1741" t="str">
        <f t="shared" si="15"/>
        <v>公共部分装修</v>
      </c>
      <c r="AA36" s="1738">
        <f t="shared" si="3"/>
        <v>1</v>
      </c>
      <c r="AB36" s="1738">
        <f t="shared" si="4"/>
        <v>1</v>
      </c>
      <c r="AC36" s="2537">
        <f t="shared" si="5"/>
        <v>1</v>
      </c>
    </row>
    <row r="37" spans="1:29" ht="15">
      <c r="A37" s="415"/>
      <c r="B37" s="365" t="s">
        <v>2533</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86"/>
      <c r="M37" s="1077"/>
      <c r="N37" s="1077"/>
      <c r="O37" s="1077"/>
      <c r="P37" s="3352"/>
      <c r="Q37" s="1737" t="str">
        <f t="shared" si="11"/>
        <v>成新度</v>
      </c>
      <c r="R37" s="717" t="s">
        <v>17</v>
      </c>
      <c r="S37" s="718" t="e">
        <f t="shared" si="12"/>
        <v>#N/A</v>
      </c>
      <c r="T37" s="717" t="s">
        <v>17</v>
      </c>
      <c r="U37" s="718" t="e">
        <f t="shared" si="13"/>
        <v>#N/A</v>
      </c>
      <c r="V37" s="717" t="s">
        <v>17</v>
      </c>
      <c r="W37" s="718" t="e">
        <f t="shared" si="14"/>
        <v>#N/A</v>
      </c>
      <c r="X37" s="1740"/>
      <c r="Y37" s="3309"/>
      <c r="Z37" s="1741" t="str">
        <f t="shared" si="15"/>
        <v>成新度</v>
      </c>
      <c r="AA37" s="1738" t="e">
        <f t="shared" si="3"/>
        <v>#N/A</v>
      </c>
      <c r="AB37" s="1738" t="e">
        <f t="shared" si="4"/>
        <v>#N/A</v>
      </c>
      <c r="AC37" s="2537" t="e">
        <f t="shared" si="5"/>
        <v>#N/A</v>
      </c>
    </row>
    <row r="38" spans="1:29" s="72" customFormat="1" ht="15">
      <c r="A38" s="416"/>
      <c r="B38" s="365" t="s">
        <v>2565</v>
      </c>
      <c r="C38" s="403"/>
      <c r="D38" s="79">
        <v>100</v>
      </c>
      <c r="E38" s="403"/>
      <c r="F38" s="404">
        <f>SUMIF(113:113,E38,114:114)-SUMIF(113:113,C38,114:114)+100</f>
        <v>100</v>
      </c>
      <c r="G38" s="403"/>
      <c r="H38" s="378">
        <f>SUMIF(113:113,G38,114:114)-SUMIF(113:113,C38,114:114)+100</f>
        <v>100</v>
      </c>
      <c r="I38" s="403"/>
      <c r="J38" s="378">
        <f>SUMIF(113:113,I38,114:114)-SUMIF(113:113,C38,114:114)+100</f>
        <v>100</v>
      </c>
      <c r="K38" s="555"/>
      <c r="L38" s="1078"/>
      <c r="M38" s="1079"/>
      <c r="N38" s="1079"/>
      <c r="O38" s="1079"/>
      <c r="P38" s="3352"/>
      <c r="Q38" s="1723" t="str">
        <f t="shared" si="11"/>
        <v>写字楼等级</v>
      </c>
      <c r="R38" s="713" t="s">
        <v>17</v>
      </c>
      <c r="S38" s="714">
        <f t="shared" si="12"/>
        <v>100</v>
      </c>
      <c r="T38" s="713" t="s">
        <v>17</v>
      </c>
      <c r="U38" s="714">
        <f t="shared" si="13"/>
        <v>100</v>
      </c>
      <c r="V38" s="713" t="s">
        <v>17</v>
      </c>
      <c r="W38" s="714">
        <f t="shared" si="14"/>
        <v>100</v>
      </c>
      <c r="X38" s="715"/>
      <c r="Y38" s="3309"/>
      <c r="Z38" s="54" t="str">
        <f t="shared" si="15"/>
        <v>写字楼等级</v>
      </c>
      <c r="AA38" s="716">
        <f t="shared" si="3"/>
        <v>1</v>
      </c>
      <c r="AB38" s="716">
        <f t="shared" si="4"/>
        <v>1</v>
      </c>
      <c r="AC38" s="2534">
        <f t="shared" si="5"/>
        <v>1</v>
      </c>
    </row>
    <row r="39" spans="1:29" ht="15">
      <c r="A39" s="415"/>
      <c r="B39" s="365" t="s">
        <v>2566</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86"/>
      <c r="M39" s="1077"/>
      <c r="N39" s="1077"/>
      <c r="O39" s="1077"/>
      <c r="P39" s="3352" t="s">
        <v>2436</v>
      </c>
      <c r="Q39" s="1737" t="str">
        <f t="shared" si="11"/>
        <v>物业管理</v>
      </c>
      <c r="R39" s="717" t="s">
        <v>17</v>
      </c>
      <c r="S39" s="718">
        <f t="shared" si="12"/>
        <v>100</v>
      </c>
      <c r="T39" s="717" t="s">
        <v>17</v>
      </c>
      <c r="U39" s="718">
        <f t="shared" si="13"/>
        <v>100</v>
      </c>
      <c r="V39" s="717" t="s">
        <v>17</v>
      </c>
      <c r="W39" s="718">
        <f t="shared" si="14"/>
        <v>100</v>
      </c>
      <c r="X39" s="1740"/>
      <c r="Y39" s="3309" t="s">
        <v>2436</v>
      </c>
      <c r="Z39" s="1741" t="str">
        <f t="shared" si="15"/>
        <v>物业管理</v>
      </c>
      <c r="AA39" s="1738">
        <f t="shared" si="3"/>
        <v>1</v>
      </c>
      <c r="AB39" s="1738">
        <f t="shared" si="4"/>
        <v>1</v>
      </c>
      <c r="AC39" s="2537">
        <f t="shared" si="5"/>
        <v>1</v>
      </c>
    </row>
    <row r="40" spans="1:29" ht="15">
      <c r="A40" s="415"/>
      <c r="B40" s="365" t="s">
        <v>2534</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86"/>
      <c r="M40" s="1077"/>
      <c r="N40" s="1077"/>
      <c r="O40" s="1077"/>
      <c r="P40" s="3352"/>
      <c r="Q40" s="1737" t="str">
        <f t="shared" si="11"/>
        <v>市政基础设施</v>
      </c>
      <c r="R40" s="717" t="s">
        <v>17</v>
      </c>
      <c r="S40" s="718">
        <f t="shared" si="12"/>
        <v>100</v>
      </c>
      <c r="T40" s="717" t="s">
        <v>17</v>
      </c>
      <c r="U40" s="718">
        <f t="shared" si="13"/>
        <v>100</v>
      </c>
      <c r="V40" s="717" t="s">
        <v>17</v>
      </c>
      <c r="W40" s="718">
        <f t="shared" si="14"/>
        <v>100</v>
      </c>
      <c r="X40" s="1740"/>
      <c r="Y40" s="3309"/>
      <c r="Z40" s="1741" t="str">
        <f t="shared" si="15"/>
        <v>市政基础设施</v>
      </c>
      <c r="AA40" s="1738">
        <f t="shared" si="3"/>
        <v>1</v>
      </c>
      <c r="AB40" s="1738">
        <f t="shared" si="4"/>
        <v>1</v>
      </c>
      <c r="AC40" s="2537">
        <f t="shared" si="5"/>
        <v>1</v>
      </c>
    </row>
    <row r="41" spans="1:29" ht="15">
      <c r="A41" s="415"/>
      <c r="B41" s="365" t="s">
        <v>2536</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86"/>
      <c r="M41" s="1077"/>
      <c r="N41" s="1077"/>
      <c r="O41" s="1077"/>
      <c r="P41" s="3352"/>
      <c r="Q41" s="1737" t="str">
        <f t="shared" si="11"/>
        <v>层高</v>
      </c>
      <c r="R41" s="717" t="s">
        <v>17</v>
      </c>
      <c r="S41" s="718">
        <f t="shared" si="12"/>
        <v>100</v>
      </c>
      <c r="T41" s="717" t="s">
        <v>17</v>
      </c>
      <c r="U41" s="718">
        <f t="shared" si="13"/>
        <v>100</v>
      </c>
      <c r="V41" s="717" t="s">
        <v>17</v>
      </c>
      <c r="W41" s="718">
        <f t="shared" si="14"/>
        <v>100</v>
      </c>
      <c r="X41" s="1740"/>
      <c r="Y41" s="3309"/>
      <c r="Z41" s="1741" t="str">
        <f t="shared" si="15"/>
        <v>层高</v>
      </c>
      <c r="AA41" s="1738">
        <f t="shared" si="3"/>
        <v>1</v>
      </c>
      <c r="AB41" s="1738">
        <f t="shared" si="4"/>
        <v>1</v>
      </c>
      <c r="AC41" s="2537">
        <f t="shared" si="5"/>
        <v>1</v>
      </c>
    </row>
    <row r="42" spans="1:29" s="414" customFormat="1" ht="15">
      <c r="A42" s="411"/>
      <c r="B42" s="1739" t="s">
        <v>2567</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84"/>
      <c r="M42" s="1087"/>
      <c r="N42" s="1087"/>
      <c r="O42" s="1087"/>
      <c r="P42" s="3352"/>
      <c r="Q42" s="719" t="str">
        <f t="shared" si="11"/>
        <v>单套建筑面积</v>
      </c>
      <c r="R42" s="720" t="s">
        <v>17</v>
      </c>
      <c r="S42" s="721">
        <f t="shared" si="12"/>
        <v>100</v>
      </c>
      <c r="T42" s="720" t="s">
        <v>17</v>
      </c>
      <c r="U42" s="721">
        <f t="shared" si="13"/>
        <v>100</v>
      </c>
      <c r="V42" s="720" t="s">
        <v>17</v>
      </c>
      <c r="W42" s="721">
        <f t="shared" si="14"/>
        <v>100</v>
      </c>
      <c r="X42" s="722"/>
      <c r="Y42" s="3309"/>
      <c r="Z42" s="723" t="str">
        <f t="shared" si="15"/>
        <v>单套建筑面积</v>
      </c>
      <c r="AA42" s="1738">
        <f t="shared" si="3"/>
        <v>1</v>
      </c>
      <c r="AB42" s="1738">
        <f t="shared" si="4"/>
        <v>1</v>
      </c>
      <c r="AC42" s="2537">
        <f t="shared" si="5"/>
        <v>1</v>
      </c>
    </row>
    <row r="43" spans="1:29" ht="15">
      <c r="A43" s="415"/>
      <c r="B43" s="365" t="s">
        <v>2539</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86"/>
      <c r="M43" s="1077"/>
      <c r="N43" s="1077"/>
      <c r="O43" s="1077"/>
      <c r="P43" s="3352"/>
      <c r="Q43" s="1737" t="str">
        <f t="shared" si="11"/>
        <v>内部装修</v>
      </c>
      <c r="R43" s="717" t="s">
        <v>17</v>
      </c>
      <c r="S43" s="718">
        <f t="shared" si="12"/>
        <v>100</v>
      </c>
      <c r="T43" s="717" t="s">
        <v>17</v>
      </c>
      <c r="U43" s="718">
        <f t="shared" si="13"/>
        <v>100</v>
      </c>
      <c r="V43" s="717" t="s">
        <v>17</v>
      </c>
      <c r="W43" s="718">
        <f t="shared" si="14"/>
        <v>100</v>
      </c>
      <c r="X43" s="1740"/>
      <c r="Y43" s="3309"/>
      <c r="Z43" s="1741" t="str">
        <f t="shared" si="15"/>
        <v>内部装修</v>
      </c>
      <c r="AA43" s="1738">
        <f t="shared" si="3"/>
        <v>1</v>
      </c>
      <c r="AB43" s="1738">
        <f t="shared" si="4"/>
        <v>1</v>
      </c>
      <c r="AC43" s="2537">
        <f t="shared" si="5"/>
        <v>1</v>
      </c>
    </row>
    <row r="44" spans="1:29" ht="15">
      <c r="A44" s="415"/>
      <c r="B44" s="365" t="s">
        <v>2447</v>
      </c>
      <c r="C44" s="403"/>
      <c r="D44" s="378">
        <v>100</v>
      </c>
      <c r="E44" s="2478"/>
      <c r="F44" s="404">
        <f>SUMIF(125:125,E44,126:126)-SUMIF(125:125,C44,126:126)+100</f>
        <v>100</v>
      </c>
      <c r="G44" s="2478"/>
      <c r="H44" s="378">
        <f>SUMIF(125:125,G44,126:126)-SUMIF(125:125,C44,126:126)+100</f>
        <v>100</v>
      </c>
      <c r="I44" s="2478"/>
      <c r="J44" s="378">
        <f>SUMIF(125:125,I44,126:126)-SUMIF(125:125,C44,126:126)+100</f>
        <v>100</v>
      </c>
      <c r="K44" s="555"/>
      <c r="L44" s="1086"/>
      <c r="M44" s="1077"/>
      <c r="N44" s="1077"/>
      <c r="O44" s="1077"/>
      <c r="P44" s="3352"/>
      <c r="Q44" s="1737" t="str">
        <f t="shared" si="11"/>
        <v>内部装修维护情况</v>
      </c>
      <c r="R44" s="717" t="s">
        <v>17</v>
      </c>
      <c r="S44" s="718">
        <f t="shared" si="12"/>
        <v>100</v>
      </c>
      <c r="T44" s="717" t="s">
        <v>17</v>
      </c>
      <c r="U44" s="718">
        <f t="shared" si="13"/>
        <v>100</v>
      </c>
      <c r="V44" s="717" t="s">
        <v>17</v>
      </c>
      <c r="W44" s="718">
        <f t="shared" si="14"/>
        <v>100</v>
      </c>
      <c r="X44" s="1740"/>
      <c r="Y44" s="3309"/>
      <c r="Z44" s="1741" t="str">
        <f t="shared" si="15"/>
        <v>内部装修维护情况</v>
      </c>
      <c r="AA44" s="1738">
        <f t="shared" si="3"/>
        <v>1</v>
      </c>
      <c r="AB44" s="1738">
        <f t="shared" si="4"/>
        <v>1</v>
      </c>
      <c r="AC44" s="2537">
        <f t="shared" si="5"/>
        <v>1</v>
      </c>
    </row>
    <row r="45" spans="1:29" s="72" customFormat="1" ht="15">
      <c r="A45" s="416"/>
      <c r="B45" s="1318">
        <v>111</v>
      </c>
      <c r="C45" s="412"/>
      <c r="D45" s="79">
        <v>100</v>
      </c>
      <c r="E45" s="375"/>
      <c r="F45" s="368">
        <f>SUMIF(127:127,E45,128:128)-SUMIF(127:127,C45,128:128)+100</f>
        <v>100</v>
      </c>
      <c r="G45" s="375"/>
      <c r="H45" s="79">
        <f>SUMIF(127:127,G45,128:128)-SUMIF(127:127,C45,128:128)+100</f>
        <v>100</v>
      </c>
      <c r="I45" s="375"/>
      <c r="J45" s="79">
        <f>SUMIF(127:127,I45,128:128)-SUMIF(127:127,C45,128:128)+100</f>
        <v>100</v>
      </c>
      <c r="K45" s="556"/>
      <c r="L45" s="1078"/>
      <c r="M45" s="1079"/>
      <c r="N45" s="1079"/>
      <c r="O45" s="1079"/>
      <c r="P45" s="3352"/>
      <c r="Q45" s="1723">
        <f t="shared" si="11"/>
        <v>111</v>
      </c>
      <c r="R45" s="713" t="s">
        <v>17</v>
      </c>
      <c r="S45" s="714">
        <f t="shared" si="12"/>
        <v>100</v>
      </c>
      <c r="T45" s="713" t="s">
        <v>17</v>
      </c>
      <c r="U45" s="714">
        <f t="shared" si="13"/>
        <v>100</v>
      </c>
      <c r="V45" s="713" t="s">
        <v>17</v>
      </c>
      <c r="W45" s="714">
        <f t="shared" si="14"/>
        <v>100</v>
      </c>
      <c r="X45" s="715"/>
      <c r="Y45" s="3309"/>
      <c r="Z45" s="54">
        <f t="shared" si="15"/>
        <v>111</v>
      </c>
      <c r="AA45" s="716">
        <f t="shared" si="3"/>
        <v>1</v>
      </c>
      <c r="AB45" s="716">
        <f t="shared" si="4"/>
        <v>1</v>
      </c>
      <c r="AC45" s="2534">
        <f t="shared" si="5"/>
        <v>1</v>
      </c>
    </row>
    <row r="46" spans="1:29" ht="15">
      <c r="A46" s="415"/>
      <c r="B46" s="1318">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86"/>
      <c r="M46" s="1077"/>
      <c r="N46" s="1077"/>
      <c r="O46" s="1077"/>
      <c r="P46" s="3352"/>
      <c r="Q46" s="1737">
        <f t="shared" si="11"/>
        <v>111</v>
      </c>
      <c r="R46" s="717" t="s">
        <v>17</v>
      </c>
      <c r="S46" s="718">
        <f t="shared" si="12"/>
        <v>100</v>
      </c>
      <c r="T46" s="717" t="s">
        <v>17</v>
      </c>
      <c r="U46" s="718">
        <f t="shared" si="13"/>
        <v>100</v>
      </c>
      <c r="V46" s="717" t="s">
        <v>17</v>
      </c>
      <c r="W46" s="718">
        <f t="shared" si="14"/>
        <v>100</v>
      </c>
      <c r="X46" s="1740"/>
      <c r="Y46" s="3309"/>
      <c r="Z46" s="1741">
        <f t="shared" si="15"/>
        <v>111</v>
      </c>
      <c r="AA46" s="1738">
        <f t="shared" si="3"/>
        <v>1</v>
      </c>
      <c r="AB46" s="1738">
        <f t="shared" si="4"/>
        <v>1</v>
      </c>
      <c r="AC46" s="2537">
        <f t="shared" si="5"/>
        <v>1</v>
      </c>
    </row>
    <row r="47" spans="1:29" ht="15.75" thickBot="1">
      <c r="A47" s="421"/>
      <c r="B47" s="2467">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86"/>
      <c r="M47" s="1077"/>
      <c r="N47" s="1077"/>
      <c r="O47" s="1077"/>
      <c r="P47" s="3353"/>
      <c r="Q47" s="1737">
        <f t="shared" si="11"/>
        <v>111</v>
      </c>
      <c r="R47" s="717" t="s">
        <v>17</v>
      </c>
      <c r="S47" s="718">
        <f t="shared" si="12"/>
        <v>100</v>
      </c>
      <c r="T47" s="717" t="s">
        <v>17</v>
      </c>
      <c r="U47" s="718">
        <f t="shared" si="13"/>
        <v>100</v>
      </c>
      <c r="V47" s="717" t="s">
        <v>17</v>
      </c>
      <c r="W47" s="718">
        <f t="shared" si="14"/>
        <v>100</v>
      </c>
      <c r="X47" s="1740"/>
      <c r="Y47" s="3354"/>
      <c r="Z47" s="1741">
        <f t="shared" si="15"/>
        <v>111</v>
      </c>
      <c r="AA47" s="1738">
        <f t="shared" si="3"/>
        <v>1</v>
      </c>
      <c r="AB47" s="1738">
        <f t="shared" si="4"/>
        <v>1</v>
      </c>
      <c r="AC47" s="2537">
        <f t="shared" si="5"/>
        <v>1</v>
      </c>
    </row>
    <row r="48" spans="1:29" ht="15">
      <c r="A48" s="422" t="s">
        <v>2448</v>
      </c>
      <c r="B48" s="423"/>
      <c r="C48" s="1339" t="s">
        <v>1</v>
      </c>
      <c r="D48" s="1340"/>
      <c r="E48" s="1341"/>
      <c r="F48" s="1342"/>
      <c r="G48" s="1343"/>
      <c r="H48" s="1344"/>
      <c r="I48" s="1341"/>
      <c r="J48" s="428"/>
      <c r="K48" s="726"/>
      <c r="L48" s="1089"/>
      <c r="M48" s="1077"/>
      <c r="N48" s="1077"/>
      <c r="O48" s="1077"/>
      <c r="P48" s="3315" t="str">
        <f>A48</f>
        <v>成交单价（元/平方米）</v>
      </c>
      <c r="Q48" s="3291"/>
      <c r="R48" s="3350">
        <f>E48</f>
        <v>0</v>
      </c>
      <c r="S48" s="3350"/>
      <c r="T48" s="3350">
        <f>G48</f>
        <v>0</v>
      </c>
      <c r="U48" s="3350"/>
      <c r="V48" s="3350">
        <f>I48</f>
        <v>0</v>
      </c>
      <c r="W48" s="3350"/>
      <c r="X48" s="389"/>
      <c r="Y48" s="724"/>
      <c r="Z48" s="389"/>
      <c r="AA48" s="389"/>
      <c r="AB48" s="389"/>
      <c r="AC48" s="573"/>
    </row>
    <row r="49" spans="1:29" ht="15.75" thickBot="1">
      <c r="A49" s="429" t="s">
        <v>2540</v>
      </c>
      <c r="B49" s="430"/>
      <c r="C49" s="1345" t="e">
        <f>R50</f>
        <v>#DIV/0!</v>
      </c>
      <c r="D49" s="1346"/>
      <c r="E49" s="1347" t="e">
        <f>R49</f>
        <v>#DIV/0!</v>
      </c>
      <c r="F49" s="1347"/>
      <c r="G49" s="1345" t="e">
        <f>T49</f>
        <v>#DIV/0!</v>
      </c>
      <c r="H49" s="1346"/>
      <c r="I49" s="1347" t="e">
        <f>V49</f>
        <v>#DIV/0!</v>
      </c>
      <c r="J49" s="432"/>
      <c r="K49" s="727"/>
      <c r="L49" s="1089"/>
      <c r="M49" s="1077"/>
      <c r="N49" s="1077"/>
      <c r="O49" s="1077"/>
      <c r="P49" s="3315" t="str">
        <f>A49</f>
        <v>比较价值（元/平方米）</v>
      </c>
      <c r="Q49" s="3291"/>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9"/>
      <c r="Y49" s="389"/>
      <c r="Z49" s="389"/>
      <c r="AA49" s="389"/>
      <c r="AB49" s="389"/>
      <c r="AC49" s="573"/>
    </row>
    <row r="50" spans="1:29" ht="15.75" thickBot="1">
      <c r="A50" s="435" t="s">
        <v>2541</v>
      </c>
      <c r="B50" s="436"/>
      <c r="C50" s="1349" t="e">
        <f>R50</f>
        <v>#DIV/0!</v>
      </c>
      <c r="D50" s="1349"/>
      <c r="E50" s="1349"/>
      <c r="F50" s="1349"/>
      <c r="G50" s="1349"/>
      <c r="H50" s="1349"/>
      <c r="I50" s="1349"/>
      <c r="J50" s="437"/>
      <c r="K50" s="728"/>
      <c r="L50" s="1089"/>
      <c r="M50" s="1077"/>
      <c r="N50" s="1077"/>
      <c r="O50" s="1077"/>
      <c r="P50" s="3369" t="str">
        <f>A50</f>
        <v>估价对象XX用房的比较价值（楼面单价，元/平方米）</v>
      </c>
      <c r="Q50" s="3370"/>
      <c r="R50" s="3371" t="e">
        <f>IF(F1="售价",ROUND(AVERAGE(R49:V49),0),ROUND(AVERAGE(R49:V49),1))</f>
        <v>#DIV/0!</v>
      </c>
      <c r="S50" s="3371"/>
      <c r="T50" s="3371"/>
      <c r="U50" s="3371"/>
      <c r="V50" s="3371"/>
      <c r="W50" s="3371"/>
      <c r="X50" s="2517"/>
      <c r="Y50" s="2517"/>
      <c r="Z50" s="2517"/>
      <c r="AA50" s="2517"/>
      <c r="AB50" s="2517"/>
      <c r="AC50" s="2518"/>
    </row>
    <row r="51" spans="1:29">
      <c r="A51" s="1090"/>
      <c r="B51" s="1090"/>
      <c r="C51" s="1090"/>
      <c r="D51" s="1090"/>
      <c r="E51" s="1090"/>
      <c r="F51" s="1090"/>
      <c r="G51" s="1093"/>
      <c r="H51" s="1090"/>
      <c r="I51" s="1090"/>
      <c r="J51" s="1090"/>
      <c r="K51" s="1051"/>
      <c r="L51" s="1052"/>
      <c r="M51" s="1090"/>
      <c r="N51" s="1090"/>
      <c r="O51" s="1090"/>
    </row>
    <row r="52" spans="1:29">
      <c r="A52" s="1090"/>
      <c r="B52" s="1090"/>
      <c r="C52" s="1090"/>
      <c r="D52" s="1090"/>
      <c r="E52" s="1090"/>
      <c r="F52" s="1090"/>
      <c r="G52" s="1090"/>
      <c r="H52" s="1090"/>
      <c r="I52" s="1090"/>
      <c r="J52" s="1090"/>
      <c r="K52" s="1051"/>
      <c r="L52" s="1052"/>
      <c r="M52" s="1090"/>
      <c r="N52" s="1090"/>
      <c r="O52" s="1090"/>
    </row>
    <row r="53" spans="1:29" ht="13.5" customHeight="1">
      <c r="A53" s="1090"/>
      <c r="B53" s="1090"/>
      <c r="C53" s="440" t="s">
        <v>2542</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51"/>
      <c r="L53" s="1052"/>
      <c r="M53" s="1090"/>
      <c r="N53" s="1090"/>
      <c r="O53" s="1090"/>
    </row>
    <row r="54" spans="1:29" ht="13.5" customHeight="1">
      <c r="A54" s="1090"/>
      <c r="B54" s="1090"/>
      <c r="C54" s="440" t="s">
        <v>2543</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51"/>
      <c r="L54" s="1052"/>
      <c r="M54" s="1090"/>
      <c r="N54" s="1090"/>
      <c r="O54" s="1090"/>
    </row>
    <row r="55" spans="1:29" s="445" customFormat="1" ht="13.5" customHeight="1">
      <c r="A55" s="1091"/>
      <c r="B55" s="1091"/>
      <c r="C55" s="440" t="s">
        <v>2544</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94"/>
      <c r="L55" s="1095"/>
      <c r="M55" s="1091"/>
      <c r="N55" s="1091"/>
      <c r="O55" s="1091"/>
      <c r="P55" s="2543"/>
    </row>
    <row r="56" spans="1:29" s="445" customFormat="1">
      <c r="A56" s="1091"/>
      <c r="B56" s="1092"/>
      <c r="C56" s="1096"/>
      <c r="D56" s="1091"/>
      <c r="E56" s="1091"/>
      <c r="F56" s="1091"/>
      <c r="G56" s="1091"/>
      <c r="H56" s="1091"/>
      <c r="I56" s="1091"/>
      <c r="J56" s="1091"/>
      <c r="K56" s="1094"/>
      <c r="L56" s="1095"/>
      <c r="M56" s="1091"/>
      <c r="N56" s="1091"/>
      <c r="O56" s="1091"/>
      <c r="P56" s="2543"/>
    </row>
    <row r="57" spans="1:29">
      <c r="A57" s="1090"/>
      <c r="B57" s="1092"/>
      <c r="C57" s="1096"/>
      <c r="D57" s="1090"/>
      <c r="E57" s="1090"/>
      <c r="F57" s="1090"/>
      <c r="G57" s="1090"/>
      <c r="H57" s="1090"/>
      <c r="I57" s="1090"/>
      <c r="J57" s="1090"/>
      <c r="K57" s="1051"/>
      <c r="L57" s="1052"/>
      <c r="M57" s="1090"/>
      <c r="N57" s="1090"/>
      <c r="O57" s="1090"/>
    </row>
    <row r="58" spans="1:29" ht="21.75" thickBot="1">
      <c r="A58" s="706" t="s">
        <v>2545</v>
      </c>
      <c r="B58" s="702"/>
      <c r="C58" s="707"/>
      <c r="D58" s="707"/>
      <c r="E58" s="707"/>
      <c r="F58" s="708"/>
      <c r="G58" s="708"/>
      <c r="H58" s="707"/>
      <c r="I58" s="707"/>
      <c r="J58" s="707"/>
      <c r="K58" s="709"/>
      <c r="L58" s="1107"/>
      <c r="M58" s="1105"/>
      <c r="N58" s="1105"/>
      <c r="O58" s="1105"/>
      <c r="P58" s="2544"/>
      <c r="Q58" s="447"/>
    </row>
    <row r="59" spans="1:29" s="451" customFormat="1" ht="15">
      <c r="A59" s="448" t="s">
        <v>2419</v>
      </c>
      <c r="B59" s="449"/>
      <c r="C59" s="1504" t="str">
        <f>YEAR(C7)&amp;"-"&amp;MONTH(C7)</f>
        <v>2018-7</v>
      </c>
      <c r="D59" s="1505">
        <f>EDATE(C59,-1)</f>
        <v>43252</v>
      </c>
      <c r="E59" s="1505">
        <f>EDATE(D59,-1)</f>
        <v>43221</v>
      </c>
      <c r="F59" s="1505">
        <f t="shared" ref="F59:O59" si="16">EDATE(E59,-1)</f>
        <v>43191</v>
      </c>
      <c r="G59" s="1505">
        <f t="shared" si="16"/>
        <v>43160</v>
      </c>
      <c r="H59" s="1505">
        <f t="shared" si="16"/>
        <v>43132</v>
      </c>
      <c r="I59" s="1505">
        <f t="shared" si="16"/>
        <v>43101</v>
      </c>
      <c r="J59" s="1505">
        <f t="shared" si="16"/>
        <v>43070</v>
      </c>
      <c r="K59" s="1505">
        <f t="shared" si="16"/>
        <v>43040</v>
      </c>
      <c r="L59" s="1505">
        <f t="shared" si="16"/>
        <v>43009</v>
      </c>
      <c r="M59" s="1505">
        <f t="shared" si="16"/>
        <v>42979</v>
      </c>
      <c r="N59" s="1505">
        <f t="shared" si="16"/>
        <v>42948</v>
      </c>
      <c r="O59" s="1505">
        <f t="shared" si="16"/>
        <v>42917</v>
      </c>
      <c r="P59" s="1501"/>
    </row>
    <row r="60" spans="1:29" s="72" customFormat="1" ht="15">
      <c r="A60" s="452"/>
      <c r="B60" s="453"/>
      <c r="C60" s="1503">
        <v>100</v>
      </c>
      <c r="D60" s="455"/>
      <c r="E60" s="455"/>
      <c r="F60" s="455"/>
      <c r="G60" s="455"/>
      <c r="H60" s="455"/>
      <c r="I60" s="455"/>
      <c r="J60" s="455"/>
      <c r="K60" s="455"/>
      <c r="L60" s="455"/>
      <c r="M60" s="456"/>
      <c r="N60" s="455"/>
      <c r="O60" s="456"/>
      <c r="P60" s="2545"/>
    </row>
    <row r="61" spans="1:29" s="72" customFormat="1" ht="15.75" thickBot="1">
      <c r="A61" s="458" t="s">
        <v>2456</v>
      </c>
      <c r="B61" s="459"/>
      <c r="C61" s="460"/>
      <c r="D61" s="461"/>
      <c r="E61" s="461"/>
      <c r="F61" s="461"/>
      <c r="G61" s="461"/>
      <c r="H61" s="461"/>
      <c r="I61" s="461"/>
      <c r="J61" s="461"/>
      <c r="K61" s="461"/>
      <c r="L61" s="461"/>
      <c r="M61" s="462"/>
      <c r="N61" s="461"/>
      <c r="O61" s="462"/>
      <c r="P61" s="2545"/>
      <c r="Q61" s="447"/>
    </row>
    <row r="62" spans="1:29" s="72" customFormat="1" ht="15">
      <c r="A62" s="464" t="s">
        <v>2421</v>
      </c>
      <c r="B62" s="453"/>
      <c r="C62" s="465" t="s">
        <v>2523</v>
      </c>
      <c r="D62" s="466"/>
      <c r="E62" s="466"/>
      <c r="F62" s="466"/>
      <c r="G62" s="466"/>
      <c r="H62" s="466"/>
      <c r="I62" s="466"/>
      <c r="J62" s="466"/>
      <c r="K62" s="466"/>
      <c r="L62" s="467"/>
      <c r="M62" s="468"/>
      <c r="N62" s="1097"/>
      <c r="O62" s="1097"/>
      <c r="P62" s="2546"/>
      <c r="Q62" s="447"/>
    </row>
    <row r="63" spans="1:29" s="72" customFormat="1" ht="15.75" thickBot="1">
      <c r="A63" s="464"/>
      <c r="B63" s="453"/>
      <c r="C63" s="454">
        <v>100</v>
      </c>
      <c r="D63" s="455"/>
      <c r="E63" s="455"/>
      <c r="F63" s="455"/>
      <c r="G63" s="455"/>
      <c r="H63" s="455"/>
      <c r="I63" s="455"/>
      <c r="J63" s="455"/>
      <c r="K63" s="455"/>
      <c r="L63" s="455"/>
      <c r="M63" s="457"/>
      <c r="N63" s="1097"/>
      <c r="O63" s="1097"/>
      <c r="P63" s="2545"/>
      <c r="Q63" s="447"/>
    </row>
    <row r="64" spans="1:29">
      <c r="A64" s="470" t="s">
        <v>2459</v>
      </c>
      <c r="B64" s="471" t="s">
        <v>2425</v>
      </c>
      <c r="C64" s="472">
        <f>C9</f>
        <v>0</v>
      </c>
      <c r="D64" s="473"/>
      <c r="E64" s="473"/>
      <c r="F64" s="473"/>
      <c r="G64" s="473"/>
      <c r="H64" s="473"/>
      <c r="I64" s="473"/>
      <c r="J64" s="473"/>
      <c r="K64" s="474"/>
      <c r="L64" s="475"/>
      <c r="M64" s="476"/>
      <c r="N64" s="1098"/>
      <c r="O64" s="1098"/>
      <c r="P64" s="2547"/>
      <c r="Q64" s="447"/>
    </row>
    <row r="65" spans="1:17" ht="15.75" thickBot="1">
      <c r="A65" s="477"/>
      <c r="B65" s="478"/>
      <c r="C65" s="479">
        <v>100</v>
      </c>
      <c r="D65" s="479"/>
      <c r="E65" s="479"/>
      <c r="F65" s="479"/>
      <c r="G65" s="479"/>
      <c r="H65" s="479"/>
      <c r="I65" s="479"/>
      <c r="J65" s="479"/>
      <c r="K65" s="479"/>
      <c r="L65" s="479"/>
      <c r="M65" s="480"/>
      <c r="N65" s="1099"/>
      <c r="O65" s="1099"/>
      <c r="P65" s="2547"/>
      <c r="Q65" s="447"/>
    </row>
    <row r="66" spans="1:17" ht="27.75" thickTop="1">
      <c r="A66" s="477"/>
      <c r="B66" s="481" t="s">
        <v>2428</v>
      </c>
      <c r="C66" s="482" t="s">
        <v>2460</v>
      </c>
      <c r="D66" s="482" t="s">
        <v>2461</v>
      </c>
      <c r="E66" s="482" t="s">
        <v>2462</v>
      </c>
      <c r="F66" s="482" t="s">
        <v>2463</v>
      </c>
      <c r="G66" s="482" t="s">
        <v>2464</v>
      </c>
      <c r="H66" s="482" t="s">
        <v>2465</v>
      </c>
      <c r="I66" s="482" t="s">
        <v>2466</v>
      </c>
      <c r="J66" s="482"/>
      <c r="K66" s="483"/>
      <c r="L66" s="484"/>
      <c r="M66" s="485"/>
      <c r="N66" s="1098"/>
      <c r="O66" s="1098"/>
      <c r="P66" s="2547"/>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9"/>
      <c r="O67" s="1099"/>
      <c r="P67" s="2547"/>
      <c r="Q67" s="447"/>
    </row>
    <row r="68" spans="1:17" ht="15.75" thickTop="1">
      <c r="A68" s="477"/>
      <c r="B68" s="489" t="s">
        <v>2429</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9"/>
      <c r="O68" s="1099"/>
      <c r="P68" s="2547"/>
      <c r="Q68" s="447"/>
    </row>
    <row r="69" spans="1:17" ht="15">
      <c r="A69" s="477"/>
      <c r="B69" s="491"/>
      <c r="C69" s="492"/>
      <c r="D69" s="492"/>
      <c r="E69" s="492"/>
      <c r="F69" s="492"/>
      <c r="G69" s="492"/>
      <c r="H69" s="492"/>
      <c r="I69" s="492"/>
      <c r="J69" s="492"/>
      <c r="K69" s="493"/>
      <c r="L69" s="494"/>
      <c r="M69" s="495"/>
      <c r="N69" s="1098"/>
      <c r="O69" s="1098"/>
      <c r="P69" s="2547"/>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9"/>
      <c r="O70" s="1099"/>
      <c r="P70" s="2547"/>
      <c r="Q70" s="447"/>
    </row>
    <row r="71" spans="1:17" s="414" customFormat="1" ht="15.75" thickTop="1">
      <c r="A71" s="496"/>
      <c r="B71" s="481">
        <f>B12</f>
        <v>111</v>
      </c>
      <c r="C71" s="497"/>
      <c r="D71" s="497"/>
      <c r="E71" s="497"/>
      <c r="F71" s="497"/>
      <c r="G71" s="497"/>
      <c r="H71" s="498"/>
      <c r="I71" s="498"/>
      <c r="J71" s="498"/>
      <c r="K71" s="498"/>
      <c r="L71" s="499"/>
      <c r="M71" s="500"/>
      <c r="N71" s="1100"/>
      <c r="O71" s="1100"/>
      <c r="P71" s="2548"/>
      <c r="Q71" s="502"/>
    </row>
    <row r="72" spans="1:17" s="414" customFormat="1" ht="15.75" thickBot="1">
      <c r="A72" s="496"/>
      <c r="B72" s="486"/>
      <c r="C72" s="503"/>
      <c r="D72" s="479"/>
      <c r="E72" s="479"/>
      <c r="F72" s="479"/>
      <c r="G72" s="479"/>
      <c r="H72" s="479"/>
      <c r="I72" s="479"/>
      <c r="J72" s="479"/>
      <c r="K72" s="479"/>
      <c r="L72" s="479"/>
      <c r="M72" s="480"/>
      <c r="N72" s="1099"/>
      <c r="O72" s="1099"/>
      <c r="P72" s="2548"/>
      <c r="Q72" s="502"/>
    </row>
    <row r="73" spans="1:17" s="414" customFormat="1" ht="15.75" thickTop="1">
      <c r="A73" s="496"/>
      <c r="B73" s="481">
        <f>B13</f>
        <v>111</v>
      </c>
      <c r="C73" s="497"/>
      <c r="D73" s="497"/>
      <c r="E73" s="497"/>
      <c r="F73" s="497"/>
      <c r="G73" s="497"/>
      <c r="H73" s="498"/>
      <c r="I73" s="498"/>
      <c r="J73" s="498"/>
      <c r="K73" s="498"/>
      <c r="L73" s="499"/>
      <c r="M73" s="500"/>
      <c r="N73" s="1100"/>
      <c r="O73" s="1100"/>
      <c r="P73" s="2549"/>
      <c r="Q73" s="504"/>
    </row>
    <row r="74" spans="1:17" s="414" customFormat="1" ht="15.75" thickBot="1">
      <c r="A74" s="496"/>
      <c r="B74" s="486"/>
      <c r="C74" s="503"/>
      <c r="D74" s="503"/>
      <c r="E74" s="503"/>
      <c r="F74" s="503"/>
      <c r="G74" s="503"/>
      <c r="H74" s="505"/>
      <c r="I74" s="505"/>
      <c r="J74" s="505"/>
      <c r="K74" s="505"/>
      <c r="L74" s="505"/>
      <c r="M74" s="506"/>
      <c r="N74" s="1100"/>
      <c r="O74" s="1100"/>
      <c r="P74" s="2548"/>
      <c r="Q74" s="502"/>
    </row>
    <row r="75" spans="1:17" s="414" customFormat="1" ht="15.75" thickTop="1">
      <c r="A75" s="496"/>
      <c r="B75" s="489">
        <f>B14</f>
        <v>111</v>
      </c>
      <c r="C75" s="466"/>
      <c r="D75" s="466"/>
      <c r="E75" s="466"/>
      <c r="F75" s="466"/>
      <c r="G75" s="466"/>
      <c r="H75" s="507"/>
      <c r="I75" s="507"/>
      <c r="J75" s="507"/>
      <c r="K75" s="507"/>
      <c r="L75" s="508"/>
      <c r="M75" s="509"/>
      <c r="N75" s="1100"/>
      <c r="O75" s="1100"/>
      <c r="P75" s="2550"/>
      <c r="Q75" s="502"/>
    </row>
    <row r="76" spans="1:17" s="414" customFormat="1" ht="15.75" thickBot="1">
      <c r="A76" s="511"/>
      <c r="B76" s="512"/>
      <c r="C76" s="513"/>
      <c r="D76" s="513"/>
      <c r="E76" s="513"/>
      <c r="F76" s="513"/>
      <c r="G76" s="513"/>
      <c r="H76" s="514"/>
      <c r="I76" s="514"/>
      <c r="J76" s="514"/>
      <c r="K76" s="514"/>
      <c r="L76" s="514"/>
      <c r="M76" s="515"/>
      <c r="N76" s="1100"/>
      <c r="O76" s="1100"/>
      <c r="P76" s="2548"/>
      <c r="Q76" s="502"/>
    </row>
    <row r="77" spans="1:17">
      <c r="A77" s="470" t="s">
        <v>2430</v>
      </c>
      <c r="B77" s="471" t="s">
        <v>2568</v>
      </c>
      <c r="C77" s="516" t="s">
        <v>2468</v>
      </c>
      <c r="D77" s="516" t="s">
        <v>2469</v>
      </c>
      <c r="E77" s="516" t="s">
        <v>2470</v>
      </c>
      <c r="F77" s="516" t="s">
        <v>2471</v>
      </c>
      <c r="G77" s="516" t="s">
        <v>2472</v>
      </c>
      <c r="H77" s="472"/>
      <c r="I77" s="472"/>
      <c r="J77" s="472"/>
      <c r="K77" s="517"/>
      <c r="L77" s="518"/>
      <c r="M77" s="519"/>
      <c r="N77" s="1098"/>
      <c r="O77" s="1098"/>
      <c r="P77" s="2551"/>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9"/>
      <c r="O78" s="1099"/>
      <c r="P78" s="2547"/>
      <c r="Q78" s="447"/>
    </row>
    <row r="79" spans="1:17" ht="15.75" thickTop="1">
      <c r="A79" s="477"/>
      <c r="B79" s="481" t="s">
        <v>2473</v>
      </c>
      <c r="C79" s="521" t="s">
        <v>2468</v>
      </c>
      <c r="D79" s="521" t="s">
        <v>2469</v>
      </c>
      <c r="E79" s="521" t="s">
        <v>2470</v>
      </c>
      <c r="F79" s="521" t="s">
        <v>2471</v>
      </c>
      <c r="G79" s="521" t="s">
        <v>2472</v>
      </c>
      <c r="H79" s="482"/>
      <c r="I79" s="482"/>
      <c r="J79" s="482"/>
      <c r="K79" s="483"/>
      <c r="L79" s="484"/>
      <c r="M79" s="485"/>
      <c r="N79" s="1098"/>
      <c r="O79" s="1098"/>
      <c r="P79" s="2547"/>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9"/>
      <c r="O80" s="1099"/>
      <c r="P80" s="2547"/>
      <c r="Q80" s="447"/>
    </row>
    <row r="81" spans="1:17" ht="15.75" thickTop="1">
      <c r="A81" s="477"/>
      <c r="B81" s="481" t="s">
        <v>2474</v>
      </c>
      <c r="C81" s="521" t="s">
        <v>2468</v>
      </c>
      <c r="D81" s="521" t="s">
        <v>2469</v>
      </c>
      <c r="E81" s="521" t="s">
        <v>2470</v>
      </c>
      <c r="F81" s="521" t="s">
        <v>2471</v>
      </c>
      <c r="G81" s="521" t="s">
        <v>2472</v>
      </c>
      <c r="H81" s="482"/>
      <c r="I81" s="482"/>
      <c r="J81" s="482"/>
      <c r="K81" s="483"/>
      <c r="L81" s="484"/>
      <c r="M81" s="485"/>
      <c r="N81" s="1098"/>
      <c r="O81" s="1098"/>
      <c r="P81" s="2547"/>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9"/>
      <c r="O82" s="1099"/>
      <c r="P82" s="2547"/>
      <c r="Q82" s="447"/>
    </row>
    <row r="83" spans="1:17" ht="15.75" thickTop="1">
      <c r="A83" s="477"/>
      <c r="B83" s="489" t="s">
        <v>2560</v>
      </c>
      <c r="C83" s="603" t="s">
        <v>2546</v>
      </c>
      <c r="D83" s="603" t="s">
        <v>2547</v>
      </c>
      <c r="E83" s="603" t="s">
        <v>2548</v>
      </c>
      <c r="F83" s="603" t="s">
        <v>2549</v>
      </c>
      <c r="G83" s="603" t="s">
        <v>2550</v>
      </c>
      <c r="H83" s="482"/>
      <c r="I83" s="482"/>
      <c r="J83" s="482"/>
      <c r="K83" s="482"/>
      <c r="L83" s="482"/>
      <c r="M83" s="1314"/>
      <c r="N83" s="1099"/>
      <c r="O83" s="1099"/>
      <c r="P83" s="2547"/>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9"/>
      <c r="O84" s="1099"/>
      <c r="P84" s="2547"/>
      <c r="Q84" s="447"/>
    </row>
    <row r="85" spans="1:17" ht="15.75" thickTop="1">
      <c r="A85" s="477"/>
      <c r="B85" s="481" t="s">
        <v>2569</v>
      </c>
      <c r="C85" s="521" t="s">
        <v>2468</v>
      </c>
      <c r="D85" s="521" t="s">
        <v>2469</v>
      </c>
      <c r="E85" s="521" t="s">
        <v>2470</v>
      </c>
      <c r="F85" s="521" t="s">
        <v>2471</v>
      </c>
      <c r="G85" s="521" t="s">
        <v>2472</v>
      </c>
      <c r="H85" s="482"/>
      <c r="I85" s="482"/>
      <c r="J85" s="482"/>
      <c r="K85" s="483"/>
      <c r="L85" s="484"/>
      <c r="M85" s="485"/>
      <c r="N85" s="1098"/>
      <c r="O85" s="1098"/>
      <c r="P85" s="2547"/>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9"/>
      <c r="O86" s="1099"/>
      <c r="P86" s="2547"/>
      <c r="Q86" s="447"/>
    </row>
    <row r="87" spans="1:17" s="72" customFormat="1" ht="27.75" thickTop="1">
      <c r="A87" s="522"/>
      <c r="B87" s="481" t="s">
        <v>2570</v>
      </c>
      <c r="C87" s="497"/>
      <c r="D87" s="497"/>
      <c r="E87" s="497"/>
      <c r="F87" s="497"/>
      <c r="G87" s="497"/>
      <c r="H87" s="497"/>
      <c r="I87" s="497"/>
      <c r="J87" s="497"/>
      <c r="K87" s="497"/>
      <c r="L87" s="523"/>
      <c r="M87" s="524"/>
      <c r="N87" s="1097"/>
      <c r="O87" s="1097"/>
      <c r="P87" s="2547"/>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9"/>
      <c r="O88" s="1099"/>
      <c r="P88" s="2547"/>
      <c r="Q88" s="447"/>
    </row>
    <row r="89" spans="1:17" s="72" customFormat="1" ht="15.75" thickTop="1">
      <c r="A89" s="522"/>
      <c r="B89" s="481" t="str">
        <f>B27</f>
        <v>楼层</v>
      </c>
      <c r="C89" s="497"/>
      <c r="D89" s="497"/>
      <c r="E89" s="497"/>
      <c r="F89" s="2498"/>
      <c r="G89" s="497"/>
      <c r="H89" s="497"/>
      <c r="I89" s="497"/>
      <c r="J89" s="497"/>
      <c r="K89" s="497"/>
      <c r="L89" s="497"/>
      <c r="M89" s="524"/>
      <c r="N89" s="1097"/>
      <c r="O89" s="1097"/>
      <c r="P89" s="2547"/>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9"/>
      <c r="O90" s="1099"/>
      <c r="P90" s="2547"/>
      <c r="Q90" s="447"/>
    </row>
    <row r="91" spans="1:17" s="414" customFormat="1" ht="15.75" thickTop="1">
      <c r="A91" s="496"/>
      <c r="B91" s="481" t="str">
        <f>B28</f>
        <v>朝向</v>
      </c>
      <c r="C91" s="497"/>
      <c r="D91" s="497"/>
      <c r="E91" s="497"/>
      <c r="F91" s="497"/>
      <c r="G91" s="497"/>
      <c r="H91" s="498"/>
      <c r="I91" s="498"/>
      <c r="J91" s="498"/>
      <c r="K91" s="498"/>
      <c r="L91" s="499"/>
      <c r="M91" s="500"/>
      <c r="N91" s="1100"/>
      <c r="O91" s="1100"/>
      <c r="P91" s="2548"/>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100"/>
      <c r="O92" s="1100"/>
      <c r="P92" s="2548"/>
      <c r="Q92" s="502"/>
    </row>
    <row r="93" spans="1:17" ht="15.75" thickTop="1">
      <c r="A93" s="477"/>
      <c r="B93" s="481">
        <f>B29</f>
        <v>111</v>
      </c>
      <c r="C93" s="497"/>
      <c r="D93" s="497"/>
      <c r="E93" s="497"/>
      <c r="F93" s="497"/>
      <c r="G93" s="497"/>
      <c r="H93" s="497"/>
      <c r="I93" s="497"/>
      <c r="J93" s="497"/>
      <c r="K93" s="497"/>
      <c r="L93" s="523"/>
      <c r="M93" s="524"/>
      <c r="N93" s="1098"/>
      <c r="O93" s="1098"/>
      <c r="P93" s="2547"/>
      <c r="Q93" s="447"/>
    </row>
    <row r="94" spans="1:17" ht="15.75" thickBot="1">
      <c r="A94" s="477"/>
      <c r="B94" s="486"/>
      <c r="C94" s="503"/>
      <c r="D94" s="479"/>
      <c r="E94" s="479"/>
      <c r="F94" s="479"/>
      <c r="G94" s="479"/>
      <c r="H94" s="479"/>
      <c r="I94" s="479"/>
      <c r="J94" s="479"/>
      <c r="K94" s="479"/>
      <c r="L94" s="479"/>
      <c r="M94" s="480"/>
      <c r="N94" s="1099"/>
      <c r="O94" s="1099"/>
      <c r="P94" s="2547"/>
      <c r="Q94" s="447"/>
    </row>
    <row r="95" spans="1:17" ht="15.75" thickTop="1">
      <c r="A95" s="477"/>
      <c r="B95" s="481">
        <f>B30</f>
        <v>111</v>
      </c>
      <c r="C95" s="497"/>
      <c r="D95" s="497"/>
      <c r="E95" s="497"/>
      <c r="F95" s="497"/>
      <c r="G95" s="526"/>
      <c r="H95" s="526"/>
      <c r="I95" s="526"/>
      <c r="J95" s="526"/>
      <c r="K95" s="527"/>
      <c r="L95" s="528"/>
      <c r="M95" s="529"/>
      <c r="N95" s="1098"/>
      <c r="O95" s="1098"/>
      <c r="P95" s="2547"/>
      <c r="Q95" s="447"/>
    </row>
    <row r="96" spans="1:17" ht="15.75" thickBot="1">
      <c r="A96" s="477"/>
      <c r="B96" s="486"/>
      <c r="C96" s="503"/>
      <c r="D96" s="503"/>
      <c r="E96" s="503"/>
      <c r="F96" s="503"/>
      <c r="G96" s="479"/>
      <c r="H96" s="479"/>
      <c r="I96" s="479"/>
      <c r="J96" s="479"/>
      <c r="K96" s="479"/>
      <c r="L96" s="479"/>
      <c r="M96" s="480"/>
      <c r="N96" s="1099"/>
      <c r="O96" s="1099"/>
      <c r="P96" s="2547"/>
      <c r="Q96" s="447"/>
    </row>
    <row r="97" spans="1:17" ht="15.75" thickTop="1">
      <c r="A97" s="477"/>
      <c r="B97" s="481">
        <f>B31</f>
        <v>111</v>
      </c>
      <c r="C97" s="497"/>
      <c r="D97" s="497"/>
      <c r="E97" s="497"/>
      <c r="F97" s="497"/>
      <c r="G97" s="526"/>
      <c r="H97" s="526"/>
      <c r="I97" s="526"/>
      <c r="J97" s="526"/>
      <c r="K97" s="527"/>
      <c r="L97" s="528"/>
      <c r="M97" s="529"/>
      <c r="N97" s="1098"/>
      <c r="O97" s="1098"/>
      <c r="P97" s="2547"/>
      <c r="Q97" s="447"/>
    </row>
    <row r="98" spans="1:17" ht="15.75" thickBot="1">
      <c r="A98" s="477"/>
      <c r="B98" s="486"/>
      <c r="C98" s="503"/>
      <c r="D98" s="479"/>
      <c r="E98" s="479"/>
      <c r="F98" s="479"/>
      <c r="G98" s="479"/>
      <c r="H98" s="479"/>
      <c r="I98" s="479"/>
      <c r="J98" s="479"/>
      <c r="K98" s="479"/>
      <c r="L98" s="479"/>
      <c r="M98" s="480"/>
      <c r="N98" s="1099"/>
      <c r="O98" s="1099"/>
      <c r="P98" s="2547"/>
      <c r="Q98" s="447"/>
    </row>
    <row r="99" spans="1:17" ht="15.75" thickTop="1">
      <c r="A99" s="477"/>
      <c r="B99" s="489">
        <f>B32</f>
        <v>111</v>
      </c>
      <c r="C99" s="466"/>
      <c r="D99" s="466"/>
      <c r="E99" s="466"/>
      <c r="F99" s="466"/>
      <c r="G99" s="530"/>
      <c r="H99" s="530"/>
      <c r="I99" s="530"/>
      <c r="J99" s="530"/>
      <c r="K99" s="531"/>
      <c r="L99" s="532"/>
      <c r="M99" s="533"/>
      <c r="N99" s="1098"/>
      <c r="O99" s="1098"/>
      <c r="P99" s="2547"/>
      <c r="Q99" s="447"/>
    </row>
    <row r="100" spans="1:17" ht="15.75" thickBot="1">
      <c r="A100" s="2499"/>
      <c r="B100" s="512"/>
      <c r="C100" s="513"/>
      <c r="D100" s="513"/>
      <c r="E100" s="513"/>
      <c r="F100" s="513"/>
      <c r="G100" s="534"/>
      <c r="H100" s="534"/>
      <c r="I100" s="534"/>
      <c r="J100" s="534"/>
      <c r="K100" s="534"/>
      <c r="L100" s="534"/>
      <c r="M100" s="535"/>
      <c r="N100" s="1099"/>
      <c r="O100" s="1099"/>
      <c r="P100" s="2547"/>
      <c r="Q100" s="447"/>
    </row>
    <row r="101" spans="1:17">
      <c r="A101" s="470" t="s">
        <v>2434</v>
      </c>
      <c r="B101" s="471" t="s">
        <v>2483</v>
      </c>
      <c r="C101" s="473"/>
      <c r="D101" s="473"/>
      <c r="E101" s="473"/>
      <c r="F101" s="473"/>
      <c r="G101" s="473"/>
      <c r="H101" s="473"/>
      <c r="I101" s="473"/>
      <c r="J101" s="473"/>
      <c r="K101" s="474"/>
      <c r="L101" s="475"/>
      <c r="M101" s="476"/>
      <c r="N101" s="1098"/>
      <c r="O101" s="1098"/>
      <c r="P101" s="2547"/>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9"/>
      <c r="O102" s="1099"/>
      <c r="P102" s="2547"/>
      <c r="Q102" s="447"/>
    </row>
    <row r="103" spans="1:17" ht="15.75" thickTop="1">
      <c r="A103" s="477"/>
      <c r="B103" s="481" t="s">
        <v>2484</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7"/>
      <c r="O103" s="1097"/>
      <c r="P103" s="2547"/>
      <c r="Q103" s="447"/>
    </row>
    <row r="104" spans="1:17" s="414" customFormat="1">
      <c r="A104" s="536"/>
      <c r="B104" s="537"/>
      <c r="C104" s="538"/>
      <c r="D104" s="538"/>
      <c r="E104" s="538"/>
      <c r="F104" s="538"/>
      <c r="G104" s="538"/>
      <c r="H104" s="538"/>
      <c r="I104" s="538"/>
      <c r="J104" s="539"/>
      <c r="K104" s="539"/>
      <c r="L104" s="540"/>
      <c r="M104" s="541"/>
      <c r="N104" s="1100"/>
      <c r="O104" s="1100"/>
      <c r="P104" s="2548"/>
      <c r="Q104" s="502"/>
    </row>
    <row r="105" spans="1:17" s="414" customFormat="1" ht="15.75" thickBot="1">
      <c r="A105" s="496"/>
      <c r="B105" s="486"/>
      <c r="C105" s="503"/>
      <c r="D105" s="479"/>
      <c r="E105" s="479"/>
      <c r="F105" s="479"/>
      <c r="G105" s="479"/>
      <c r="H105" s="479"/>
      <c r="I105" s="479"/>
      <c r="J105" s="479"/>
      <c r="K105" s="479"/>
      <c r="L105" s="479"/>
      <c r="M105" s="480"/>
      <c r="N105" s="1099"/>
      <c r="O105" s="1099"/>
      <c r="P105" s="2548"/>
      <c r="Q105" s="502"/>
    </row>
    <row r="106" spans="1:17" ht="15" thickTop="1">
      <c r="A106" s="542"/>
      <c r="B106" s="481" t="s">
        <v>2485</v>
      </c>
      <c r="C106" s="497"/>
      <c r="D106" s="497"/>
      <c r="E106" s="526"/>
      <c r="F106" s="526"/>
      <c r="G106" s="526"/>
      <c r="H106" s="526"/>
      <c r="I106" s="526"/>
      <c r="J106" s="526"/>
      <c r="K106" s="527"/>
      <c r="L106" s="528"/>
      <c r="M106" s="529"/>
      <c r="N106" s="1098"/>
      <c r="O106" s="1098"/>
      <c r="P106" s="2547"/>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9"/>
      <c r="O107" s="1099"/>
      <c r="P107" s="2547"/>
      <c r="Q107" s="447"/>
    </row>
    <row r="108" spans="1:17" ht="15" thickTop="1">
      <c r="A108" s="542"/>
      <c r="B108" s="481" t="s">
        <v>2487</v>
      </c>
      <c r="C108" s="497"/>
      <c r="D108" s="497"/>
      <c r="E108" s="497"/>
      <c r="F108" s="526"/>
      <c r="G108" s="526"/>
      <c r="H108" s="526"/>
      <c r="I108" s="526"/>
      <c r="J108" s="526"/>
      <c r="K108" s="527"/>
      <c r="L108" s="528"/>
      <c r="M108" s="529"/>
      <c r="N108" s="1098"/>
      <c r="O108" s="1098"/>
      <c r="P108" s="2547"/>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9"/>
      <c r="O109" s="1099"/>
      <c r="P109" s="2547"/>
      <c r="Q109" s="447"/>
    </row>
    <row r="110" spans="1:17" ht="15" thickTop="1">
      <c r="A110" s="542"/>
      <c r="B110" s="481" t="s">
        <v>1962</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8"/>
      <c r="O110" s="1098"/>
      <c r="P110" s="2547"/>
      <c r="Q110" s="447"/>
    </row>
    <row r="111" spans="1:17">
      <c r="A111" s="542"/>
      <c r="B111" s="489"/>
      <c r="C111" s="546">
        <v>0.5</v>
      </c>
      <c r="D111" s="546">
        <v>0.6</v>
      </c>
      <c r="E111" s="546">
        <v>0.7</v>
      </c>
      <c r="F111" s="546">
        <v>0.8</v>
      </c>
      <c r="G111" s="546">
        <v>0.9</v>
      </c>
      <c r="H111" s="546">
        <v>1.0001</v>
      </c>
      <c r="I111" s="566"/>
      <c r="J111" s="566"/>
      <c r="K111" s="567"/>
      <c r="L111" s="568"/>
      <c r="M111" s="569"/>
      <c r="N111" s="1098"/>
      <c r="O111" s="1098"/>
      <c r="P111" s="2547"/>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9"/>
      <c r="O112" s="1099"/>
      <c r="P112" s="2547"/>
      <c r="Q112" s="447"/>
    </row>
    <row r="113" spans="1:17" s="414" customFormat="1" ht="15" thickTop="1">
      <c r="A113" s="536"/>
      <c r="B113" s="481" t="s">
        <v>2571</v>
      </c>
      <c r="C113" s="497"/>
      <c r="D113" s="497"/>
      <c r="E113" s="497"/>
      <c r="F113" s="497"/>
      <c r="G113" s="497"/>
      <c r="H113" s="526"/>
      <c r="I113" s="526"/>
      <c r="J113" s="526"/>
      <c r="K113" s="527"/>
      <c r="L113" s="528"/>
      <c r="M113" s="529"/>
      <c r="N113" s="1100"/>
      <c r="O113" s="1100"/>
      <c r="P113" s="2548"/>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100"/>
      <c r="O114" s="1100"/>
      <c r="P114" s="2548"/>
      <c r="Q114" s="502"/>
    </row>
    <row r="115" spans="1:17" ht="15" thickTop="1">
      <c r="A115" s="542"/>
      <c r="B115" s="481" t="s">
        <v>2488</v>
      </c>
      <c r="C115" s="497"/>
      <c r="D115" s="497"/>
      <c r="E115" s="526"/>
      <c r="F115" s="526"/>
      <c r="G115" s="526"/>
      <c r="H115" s="526"/>
      <c r="I115" s="526"/>
      <c r="J115" s="526"/>
      <c r="K115" s="527"/>
      <c r="L115" s="528"/>
      <c r="M115" s="529"/>
      <c r="N115" s="1098"/>
      <c r="O115" s="1098"/>
      <c r="P115" s="2547"/>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9"/>
      <c r="O116" s="1099"/>
      <c r="P116" s="2547"/>
      <c r="Q116" s="447"/>
    </row>
    <row r="117" spans="1:17" ht="15" thickTop="1">
      <c r="A117" s="542"/>
      <c r="B117" s="481" t="s">
        <v>2489</v>
      </c>
      <c r="C117" s="497"/>
      <c r="D117" s="497"/>
      <c r="E117" s="497"/>
      <c r="F117" s="497"/>
      <c r="G117" s="497"/>
      <c r="H117" s="526"/>
      <c r="I117" s="526"/>
      <c r="J117" s="526"/>
      <c r="K117" s="527"/>
      <c r="L117" s="528"/>
      <c r="M117" s="529"/>
      <c r="N117" s="1098"/>
      <c r="O117" s="1098"/>
      <c r="P117" s="2547"/>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9"/>
      <c r="O118" s="1099"/>
      <c r="P118" s="2547"/>
      <c r="Q118" s="447"/>
    </row>
    <row r="119" spans="1:17" ht="15" thickTop="1">
      <c r="A119" s="542"/>
      <c r="B119" s="579" t="s">
        <v>2572</v>
      </c>
      <c r="C119" s="526"/>
      <c r="D119" s="526"/>
      <c r="E119" s="526"/>
      <c r="F119" s="526"/>
      <c r="G119" s="526"/>
      <c r="H119" s="526"/>
      <c r="I119" s="526"/>
      <c r="J119" s="526"/>
      <c r="K119" s="526"/>
      <c r="L119" s="2552"/>
      <c r="M119" s="2553"/>
      <c r="N119" s="1099"/>
      <c r="O119" s="1099"/>
      <c r="P119" s="2554"/>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9"/>
      <c r="O120" s="1099"/>
      <c r="P120" s="2547"/>
      <c r="Q120" s="447"/>
    </row>
    <row r="121" spans="1:17" s="414" customFormat="1" ht="15" thickTop="1">
      <c r="A121" s="536"/>
      <c r="B121" s="481" t="s">
        <v>2555</v>
      </c>
      <c r="C121" s="497"/>
      <c r="D121" s="497"/>
      <c r="E121" s="497"/>
      <c r="F121" s="526"/>
      <c r="G121" s="498"/>
      <c r="H121" s="498"/>
      <c r="I121" s="498"/>
      <c r="J121" s="498"/>
      <c r="K121" s="498"/>
      <c r="L121" s="499"/>
      <c r="M121" s="500"/>
      <c r="N121" s="1100"/>
      <c r="O121" s="1100"/>
      <c r="P121" s="2548"/>
      <c r="Q121" s="502"/>
    </row>
    <row r="122" spans="1:17" s="414" customFormat="1" ht="15.75" thickBot="1">
      <c r="A122" s="496"/>
      <c r="B122" s="478"/>
      <c r="C122" s="503"/>
      <c r="D122" s="503"/>
      <c r="E122" s="503"/>
      <c r="F122" s="503"/>
      <c r="G122" s="503"/>
      <c r="H122" s="503"/>
      <c r="I122" s="503"/>
      <c r="J122" s="503"/>
      <c r="K122" s="503"/>
      <c r="L122" s="503"/>
      <c r="M122" s="503"/>
      <c r="N122" s="1100"/>
      <c r="O122" s="1100"/>
      <c r="P122" s="2548"/>
      <c r="Q122" s="502"/>
    </row>
    <row r="123" spans="1:17" ht="15" thickTop="1">
      <c r="A123" s="542"/>
      <c r="B123" s="481" t="s">
        <v>2491</v>
      </c>
      <c r="C123" s="497"/>
      <c r="D123" s="497"/>
      <c r="E123" s="497"/>
      <c r="F123" s="526"/>
      <c r="G123" s="526"/>
      <c r="H123" s="526"/>
      <c r="I123" s="526"/>
      <c r="J123" s="526"/>
      <c r="K123" s="527"/>
      <c r="L123" s="528"/>
      <c r="M123" s="529"/>
      <c r="N123" s="1098"/>
      <c r="O123" s="1098"/>
      <c r="P123" s="2547"/>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9"/>
      <c r="O124" s="1099"/>
      <c r="P124" s="2547"/>
      <c r="Q124" s="447"/>
    </row>
    <row r="125" spans="1:17" ht="15" thickTop="1">
      <c r="A125" s="542"/>
      <c r="B125" s="481" t="s">
        <v>2492</v>
      </c>
      <c r="C125" s="521" t="s">
        <v>2468</v>
      </c>
      <c r="D125" s="521" t="s">
        <v>2469</v>
      </c>
      <c r="E125" s="521" t="s">
        <v>2470</v>
      </c>
      <c r="F125" s="521" t="s">
        <v>2471</v>
      </c>
      <c r="G125" s="521" t="s">
        <v>2472</v>
      </c>
      <c r="H125" s="482"/>
      <c r="I125" s="482"/>
      <c r="J125" s="482"/>
      <c r="K125" s="483"/>
      <c r="L125" s="484"/>
      <c r="M125" s="485"/>
      <c r="N125" s="1098"/>
      <c r="O125" s="1098"/>
      <c r="P125" s="2548"/>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9"/>
      <c r="O126" s="1099"/>
      <c r="P126" s="2547"/>
      <c r="Q126" s="447"/>
    </row>
    <row r="127" spans="1:17" s="414" customFormat="1" ht="15" thickTop="1">
      <c r="A127" s="536"/>
      <c r="B127" s="481">
        <f>B45</f>
        <v>111</v>
      </c>
      <c r="C127" s="497"/>
      <c r="D127" s="497"/>
      <c r="E127" s="497"/>
      <c r="F127" s="497"/>
      <c r="G127" s="497"/>
      <c r="H127" s="498"/>
      <c r="I127" s="498"/>
      <c r="J127" s="498"/>
      <c r="K127" s="498"/>
      <c r="L127" s="499"/>
      <c r="M127" s="500"/>
      <c r="N127" s="1100"/>
      <c r="O127" s="1100"/>
      <c r="P127" s="2548"/>
      <c r="Q127" s="502"/>
    </row>
    <row r="128" spans="1:17" s="414" customFormat="1" ht="15.75" thickBot="1">
      <c r="A128" s="496"/>
      <c r="B128" s="486"/>
      <c r="C128" s="503"/>
      <c r="D128" s="479"/>
      <c r="E128" s="479"/>
      <c r="F128" s="479"/>
      <c r="G128" s="503"/>
      <c r="H128" s="505"/>
      <c r="I128" s="505"/>
      <c r="J128" s="505"/>
      <c r="K128" s="505"/>
      <c r="L128" s="505"/>
      <c r="M128" s="506"/>
      <c r="N128" s="1100"/>
      <c r="O128" s="1100"/>
      <c r="P128" s="2548"/>
      <c r="Q128" s="502"/>
    </row>
    <row r="129" spans="1:17" ht="15" thickTop="1">
      <c r="A129" s="542"/>
      <c r="B129" s="481">
        <f>B46</f>
        <v>111</v>
      </c>
      <c r="C129" s="497"/>
      <c r="D129" s="497"/>
      <c r="E129" s="497"/>
      <c r="F129" s="497"/>
      <c r="G129" s="526"/>
      <c r="H129" s="526"/>
      <c r="I129" s="526"/>
      <c r="J129" s="526"/>
      <c r="K129" s="527"/>
      <c r="L129" s="528"/>
      <c r="M129" s="529"/>
      <c r="N129" s="1098"/>
      <c r="O129" s="1098"/>
      <c r="P129" s="2547"/>
      <c r="Q129" s="447"/>
    </row>
    <row r="130" spans="1:17" ht="15.75" thickBot="1">
      <c r="A130" s="477"/>
      <c r="B130" s="486"/>
      <c r="C130" s="503"/>
      <c r="D130" s="503"/>
      <c r="E130" s="503"/>
      <c r="F130" s="503"/>
      <c r="G130" s="479"/>
      <c r="H130" s="479"/>
      <c r="I130" s="479"/>
      <c r="J130" s="479"/>
      <c r="K130" s="479"/>
      <c r="L130" s="479"/>
      <c r="M130" s="480"/>
      <c r="N130" s="1099"/>
      <c r="O130" s="1099"/>
      <c r="P130" s="2547"/>
      <c r="Q130" s="447"/>
    </row>
    <row r="131" spans="1:17" ht="15" thickTop="1">
      <c r="A131" s="542"/>
      <c r="B131" s="489">
        <f>B47</f>
        <v>111</v>
      </c>
      <c r="C131" s="466"/>
      <c r="D131" s="466"/>
      <c r="E131" s="466"/>
      <c r="F131" s="466"/>
      <c r="G131" s="530"/>
      <c r="H131" s="530"/>
      <c r="I131" s="530"/>
      <c r="J131" s="530"/>
      <c r="K131" s="466"/>
      <c r="L131" s="467"/>
      <c r="M131" s="533"/>
      <c r="N131" s="1098"/>
      <c r="O131" s="1098"/>
      <c r="P131" s="2547"/>
      <c r="Q131" s="447"/>
    </row>
    <row r="132" spans="1:17" ht="15.75" thickBot="1">
      <c r="A132" s="2499"/>
      <c r="B132" s="512"/>
      <c r="C132" s="513"/>
      <c r="D132" s="513"/>
      <c r="E132" s="513"/>
      <c r="F132" s="513"/>
      <c r="G132" s="534"/>
      <c r="H132" s="534"/>
      <c r="I132" s="534"/>
      <c r="J132" s="534"/>
      <c r="K132" s="534"/>
      <c r="L132" s="534"/>
      <c r="M132" s="535"/>
      <c r="N132" s="1099"/>
      <c r="O132" s="1099"/>
      <c r="P132" s="2547"/>
      <c r="Q132" s="44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9" sqref="C39"/>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2399</v>
      </c>
      <c r="B1" s="2532" t="s">
        <v>2573</v>
      </c>
      <c r="C1" s="1550" t="s">
        <v>2401</v>
      </c>
      <c r="D1" s="1551"/>
      <c r="E1" s="1560"/>
      <c r="F1" s="2449"/>
      <c r="G1" s="1561" t="s">
        <v>2514</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2201</v>
      </c>
      <c r="B2" s="1350" t="e">
        <f ca="1">IF(C2="——",ROUND(C43*D3/10000,0),ROUND(C43*D3/10000,0)-D2)</f>
        <v>#DIV/0!</v>
      </c>
      <c r="C2" s="2451"/>
      <c r="D2" s="1070" t="e">
        <f ca="1">SUMIF(INDIRECT("'"&amp;F2&amp;"'"&amp;"!A:A"),"承租人权益价值",INDIRECT("'"&amp;F2&amp;"'"&amp;"!c:c"))</f>
        <v>#REF!</v>
      </c>
      <c r="E2" s="2452" t="s">
        <v>2202</v>
      </c>
      <c r="F2" s="2453"/>
      <c r="G2" s="1071"/>
      <c r="H2" s="1071"/>
      <c r="I2" s="1071"/>
      <c r="J2" s="1071"/>
      <c r="K2" s="1071"/>
      <c r="L2" s="1074"/>
      <c r="M2" s="1075"/>
      <c r="N2" s="1075"/>
      <c r="O2" s="1075"/>
      <c r="P2" s="711"/>
      <c r="Q2" s="711"/>
      <c r="R2" s="711"/>
      <c r="S2" s="711"/>
      <c r="T2" s="711"/>
      <c r="U2" s="711"/>
      <c r="V2" s="711"/>
      <c r="W2" s="711"/>
      <c r="X2" s="711"/>
      <c r="Y2" s="711"/>
      <c r="Z2" s="711"/>
      <c r="AA2" s="711"/>
      <c r="AB2" s="711"/>
      <c r="AC2" s="725"/>
    </row>
    <row r="3" spans="1:29" s="341" customFormat="1" ht="28.5" customHeight="1" thickBot="1">
      <c r="A3" s="190" t="s">
        <v>2203</v>
      </c>
      <c r="B3" s="552" t="e">
        <f ca="1">IF(C2="——",C43,ROUND(B2*10000/D3,0))</f>
        <v>#DIV/0!</v>
      </c>
      <c r="C3" s="343" t="s">
        <v>2515</v>
      </c>
      <c r="D3" s="342">
        <f>IF(D1="",'数据-汇总表'!E3,SUMIF('数据-汇总表'!$C19:$C33,D1,'数据-汇总表'!$E19:$E33))</f>
        <v>119454.59</v>
      </c>
      <c r="E3" s="1071"/>
      <c r="F3" s="1072"/>
      <c r="G3" s="1071"/>
      <c r="H3" s="1071"/>
      <c r="I3" s="1071"/>
      <c r="J3" s="1071"/>
      <c r="K3" s="1073"/>
      <c r="L3" s="1074"/>
      <c r="M3" s="1075"/>
      <c r="N3" s="1075"/>
      <c r="O3" s="1075"/>
      <c r="P3" s="711"/>
      <c r="Q3" s="711"/>
      <c r="R3" s="711"/>
      <c r="S3" s="711"/>
      <c r="T3" s="711"/>
      <c r="U3" s="711"/>
      <c r="V3" s="711"/>
      <c r="W3" s="711"/>
      <c r="X3" s="711"/>
      <c r="Y3" s="711"/>
      <c r="Z3" s="711"/>
      <c r="AA3" s="711"/>
      <c r="AB3" s="729"/>
      <c r="AC3" s="725"/>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275" t="s">
        <v>2519</v>
      </c>
      <c r="AC4" s="3274" t="s">
        <v>2520</v>
      </c>
    </row>
    <row r="5" spans="1:29" ht="15">
      <c r="A5" s="347"/>
      <c r="B5" s="348"/>
      <c r="C5" s="3285" t="s">
        <v>2413</v>
      </c>
      <c r="D5" s="3286"/>
      <c r="E5" s="3283" t="s">
        <v>2414</v>
      </c>
      <c r="F5" s="3284"/>
      <c r="G5" s="3285" t="s">
        <v>2415</v>
      </c>
      <c r="H5" s="3286"/>
      <c r="I5" s="3285" t="s">
        <v>2416</v>
      </c>
      <c r="J5" s="3286"/>
      <c r="K5" s="553"/>
      <c r="L5" s="1076"/>
      <c r="M5" s="1077"/>
      <c r="N5" s="1077"/>
      <c r="O5" s="1077"/>
      <c r="P5" s="3298"/>
      <c r="Q5" s="3299"/>
      <c r="R5" s="3281"/>
      <c r="S5" s="3282"/>
      <c r="T5" s="3281"/>
      <c r="U5" s="3282"/>
      <c r="V5" s="3304"/>
      <c r="W5" s="3304"/>
      <c r="X5" s="1740"/>
      <c r="Y5" s="3281"/>
      <c r="Z5" s="3282"/>
      <c r="AA5" s="3275"/>
      <c r="AB5" s="3275"/>
      <c r="AC5" s="3275"/>
    </row>
    <row r="6" spans="1:29" ht="15.75" thickBot="1">
      <c r="A6" s="349"/>
      <c r="B6" s="350"/>
      <c r="C6" s="3287" t="s">
        <v>2417</v>
      </c>
      <c r="D6" s="3288"/>
      <c r="E6" s="3289" t="s">
        <v>2417</v>
      </c>
      <c r="F6" s="3290"/>
      <c r="G6" s="3287" t="s">
        <v>2417</v>
      </c>
      <c r="H6" s="3288"/>
      <c r="I6" s="3287" t="s">
        <v>2417</v>
      </c>
      <c r="J6" s="3288"/>
      <c r="K6" s="553" t="s">
        <v>2418</v>
      </c>
      <c r="L6" s="1076"/>
      <c r="M6" s="1077"/>
      <c r="N6" s="1077"/>
      <c r="O6" s="1077"/>
      <c r="P6" s="3300"/>
      <c r="Q6" s="3301"/>
      <c r="R6" s="3281"/>
      <c r="S6" s="3282"/>
      <c r="T6" s="3302"/>
      <c r="U6" s="3303"/>
      <c r="V6" s="3304"/>
      <c r="W6" s="3304"/>
      <c r="X6" s="1740"/>
      <c r="Y6" s="3302"/>
      <c r="Z6" s="3303"/>
      <c r="AA6" s="3276"/>
      <c r="AB6" s="3276"/>
      <c r="AC6" s="3276"/>
    </row>
    <row r="7" spans="1:29" s="72" customFormat="1" ht="15.75" thickBot="1">
      <c r="A7" s="351" t="s">
        <v>2419</v>
      </c>
      <c r="B7" s="352"/>
      <c r="C7" s="353">
        <f>'数据-取费表'!B2</f>
        <v>43284</v>
      </c>
      <c r="D7" s="354">
        <v>100</v>
      </c>
      <c r="E7" s="355"/>
      <c r="F7" s="356">
        <f>SUMIF(52:52,YEAR(E7)&amp;"-"&amp;MONTH(E7),53:53)</f>
        <v>0</v>
      </c>
      <c r="G7" s="355"/>
      <c r="H7" s="354">
        <f>SUMIF(52:52,YEAR(G7)&amp;"-"&amp;MONTH(G7),53:53)</f>
        <v>0</v>
      </c>
      <c r="I7" s="355"/>
      <c r="J7" s="354">
        <f>SUMIF(52:52,YEAR(I7)&amp;"-"&amp;MONTH(I7),53:53)</f>
        <v>0</v>
      </c>
      <c r="K7" s="554"/>
      <c r="L7" s="1078"/>
      <c r="M7" s="1079"/>
      <c r="N7" s="1079"/>
      <c r="O7" s="1079"/>
      <c r="P7" s="3277" t="s">
        <v>2420</v>
      </c>
      <c r="Q7" s="3305"/>
      <c r="R7" s="713" t="s">
        <v>17</v>
      </c>
      <c r="S7" s="714">
        <f t="shared" ref="S7:S15" si="0">F7</f>
        <v>0</v>
      </c>
      <c r="T7" s="713" t="s">
        <v>17</v>
      </c>
      <c r="U7" s="714">
        <f t="shared" ref="U7:U15" si="1">H7</f>
        <v>0</v>
      </c>
      <c r="V7" s="713" t="s">
        <v>17</v>
      </c>
      <c r="W7" s="714">
        <f t="shared" ref="W7:W15" si="2">J7</f>
        <v>0</v>
      </c>
      <c r="X7" s="715"/>
      <c r="Y7" s="3277" t="s">
        <v>2420</v>
      </c>
      <c r="Z7" s="3278"/>
      <c r="AA7" s="716" t="e">
        <f>D7/F7</f>
        <v>#DIV/0!</v>
      </c>
      <c r="AB7" s="716" t="e">
        <f>D7/H7</f>
        <v>#DIV/0!</v>
      </c>
      <c r="AC7" s="716" t="e">
        <f>D7/J7</f>
        <v>#DIV/0!</v>
      </c>
    </row>
    <row r="8" spans="1:29" s="72" customFormat="1" ht="15.75" thickBot="1">
      <c r="A8" s="351" t="s">
        <v>2421</v>
      </c>
      <c r="B8" s="352"/>
      <c r="C8" s="357" t="s">
        <v>2422</v>
      </c>
      <c r="D8" s="354">
        <v>100</v>
      </c>
      <c r="E8" s="357"/>
      <c r="F8" s="356">
        <f>SUMIF(55:55,E8,56:56)-SUMIF(55:55,C8,56:56)+100</f>
        <v>0</v>
      </c>
      <c r="G8" s="357"/>
      <c r="H8" s="354">
        <f>SUMIF(55:55,G8,56:56)-SUMIF(55:55,C8,56:56)+100</f>
        <v>0</v>
      </c>
      <c r="I8" s="357"/>
      <c r="J8" s="354">
        <f>SUMIF(55:55,I8,56:56)-SUMIF(55:55,C8,56:56)+100</f>
        <v>0</v>
      </c>
      <c r="K8" s="554"/>
      <c r="L8" s="1078"/>
      <c r="M8" s="1079"/>
      <c r="N8" s="1079"/>
      <c r="O8" s="1079"/>
      <c r="P8" s="3277" t="s">
        <v>2423</v>
      </c>
      <c r="Q8" s="3278"/>
      <c r="R8" s="713" t="s">
        <v>17</v>
      </c>
      <c r="S8" s="714">
        <f t="shared" si="0"/>
        <v>0</v>
      </c>
      <c r="T8" s="713" t="s">
        <v>17</v>
      </c>
      <c r="U8" s="714">
        <f t="shared" si="1"/>
        <v>0</v>
      </c>
      <c r="V8" s="713" t="s">
        <v>17</v>
      </c>
      <c r="W8" s="714">
        <f t="shared" si="2"/>
        <v>0</v>
      </c>
      <c r="X8" s="715"/>
      <c r="Y8" s="3277" t="s">
        <v>2423</v>
      </c>
      <c r="Z8" s="3278"/>
      <c r="AA8" s="716" t="e">
        <f t="shared" ref="AA8:AA40" si="3">D8/F8</f>
        <v>#DIV/0!</v>
      </c>
      <c r="AB8" s="716" t="e">
        <f t="shared" ref="AB8:AB40" si="4">D8/H8</f>
        <v>#DIV/0!</v>
      </c>
      <c r="AC8" s="716" t="e">
        <f t="shared" ref="AC8:AC40" si="5">D8/J8</f>
        <v>#DIV/0!</v>
      </c>
    </row>
    <row r="9" spans="1:29" s="72" customFormat="1">
      <c r="A9" s="358" t="s">
        <v>2424</v>
      </c>
      <c r="B9" s="70" t="s">
        <v>2425</v>
      </c>
      <c r="C9" s="359"/>
      <c r="D9" s="78">
        <v>100</v>
      </c>
      <c r="E9" s="362"/>
      <c r="F9" s="78">
        <f>SUMIF(57:57,E9,58:58)-SUMIF(57:57,C9,58:58)+100</f>
        <v>100</v>
      </c>
      <c r="G9" s="360"/>
      <c r="H9" s="78">
        <f>SUMIF(57:57,G9,58:58)-SUMIF(57:57,C9,58:58)+100</f>
        <v>100</v>
      </c>
      <c r="I9" s="360"/>
      <c r="J9" s="78">
        <f>SUMIF(57:57,I9,58:58)-SUMIF(57:57,C9,58:58)+100</f>
        <v>100</v>
      </c>
      <c r="K9" s="554"/>
      <c r="L9" s="1078"/>
      <c r="M9" s="1079"/>
      <c r="N9" s="1079"/>
      <c r="O9" s="1080"/>
      <c r="P9" s="3291"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716">
        <f t="shared" si="5"/>
        <v>1</v>
      </c>
    </row>
    <row r="10" spans="1:29" s="370" customFormat="1" ht="27">
      <c r="A10" s="364"/>
      <c r="B10" s="365" t="s">
        <v>2428</v>
      </c>
      <c r="C10" s="366"/>
      <c r="D10" s="79">
        <v>100</v>
      </c>
      <c r="E10" s="366"/>
      <c r="F10" s="79">
        <f>SUMIF(59:59,E10,60:60)-SUMIF(59:59,C10,60:60)+100</f>
        <v>100</v>
      </c>
      <c r="G10" s="367"/>
      <c r="H10" s="79">
        <f>SUMIF(59:59,G10,60:60)-SUMIF(59:59,C10,60:60)+100</f>
        <v>100</v>
      </c>
      <c r="I10" s="366"/>
      <c r="J10" s="79">
        <f>SUMIF(59:59,I10,60:60)-SUMIF(59:59,C10,60:60)+100</f>
        <v>100</v>
      </c>
      <c r="K10" s="555"/>
      <c r="L10" s="1081"/>
      <c r="M10" s="1082"/>
      <c r="N10" s="1082"/>
      <c r="O10" s="1083"/>
      <c r="P10" s="3291"/>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716">
        <f t="shared" si="5"/>
        <v>1</v>
      </c>
    </row>
    <row r="11" spans="1:29" ht="15">
      <c r="A11" s="371"/>
      <c r="B11" s="365" t="s">
        <v>2429</v>
      </c>
      <c r="C11" s="372"/>
      <c r="D11" s="79">
        <v>100</v>
      </c>
      <c r="E11" s="372"/>
      <c r="F11" s="79" t="e">
        <f>LOOKUP(E11,62:62,63:63)-LOOKUP(C11,62:62,63:63)+100</f>
        <v>#N/A</v>
      </c>
      <c r="G11" s="373"/>
      <c r="H11" s="79" t="e">
        <f>LOOKUP(G11,62:62,63:63)-LOOKUP(C11,62:62,63:63)+100</f>
        <v>#N/A</v>
      </c>
      <c r="I11" s="372"/>
      <c r="J11" s="79" t="e">
        <f>LOOKUP(I11,62:62,63:63)-LOOKUP(C11,62:62,63:63)+100</f>
        <v>#N/A</v>
      </c>
      <c r="K11" s="555"/>
      <c r="L11" s="1084"/>
      <c r="M11" s="1077"/>
      <c r="N11" s="1077"/>
      <c r="O11" s="1085"/>
      <c r="P11" s="3291"/>
      <c r="Q11" s="1723" t="str">
        <f t="shared" si="6"/>
        <v>容积率</v>
      </c>
      <c r="R11" s="713" t="s">
        <v>17</v>
      </c>
      <c r="S11" s="714" t="e">
        <f t="shared" si="0"/>
        <v>#N/A</v>
      </c>
      <c r="T11" s="713" t="s">
        <v>17</v>
      </c>
      <c r="U11" s="714" t="e">
        <f t="shared" si="1"/>
        <v>#N/A</v>
      </c>
      <c r="V11" s="713" t="s">
        <v>17</v>
      </c>
      <c r="W11" s="714" t="e">
        <f t="shared" si="2"/>
        <v>#N/A</v>
      </c>
      <c r="X11" s="715"/>
      <c r="Y11" s="3113"/>
      <c r="Z11" s="54" t="str">
        <f t="shared" si="7"/>
        <v>容积率</v>
      </c>
      <c r="AA11" s="716" t="e">
        <f t="shared" si="3"/>
        <v>#N/A</v>
      </c>
      <c r="AB11" s="716" t="e">
        <f t="shared" si="4"/>
        <v>#N/A</v>
      </c>
      <c r="AC11" s="716" t="e">
        <f t="shared" si="5"/>
        <v>#N/A</v>
      </c>
    </row>
    <row r="12" spans="1:29" s="72" customFormat="1" ht="15">
      <c r="A12" s="374"/>
      <c r="B12" s="2465">
        <v>111</v>
      </c>
      <c r="C12" s="375"/>
      <c r="D12" s="376">
        <v>100</v>
      </c>
      <c r="E12" s="377"/>
      <c r="F12" s="79">
        <f>SUMIF(64:64,E12,65:65)-SUMIF(64:64,C12,65:65)+100</f>
        <v>100</v>
      </c>
      <c r="G12" s="2555"/>
      <c r="H12" s="79">
        <f>SUMIF(64:64,G12,65:65)-SUMIF(64:64,C12,65:65)+100</f>
        <v>100</v>
      </c>
      <c r="I12" s="412"/>
      <c r="J12" s="79">
        <f>SUMIF(64:64,I12,65:65)-SUMIF(64:64,C12,65:65)+100</f>
        <v>100</v>
      </c>
      <c r="K12" s="556"/>
      <c r="L12" s="1078"/>
      <c r="M12" s="1079"/>
      <c r="N12" s="1079"/>
      <c r="O12" s="1080"/>
      <c r="P12" s="3291"/>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716">
        <f>D12/J12</f>
        <v>1</v>
      </c>
    </row>
    <row r="13" spans="1:29" ht="15">
      <c r="A13" s="371"/>
      <c r="B13" s="2465">
        <v>111</v>
      </c>
      <c r="C13" s="377"/>
      <c r="D13" s="378">
        <v>100</v>
      </c>
      <c r="E13" s="377"/>
      <c r="F13" s="79">
        <f>SUMIF(66:66,E13,67:67)-SUMIF(66:66,C13,67:67)+100</f>
        <v>100</v>
      </c>
      <c r="G13" s="2555"/>
      <c r="H13" s="378">
        <f>SUMIF(66:66,G13,67:67)-SUMIF(66:66,C13,67:67)+100</f>
        <v>100</v>
      </c>
      <c r="I13" s="412"/>
      <c r="J13" s="378">
        <f>SUMIF(66:66,I13,67:67)-SUMIF(66:66,C13,67:67)+100</f>
        <v>100</v>
      </c>
      <c r="K13" s="556"/>
      <c r="L13" s="1086"/>
      <c r="M13" s="1077"/>
      <c r="N13" s="1077"/>
      <c r="O13" s="1085"/>
      <c r="P13" s="3291"/>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716">
        <f t="shared" si="5"/>
        <v>1</v>
      </c>
    </row>
    <row r="14" spans="1:29" ht="15.75" thickBot="1">
      <c r="A14" s="379"/>
      <c r="B14" s="2467">
        <v>111</v>
      </c>
      <c r="C14" s="380"/>
      <c r="D14" s="381">
        <v>100</v>
      </c>
      <c r="E14" s="380"/>
      <c r="F14" s="381">
        <f>SUMIF(68:68,E14,69:69)-SUMIF(68:68,C14,69:69)+100</f>
        <v>100</v>
      </c>
      <c r="G14" s="2555"/>
      <c r="H14" s="381">
        <f>SUMIF(68:68,G14,69:69)-SUMIF(68:68,C14,69:69)+100</f>
        <v>100</v>
      </c>
      <c r="I14" s="412"/>
      <c r="J14" s="381">
        <f>SUMIF(68:68,I14,69:69)-SUMIF(68:68,C14,69:69)+100</f>
        <v>100</v>
      </c>
      <c r="K14" s="556"/>
      <c r="L14" s="1086"/>
      <c r="M14" s="1077"/>
      <c r="N14" s="1077"/>
      <c r="O14" s="1085"/>
      <c r="P14" s="3291"/>
      <c r="Q14" s="1723">
        <f t="shared" si="6"/>
        <v>111</v>
      </c>
      <c r="R14" s="713" t="s">
        <v>17</v>
      </c>
      <c r="S14" s="714">
        <f t="shared" si="0"/>
        <v>100</v>
      </c>
      <c r="T14" s="713" t="s">
        <v>17</v>
      </c>
      <c r="U14" s="714">
        <f t="shared" si="1"/>
        <v>100</v>
      </c>
      <c r="V14" s="713" t="s">
        <v>17</v>
      </c>
      <c r="W14" s="714">
        <f t="shared" si="2"/>
        <v>100</v>
      </c>
      <c r="X14" s="715"/>
      <c r="Y14" s="3113"/>
      <c r="Z14" s="54">
        <f t="shared" si="7"/>
        <v>111</v>
      </c>
      <c r="AA14" s="716">
        <f t="shared" si="3"/>
        <v>1</v>
      </c>
      <c r="AB14" s="716">
        <f t="shared" si="4"/>
        <v>1</v>
      </c>
      <c r="AC14" s="716">
        <f t="shared" si="5"/>
        <v>1</v>
      </c>
    </row>
    <row r="15" spans="1:29" ht="15">
      <c r="A15" s="383" t="s">
        <v>2430</v>
      </c>
      <c r="B15" s="68" t="s">
        <v>2574</v>
      </c>
      <c r="C15" s="2556">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86"/>
      <c r="M15" s="1077"/>
      <c r="N15" s="1077"/>
      <c r="O15" s="1085"/>
      <c r="P15" s="3306" t="s">
        <v>2431</v>
      </c>
      <c r="Q15" s="1737" t="str">
        <f t="shared" si="6"/>
        <v>产业集聚程度</v>
      </c>
      <c r="R15" s="717" t="s">
        <v>17</v>
      </c>
      <c r="S15" s="718">
        <f t="shared" si="0"/>
        <v>100</v>
      </c>
      <c r="T15" s="717" t="s">
        <v>17</v>
      </c>
      <c r="U15" s="718">
        <f t="shared" si="1"/>
        <v>100</v>
      </c>
      <c r="V15" s="717" t="s">
        <v>17</v>
      </c>
      <c r="W15" s="718">
        <f t="shared" si="2"/>
        <v>100</v>
      </c>
      <c r="X15" s="1740"/>
      <c r="Y15" s="3306" t="s">
        <v>2431</v>
      </c>
      <c r="Z15" s="1741" t="str">
        <f t="shared" si="7"/>
        <v>产业集聚程度</v>
      </c>
      <c r="AA15" s="1738">
        <f t="shared" si="3"/>
        <v>1</v>
      </c>
      <c r="AB15" s="1738">
        <f t="shared" si="4"/>
        <v>1</v>
      </c>
      <c r="AC15" s="1738">
        <f t="shared" si="5"/>
        <v>1</v>
      </c>
    </row>
    <row r="16" spans="1:29" ht="15">
      <c r="A16" s="371"/>
      <c r="B16" s="389"/>
      <c r="C16" s="390"/>
      <c r="D16" s="391"/>
      <c r="E16" s="390"/>
      <c r="F16" s="392"/>
      <c r="G16" s="390"/>
      <c r="H16" s="393"/>
      <c r="I16" s="390"/>
      <c r="J16" s="391"/>
      <c r="K16" s="558"/>
      <c r="L16" s="1086"/>
      <c r="M16" s="1077"/>
      <c r="N16" s="1077"/>
      <c r="O16" s="1085"/>
      <c r="P16" s="3307"/>
      <c r="Q16" s="1737"/>
      <c r="R16" s="717"/>
      <c r="S16" s="718"/>
      <c r="T16" s="717"/>
      <c r="U16" s="718"/>
      <c r="V16" s="717"/>
      <c r="W16" s="718"/>
      <c r="X16" s="1740"/>
      <c r="Y16" s="3307"/>
      <c r="Z16" s="1741"/>
      <c r="AA16" s="1738">
        <v>1</v>
      </c>
      <c r="AB16" s="1738">
        <v>1</v>
      </c>
      <c r="AC16" s="1738">
        <v>1</v>
      </c>
    </row>
    <row r="17" spans="1:29" ht="15">
      <c r="A17" s="371"/>
      <c r="B17" s="394" t="s">
        <v>1977</v>
      </c>
      <c r="C17" s="2472">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86"/>
      <c r="M17" s="1077"/>
      <c r="N17" s="1077"/>
      <c r="O17" s="1085"/>
      <c r="P17" s="3307"/>
      <c r="Q17" s="1737" t="str">
        <f>B17</f>
        <v>交通便捷度</v>
      </c>
      <c r="R17" s="717" t="s">
        <v>17</v>
      </c>
      <c r="S17" s="718">
        <f>F17</f>
        <v>100</v>
      </c>
      <c r="T17" s="717" t="s">
        <v>17</v>
      </c>
      <c r="U17" s="718">
        <f>H17</f>
        <v>100</v>
      </c>
      <c r="V17" s="717" t="s">
        <v>17</v>
      </c>
      <c r="W17" s="718">
        <f>J17</f>
        <v>100</v>
      </c>
      <c r="X17" s="1740"/>
      <c r="Y17" s="3307"/>
      <c r="Z17" s="1741" t="str">
        <f>Q17</f>
        <v>交通便捷度</v>
      </c>
      <c r="AA17" s="1738">
        <f t="shared" si="3"/>
        <v>1</v>
      </c>
      <c r="AB17" s="1738">
        <f t="shared" si="4"/>
        <v>1</v>
      </c>
      <c r="AC17" s="1738">
        <f t="shared" si="5"/>
        <v>1</v>
      </c>
    </row>
    <row r="18" spans="1:29" ht="15">
      <c r="A18" s="371"/>
      <c r="B18" s="399"/>
      <c r="C18" s="2473"/>
      <c r="D18" s="393"/>
      <c r="E18" s="2475"/>
      <c r="F18" s="396"/>
      <c r="G18" s="2474"/>
      <c r="H18" s="391"/>
      <c r="I18" s="2475"/>
      <c r="J18" s="391"/>
      <c r="K18" s="558"/>
      <c r="L18" s="1086"/>
      <c r="M18" s="1077"/>
      <c r="N18" s="1077"/>
      <c r="O18" s="1085"/>
      <c r="P18" s="3307"/>
      <c r="Q18" s="1737"/>
      <c r="R18" s="717"/>
      <c r="S18" s="718"/>
      <c r="T18" s="717"/>
      <c r="U18" s="718"/>
      <c r="V18" s="717"/>
      <c r="W18" s="718"/>
      <c r="X18" s="1740"/>
      <c r="Y18" s="3307"/>
      <c r="Z18" s="1741"/>
      <c r="AA18" s="1738">
        <v>1</v>
      </c>
      <c r="AB18" s="1738">
        <v>1</v>
      </c>
      <c r="AC18" s="1738">
        <v>1</v>
      </c>
    </row>
    <row r="19" spans="1:29" ht="15">
      <c r="A19" s="371"/>
      <c r="B19" s="394" t="s">
        <v>2559</v>
      </c>
      <c r="C19" s="2472">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86"/>
      <c r="M19" s="1077"/>
      <c r="N19" s="1077"/>
      <c r="O19" s="1085"/>
      <c r="P19" s="3307"/>
      <c r="Q19" s="1737" t="str">
        <f>B19</f>
        <v>公共配套设施</v>
      </c>
      <c r="R19" s="717" t="s">
        <v>17</v>
      </c>
      <c r="S19" s="718">
        <f>F19</f>
        <v>100</v>
      </c>
      <c r="T19" s="717" t="s">
        <v>17</v>
      </c>
      <c r="U19" s="718">
        <f>H19</f>
        <v>100</v>
      </c>
      <c r="V19" s="717" t="s">
        <v>17</v>
      </c>
      <c r="W19" s="718">
        <f>J19</f>
        <v>100</v>
      </c>
      <c r="X19" s="1740"/>
      <c r="Y19" s="3307"/>
      <c r="Z19" s="1741" t="str">
        <f>Q19</f>
        <v>公共配套设施</v>
      </c>
      <c r="AA19" s="1738">
        <f t="shared" si="3"/>
        <v>1</v>
      </c>
      <c r="AB19" s="1738">
        <f t="shared" si="4"/>
        <v>1</v>
      </c>
      <c r="AC19" s="1738">
        <f t="shared" si="5"/>
        <v>1</v>
      </c>
    </row>
    <row r="20" spans="1:29" ht="15">
      <c r="A20" s="371"/>
      <c r="B20" s="399"/>
      <c r="C20" s="390"/>
      <c r="D20" s="391"/>
      <c r="E20" s="2470"/>
      <c r="F20" s="392"/>
      <c r="G20" s="2469"/>
      <c r="H20" s="391"/>
      <c r="I20" s="2470"/>
      <c r="J20" s="391"/>
      <c r="K20" s="558"/>
      <c r="L20" s="1086"/>
      <c r="M20" s="1077"/>
      <c r="N20" s="1077"/>
      <c r="O20" s="1085"/>
      <c r="P20" s="3307"/>
      <c r="Q20" s="1737"/>
      <c r="R20" s="717"/>
      <c r="S20" s="718"/>
      <c r="T20" s="717"/>
      <c r="U20" s="718"/>
      <c r="V20" s="717"/>
      <c r="W20" s="718"/>
      <c r="X20" s="1740"/>
      <c r="Y20" s="3307"/>
      <c r="Z20" s="1741"/>
      <c r="AA20" s="1738">
        <v>1</v>
      </c>
      <c r="AB20" s="1738">
        <v>1</v>
      </c>
      <c r="AC20" s="1738">
        <v>1</v>
      </c>
    </row>
    <row r="21" spans="1:29" ht="15">
      <c r="A21" s="371"/>
      <c r="B21" s="1316" t="s">
        <v>2560</v>
      </c>
      <c r="C21" s="2472">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86"/>
      <c r="M21" s="1077"/>
      <c r="N21" s="1077"/>
      <c r="O21" s="1085"/>
      <c r="P21" s="3307"/>
      <c r="Q21" s="1737" t="str">
        <f>B21</f>
        <v>基础设施水平</v>
      </c>
      <c r="R21" s="717" t="s">
        <v>17</v>
      </c>
      <c r="S21" s="718">
        <f>F21</f>
        <v>100</v>
      </c>
      <c r="T21" s="717" t="s">
        <v>17</v>
      </c>
      <c r="U21" s="718">
        <f>H21</f>
        <v>100</v>
      </c>
      <c r="V21" s="717" t="s">
        <v>17</v>
      </c>
      <c r="W21" s="718">
        <f>J21</f>
        <v>100</v>
      </c>
      <c r="X21" s="1740"/>
      <c r="Y21" s="3307"/>
      <c r="Z21" s="1741" t="str">
        <f>Q21</f>
        <v>基础设施水平</v>
      </c>
      <c r="AA21" s="1738">
        <f t="shared" ref="AA21" si="8">D21/F21</f>
        <v>1</v>
      </c>
      <c r="AB21" s="1738">
        <f t="shared" ref="AB21" si="9">D21/H21</f>
        <v>1</v>
      </c>
      <c r="AC21" s="1738">
        <f t="shared" ref="AC21" si="10">D21/J21</f>
        <v>1</v>
      </c>
    </row>
    <row r="22" spans="1:29" ht="15">
      <c r="A22" s="371"/>
      <c r="B22" s="1316"/>
      <c r="C22" s="2473"/>
      <c r="D22" s="391"/>
      <c r="E22" s="390"/>
      <c r="F22" s="392"/>
      <c r="G22" s="390"/>
      <c r="H22" s="391"/>
      <c r="I22" s="390"/>
      <c r="J22" s="391"/>
      <c r="K22" s="1315"/>
      <c r="L22" s="1086"/>
      <c r="M22" s="1077"/>
      <c r="N22" s="1077"/>
      <c r="O22" s="1085"/>
      <c r="P22" s="3307"/>
      <c r="Q22" s="1737"/>
      <c r="R22" s="717"/>
      <c r="S22" s="718"/>
      <c r="T22" s="717"/>
      <c r="U22" s="718"/>
      <c r="V22" s="717"/>
      <c r="W22" s="718"/>
      <c r="X22" s="1740"/>
      <c r="Y22" s="3307"/>
      <c r="Z22" s="1741"/>
      <c r="AA22" s="1738">
        <v>1</v>
      </c>
      <c r="AB22" s="1738">
        <v>1</v>
      </c>
      <c r="AC22" s="1738">
        <v>1</v>
      </c>
    </row>
    <row r="23" spans="1:29" ht="15">
      <c r="A23" s="371"/>
      <c r="B23" s="394" t="s">
        <v>2561</v>
      </c>
      <c r="C23" s="2472">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86"/>
      <c r="M23" s="1077"/>
      <c r="N23" s="1077"/>
      <c r="O23" s="1085"/>
      <c r="P23" s="3307"/>
      <c r="Q23" s="1737" t="str">
        <f>B23</f>
        <v>环境质量</v>
      </c>
      <c r="R23" s="717" t="s">
        <v>17</v>
      </c>
      <c r="S23" s="718">
        <f>F23</f>
        <v>100</v>
      </c>
      <c r="T23" s="717" t="s">
        <v>17</v>
      </c>
      <c r="U23" s="718">
        <f>H23</f>
        <v>100</v>
      </c>
      <c r="V23" s="717" t="s">
        <v>17</v>
      </c>
      <c r="W23" s="718">
        <f>J23</f>
        <v>100</v>
      </c>
      <c r="X23" s="1740"/>
      <c r="Y23" s="3307"/>
      <c r="Z23" s="1741" t="str">
        <f>Q23</f>
        <v>环境质量</v>
      </c>
      <c r="AA23" s="1738">
        <f t="shared" si="3"/>
        <v>1</v>
      </c>
      <c r="AB23" s="1738">
        <f t="shared" si="4"/>
        <v>1</v>
      </c>
      <c r="AC23" s="1738">
        <f t="shared" si="5"/>
        <v>1</v>
      </c>
    </row>
    <row r="24" spans="1:29" ht="15">
      <c r="A24" s="371"/>
      <c r="B24" s="1316"/>
      <c r="C24" s="390"/>
      <c r="D24" s="391"/>
      <c r="E24" s="2470"/>
      <c r="F24" s="392"/>
      <c r="G24" s="2469"/>
      <c r="H24" s="391"/>
      <c r="I24" s="2470"/>
      <c r="J24" s="391"/>
      <c r="K24" s="558"/>
      <c r="L24" s="1086"/>
      <c r="M24" s="1077"/>
      <c r="N24" s="1077"/>
      <c r="O24" s="1085"/>
      <c r="P24" s="3307"/>
      <c r="Q24" s="1737"/>
      <c r="R24" s="717"/>
      <c r="S24" s="718"/>
      <c r="T24" s="717"/>
      <c r="U24" s="718"/>
      <c r="V24" s="717"/>
      <c r="W24" s="718"/>
      <c r="X24" s="1740"/>
      <c r="Y24" s="3307"/>
      <c r="Z24" s="1741"/>
      <c r="AA24" s="1738">
        <v>1</v>
      </c>
      <c r="AB24" s="1738">
        <v>1</v>
      </c>
      <c r="AC24" s="1738">
        <v>1</v>
      </c>
    </row>
    <row r="25" spans="1:29" ht="15">
      <c r="A25" s="347"/>
      <c r="B25" s="1318">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86"/>
      <c r="M25" s="1077"/>
      <c r="N25" s="1077"/>
      <c r="O25" s="1085"/>
      <c r="P25" s="3307"/>
      <c r="Q25" s="1737">
        <f>B25</f>
        <v>111</v>
      </c>
      <c r="R25" s="717" t="s">
        <v>17</v>
      </c>
      <c r="S25" s="718">
        <f>F25</f>
        <v>100</v>
      </c>
      <c r="T25" s="717" t="s">
        <v>17</v>
      </c>
      <c r="U25" s="718">
        <f>H25</f>
        <v>100</v>
      </c>
      <c r="V25" s="717" t="s">
        <v>17</v>
      </c>
      <c r="W25" s="718">
        <f>J25</f>
        <v>100</v>
      </c>
      <c r="X25" s="1740"/>
      <c r="Y25" s="3307"/>
      <c r="Z25" s="1741">
        <f>Q25</f>
        <v>111</v>
      </c>
      <c r="AA25" s="1738">
        <f t="shared" si="3"/>
        <v>1</v>
      </c>
      <c r="AB25" s="1738">
        <f t="shared" si="4"/>
        <v>1</v>
      </c>
      <c r="AC25" s="1738">
        <f t="shared" si="5"/>
        <v>1</v>
      </c>
    </row>
    <row r="26" spans="1:29" ht="15">
      <c r="A26" s="371"/>
      <c r="B26" s="1318">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86"/>
      <c r="M26" s="1077"/>
      <c r="N26" s="1077"/>
      <c r="O26" s="1085"/>
      <c r="P26" s="3307"/>
      <c r="Q26" s="1737">
        <f t="shared" ref="Q26:Q40" si="11">B26</f>
        <v>111</v>
      </c>
      <c r="R26" s="717" t="s">
        <v>17</v>
      </c>
      <c r="S26" s="718">
        <f>F26</f>
        <v>100</v>
      </c>
      <c r="T26" s="717" t="s">
        <v>17</v>
      </c>
      <c r="U26" s="718">
        <f>H26</f>
        <v>100</v>
      </c>
      <c r="V26" s="717" t="s">
        <v>17</v>
      </c>
      <c r="W26" s="718">
        <f>J26</f>
        <v>100</v>
      </c>
      <c r="X26" s="1740"/>
      <c r="Y26" s="3307"/>
      <c r="Z26" s="1741">
        <f>Q26</f>
        <v>111</v>
      </c>
      <c r="AA26" s="1738">
        <f t="shared" si="3"/>
        <v>1</v>
      </c>
      <c r="AB26" s="1738">
        <f t="shared" si="4"/>
        <v>1</v>
      </c>
      <c r="AC26" s="1738">
        <f t="shared" si="5"/>
        <v>1</v>
      </c>
    </row>
    <row r="27" spans="1:29" s="72" customFormat="1" ht="15">
      <c r="A27" s="374"/>
      <c r="B27" s="1318">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8"/>
      <c r="M27" s="1079"/>
      <c r="N27" s="1079"/>
      <c r="O27" s="1080"/>
      <c r="P27" s="3307"/>
      <c r="Q27" s="1723">
        <f t="shared" si="11"/>
        <v>111</v>
      </c>
      <c r="R27" s="713" t="s">
        <v>17</v>
      </c>
      <c r="S27" s="714">
        <f>F27</f>
        <v>100</v>
      </c>
      <c r="T27" s="713" t="s">
        <v>17</v>
      </c>
      <c r="U27" s="714">
        <f>H27</f>
        <v>100</v>
      </c>
      <c r="V27" s="713" t="s">
        <v>17</v>
      </c>
      <c r="W27" s="714">
        <f>J27</f>
        <v>100</v>
      </c>
      <c r="X27" s="715"/>
      <c r="Y27" s="3307"/>
      <c r="Z27" s="54">
        <f>Q27</f>
        <v>111</v>
      </c>
      <c r="AA27" s="1738">
        <f>D27/F27</f>
        <v>1</v>
      </c>
      <c r="AB27" s="1738">
        <f>D27/H27</f>
        <v>1</v>
      </c>
      <c r="AC27" s="1738">
        <f>D27/J27</f>
        <v>1</v>
      </c>
    </row>
    <row r="28" spans="1:29" ht="15.75" thickBot="1">
      <c r="A28" s="379"/>
      <c r="B28" s="1318">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86"/>
      <c r="M28" s="1077"/>
      <c r="N28" s="1077"/>
      <c r="O28" s="1085"/>
      <c r="P28" s="3307"/>
      <c r="Q28" s="1737">
        <f t="shared" si="11"/>
        <v>111</v>
      </c>
      <c r="R28" s="717" t="s">
        <v>17</v>
      </c>
      <c r="S28" s="718">
        <f t="shared" ref="S28:S40" si="12">F28</f>
        <v>100</v>
      </c>
      <c r="T28" s="717" t="s">
        <v>17</v>
      </c>
      <c r="U28" s="718">
        <f t="shared" ref="U28:U40" si="13">H28</f>
        <v>100</v>
      </c>
      <c r="V28" s="717" t="s">
        <v>17</v>
      </c>
      <c r="W28" s="718">
        <f t="shared" ref="W28:W40" si="14">J28</f>
        <v>100</v>
      </c>
      <c r="X28" s="1740"/>
      <c r="Y28" s="3307"/>
      <c r="Z28" s="1741">
        <f t="shared" ref="Z28:Z40" si="15">Q28</f>
        <v>111</v>
      </c>
      <c r="AA28" s="1738">
        <f t="shared" si="3"/>
        <v>1</v>
      </c>
      <c r="AB28" s="1738">
        <f t="shared" si="4"/>
        <v>1</v>
      </c>
      <c r="AC28" s="1738">
        <f t="shared" si="5"/>
        <v>1</v>
      </c>
    </row>
    <row r="29" spans="1:29" ht="15">
      <c r="A29" s="409" t="s">
        <v>2434</v>
      </c>
      <c r="B29" s="70" t="s">
        <v>2564</v>
      </c>
      <c r="C29" s="2542"/>
      <c r="D29" s="410">
        <v>100</v>
      </c>
      <c r="E29" s="2542"/>
      <c r="F29" s="404">
        <f>SUMIF(88:88,E29,89:89)-SUMIF(88:88,C29,89:89)+100</f>
        <v>100</v>
      </c>
      <c r="G29" s="2542"/>
      <c r="H29" s="378">
        <f>SUMIF(88:88,G29,89:89)-SUMIF(88:88,C29,89:89)+100</f>
        <v>100</v>
      </c>
      <c r="I29" s="2542"/>
      <c r="J29" s="410">
        <f>SUMIF(88:88,I29,89:89)-SUMIF(88:88,C29,89:89)+100</f>
        <v>100</v>
      </c>
      <c r="K29" s="555"/>
      <c r="L29" s="1086"/>
      <c r="M29" s="1077"/>
      <c r="N29" s="1077"/>
      <c r="O29" s="1085"/>
      <c r="P29" s="3308" t="s">
        <v>2436</v>
      </c>
      <c r="Q29" s="1737" t="str">
        <f t="shared" si="11"/>
        <v>建筑类型</v>
      </c>
      <c r="R29" s="717" t="s">
        <v>17</v>
      </c>
      <c r="S29" s="718">
        <f t="shared" si="12"/>
        <v>100</v>
      </c>
      <c r="T29" s="717" t="s">
        <v>17</v>
      </c>
      <c r="U29" s="718">
        <f t="shared" si="13"/>
        <v>100</v>
      </c>
      <c r="V29" s="717" t="s">
        <v>17</v>
      </c>
      <c r="W29" s="718">
        <f t="shared" si="14"/>
        <v>100</v>
      </c>
      <c r="X29" s="1740"/>
      <c r="Y29" s="3309" t="s">
        <v>2436</v>
      </c>
      <c r="Z29" s="1741" t="str">
        <f t="shared" si="15"/>
        <v>建筑类型</v>
      </c>
      <c r="AA29" s="1738">
        <f t="shared" si="3"/>
        <v>1</v>
      </c>
      <c r="AB29" s="1738">
        <f t="shared" si="4"/>
        <v>1</v>
      </c>
      <c r="AC29" s="1738">
        <f t="shared" si="5"/>
        <v>1</v>
      </c>
    </row>
    <row r="30" spans="1:29" s="414" customFormat="1" ht="15">
      <c r="A30" s="411"/>
      <c r="B30" s="365" t="s">
        <v>2437</v>
      </c>
      <c r="C30" s="412"/>
      <c r="D30" s="79">
        <v>100</v>
      </c>
      <c r="E30" s="373"/>
      <c r="F30" s="368" t="e">
        <f>LOOKUP(E30,91:91,92:92)-LOOKUP(C30,91:91,92:92)+100</f>
        <v>#N/A</v>
      </c>
      <c r="G30" s="372"/>
      <c r="H30" s="79" t="e">
        <f>LOOKUP(G30,91:91,92:92)-LOOKUP(C30,91:91,92:92)+100</f>
        <v>#N/A</v>
      </c>
      <c r="I30" s="372"/>
      <c r="J30" s="79" t="e">
        <f>LOOKUP(I30,91:91,92:92)-LOOKUP(C30,91:91,92:92)+100</f>
        <v>#N/A</v>
      </c>
      <c r="K30" s="556"/>
      <c r="L30" s="1084"/>
      <c r="M30" s="1087"/>
      <c r="N30" s="1087"/>
      <c r="O30" s="1088"/>
      <c r="P30" s="3309"/>
      <c r="Q30" s="719" t="str">
        <f t="shared" si="11"/>
        <v>项目建筑规模</v>
      </c>
      <c r="R30" s="720" t="s">
        <v>17</v>
      </c>
      <c r="S30" s="721" t="e">
        <f t="shared" si="12"/>
        <v>#N/A</v>
      </c>
      <c r="T30" s="720" t="s">
        <v>17</v>
      </c>
      <c r="U30" s="721" t="e">
        <f t="shared" si="13"/>
        <v>#N/A</v>
      </c>
      <c r="V30" s="720" t="s">
        <v>17</v>
      </c>
      <c r="W30" s="721" t="e">
        <f t="shared" si="14"/>
        <v>#N/A</v>
      </c>
      <c r="X30" s="722"/>
      <c r="Y30" s="3309"/>
      <c r="Z30" s="723" t="str">
        <f t="shared" si="15"/>
        <v>项目建筑规模</v>
      </c>
      <c r="AA30" s="1738" t="e">
        <f t="shared" si="3"/>
        <v>#N/A</v>
      </c>
      <c r="AB30" s="1738" t="e">
        <f t="shared" si="4"/>
        <v>#N/A</v>
      </c>
      <c r="AC30" s="1738" t="e">
        <f t="shared" si="5"/>
        <v>#N/A</v>
      </c>
    </row>
    <row r="31" spans="1:29" ht="15">
      <c r="A31" s="415"/>
      <c r="B31" s="365" t="s">
        <v>2438</v>
      </c>
      <c r="C31" s="403"/>
      <c r="D31" s="378">
        <v>100</v>
      </c>
      <c r="E31" s="403"/>
      <c r="F31" s="404">
        <f>SUMIF(93:93,E31,94:94)-SUMIF(93:93,C31,94:94)+100</f>
        <v>100</v>
      </c>
      <c r="G31" s="403"/>
      <c r="H31" s="378">
        <f>SUMIF(93:93,G31,94:94)-SUMIF(93:93,C31,94:94)+100</f>
        <v>100</v>
      </c>
      <c r="I31" s="403"/>
      <c r="J31" s="378">
        <f>SUMIF(93:93,I31,94:94)-SUMIF(93:93,C31,94:94)+100</f>
        <v>100</v>
      </c>
      <c r="K31" s="555"/>
      <c r="L31" s="1086"/>
      <c r="M31" s="1077"/>
      <c r="N31" s="1077"/>
      <c r="O31" s="1085"/>
      <c r="P31" s="3309"/>
      <c r="Q31" s="1737" t="str">
        <f t="shared" si="11"/>
        <v>建筑结构</v>
      </c>
      <c r="R31" s="717" t="s">
        <v>17</v>
      </c>
      <c r="S31" s="718">
        <f t="shared" si="12"/>
        <v>100</v>
      </c>
      <c r="T31" s="717" t="s">
        <v>17</v>
      </c>
      <c r="U31" s="718">
        <f t="shared" si="13"/>
        <v>100</v>
      </c>
      <c r="V31" s="717" t="s">
        <v>17</v>
      </c>
      <c r="W31" s="718">
        <f t="shared" si="14"/>
        <v>100</v>
      </c>
      <c r="X31" s="1740"/>
      <c r="Y31" s="3309"/>
      <c r="Z31" s="1741" t="str">
        <f t="shared" si="15"/>
        <v>建筑结构</v>
      </c>
      <c r="AA31" s="1738">
        <f t="shared" si="3"/>
        <v>1</v>
      </c>
      <c r="AB31" s="1738">
        <f t="shared" si="4"/>
        <v>1</v>
      </c>
      <c r="AC31" s="1738">
        <f t="shared" si="5"/>
        <v>1</v>
      </c>
    </row>
    <row r="32" spans="1:29" ht="15">
      <c r="A32" s="415"/>
      <c r="B32" s="365" t="s">
        <v>2532</v>
      </c>
      <c r="C32" s="403"/>
      <c r="D32" s="378">
        <v>100</v>
      </c>
      <c r="E32" s="403"/>
      <c r="F32" s="404">
        <f>SUMIF(95:95,E32,96:96)-SUMIF(95:95,C32,96:96)+100</f>
        <v>100</v>
      </c>
      <c r="G32" s="403"/>
      <c r="H32" s="378">
        <f>SUMIF(95:95,G32,96:96)-SUMIF(95:95,C32,96:96)+100</f>
        <v>100</v>
      </c>
      <c r="I32" s="403"/>
      <c r="J32" s="378">
        <f>SUMIF(95:95,I32,96:96)-SUMIF(95:95,C32,96:96)+100</f>
        <v>100</v>
      </c>
      <c r="K32" s="555"/>
      <c r="L32" s="1086"/>
      <c r="M32" s="1077"/>
      <c r="N32" s="1077"/>
      <c r="O32" s="1085"/>
      <c r="P32" s="3309"/>
      <c r="Q32" s="1737" t="str">
        <f t="shared" si="11"/>
        <v>公共部分装修</v>
      </c>
      <c r="R32" s="717" t="s">
        <v>17</v>
      </c>
      <c r="S32" s="718">
        <f t="shared" si="12"/>
        <v>100</v>
      </c>
      <c r="T32" s="717" t="s">
        <v>17</v>
      </c>
      <c r="U32" s="718">
        <f t="shared" si="13"/>
        <v>100</v>
      </c>
      <c r="V32" s="717" t="s">
        <v>17</v>
      </c>
      <c r="W32" s="718">
        <f t="shared" si="14"/>
        <v>100</v>
      </c>
      <c r="X32" s="1740"/>
      <c r="Y32" s="3309"/>
      <c r="Z32" s="1741" t="str">
        <f t="shared" si="15"/>
        <v>公共部分装修</v>
      </c>
      <c r="AA32" s="1738">
        <f t="shared" si="3"/>
        <v>1</v>
      </c>
      <c r="AB32" s="1738">
        <f t="shared" si="4"/>
        <v>1</v>
      </c>
      <c r="AC32" s="1738">
        <f t="shared" si="5"/>
        <v>1</v>
      </c>
    </row>
    <row r="33" spans="1:29" ht="15">
      <c r="A33" s="415"/>
      <c r="B33" s="365" t="s">
        <v>2533</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86"/>
      <c r="M33" s="1077"/>
      <c r="N33" s="1077"/>
      <c r="O33" s="1085"/>
      <c r="P33" s="3309"/>
      <c r="Q33" s="1737" t="str">
        <f t="shared" si="11"/>
        <v>成新度</v>
      </c>
      <c r="R33" s="717" t="s">
        <v>17</v>
      </c>
      <c r="S33" s="718" t="e">
        <f t="shared" si="12"/>
        <v>#N/A</v>
      </c>
      <c r="T33" s="717" t="s">
        <v>17</v>
      </c>
      <c r="U33" s="718" t="e">
        <f t="shared" si="13"/>
        <v>#N/A</v>
      </c>
      <c r="V33" s="717" t="s">
        <v>17</v>
      </c>
      <c r="W33" s="718" t="e">
        <f t="shared" si="14"/>
        <v>#N/A</v>
      </c>
      <c r="X33" s="1740"/>
      <c r="Y33" s="3309"/>
      <c r="Z33" s="1741" t="str">
        <f t="shared" si="15"/>
        <v>成新度</v>
      </c>
      <c r="AA33" s="1738" t="e">
        <f t="shared" si="3"/>
        <v>#N/A</v>
      </c>
      <c r="AB33" s="1738" t="e">
        <f t="shared" si="4"/>
        <v>#N/A</v>
      </c>
      <c r="AC33" s="1738" t="e">
        <f t="shared" si="5"/>
        <v>#N/A</v>
      </c>
    </row>
    <row r="34" spans="1:29" s="72" customFormat="1" ht="15">
      <c r="A34" s="416"/>
      <c r="B34" s="365" t="s">
        <v>2566</v>
      </c>
      <c r="C34" s="403"/>
      <c r="D34" s="79">
        <v>100</v>
      </c>
      <c r="E34" s="403"/>
      <c r="F34" s="404">
        <f>SUMIF(100:100,E34,101:101)-SUMIF(100:100,C34,101:101)+100</f>
        <v>100</v>
      </c>
      <c r="G34" s="403"/>
      <c r="H34" s="378">
        <f>SUMIF(100:100,G34,101:101)-SUMIF(100:100,C34,101:101)+100</f>
        <v>100</v>
      </c>
      <c r="I34" s="403"/>
      <c r="J34" s="378">
        <f>SUMIF(100:100,I34,101:101)-SUMIF(100:100,C34,101:101)+100</f>
        <v>100</v>
      </c>
      <c r="K34" s="555"/>
      <c r="L34" s="1078"/>
      <c r="M34" s="1079"/>
      <c r="N34" s="1079"/>
      <c r="O34" s="1080"/>
      <c r="P34" s="3309"/>
      <c r="Q34" s="1723" t="str">
        <f t="shared" si="11"/>
        <v>物业管理</v>
      </c>
      <c r="R34" s="713" t="s">
        <v>17</v>
      </c>
      <c r="S34" s="714">
        <f t="shared" si="12"/>
        <v>100</v>
      </c>
      <c r="T34" s="713" t="s">
        <v>17</v>
      </c>
      <c r="U34" s="714">
        <f t="shared" si="13"/>
        <v>100</v>
      </c>
      <c r="V34" s="713" t="s">
        <v>17</v>
      </c>
      <c r="W34" s="714">
        <f t="shared" si="14"/>
        <v>100</v>
      </c>
      <c r="X34" s="715"/>
      <c r="Y34" s="3309"/>
      <c r="Z34" s="54" t="str">
        <f t="shared" si="15"/>
        <v>物业管理</v>
      </c>
      <c r="AA34" s="716">
        <f t="shared" si="3"/>
        <v>1</v>
      </c>
      <c r="AB34" s="716">
        <f t="shared" si="4"/>
        <v>1</v>
      </c>
      <c r="AC34" s="716">
        <f t="shared" si="5"/>
        <v>1</v>
      </c>
    </row>
    <row r="35" spans="1:29" ht="15">
      <c r="A35" s="415"/>
      <c r="B35" s="365" t="s">
        <v>2534</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86"/>
      <c r="M35" s="1077"/>
      <c r="N35" s="1077"/>
      <c r="O35" s="1085"/>
      <c r="P35" s="3309" t="s">
        <v>2436</v>
      </c>
      <c r="Q35" s="1737" t="str">
        <f t="shared" si="11"/>
        <v>市政基础设施</v>
      </c>
      <c r="R35" s="717" t="s">
        <v>17</v>
      </c>
      <c r="S35" s="718">
        <f t="shared" si="12"/>
        <v>100</v>
      </c>
      <c r="T35" s="717" t="s">
        <v>17</v>
      </c>
      <c r="U35" s="718">
        <f t="shared" si="13"/>
        <v>100</v>
      </c>
      <c r="V35" s="717" t="s">
        <v>17</v>
      </c>
      <c r="W35" s="718">
        <f t="shared" si="14"/>
        <v>100</v>
      </c>
      <c r="X35" s="1740"/>
      <c r="Y35" s="3309" t="s">
        <v>2436</v>
      </c>
      <c r="Z35" s="1741" t="str">
        <f t="shared" si="15"/>
        <v>市政基础设施</v>
      </c>
      <c r="AA35" s="1738">
        <f t="shared" si="3"/>
        <v>1</v>
      </c>
      <c r="AB35" s="1738">
        <f t="shared" si="4"/>
        <v>1</v>
      </c>
      <c r="AC35" s="1738">
        <f t="shared" si="5"/>
        <v>1</v>
      </c>
    </row>
    <row r="36" spans="1:29" ht="15">
      <c r="A36" s="415"/>
      <c r="B36" s="365" t="s">
        <v>2539</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86"/>
      <c r="M36" s="1077"/>
      <c r="N36" s="1077"/>
      <c r="O36" s="1085"/>
      <c r="P36" s="3309"/>
      <c r="Q36" s="1737" t="str">
        <f t="shared" si="11"/>
        <v>内部装修</v>
      </c>
      <c r="R36" s="717" t="s">
        <v>17</v>
      </c>
      <c r="S36" s="718">
        <f t="shared" si="12"/>
        <v>100</v>
      </c>
      <c r="T36" s="717" t="s">
        <v>17</v>
      </c>
      <c r="U36" s="718">
        <f t="shared" si="13"/>
        <v>100</v>
      </c>
      <c r="V36" s="717" t="s">
        <v>17</v>
      </c>
      <c r="W36" s="718">
        <f t="shared" si="14"/>
        <v>100</v>
      </c>
      <c r="X36" s="1740"/>
      <c r="Y36" s="3309"/>
      <c r="Z36" s="1741" t="str">
        <f t="shared" si="15"/>
        <v>内部装修</v>
      </c>
      <c r="AA36" s="1738">
        <f t="shared" si="3"/>
        <v>1</v>
      </c>
      <c r="AB36" s="1738">
        <f t="shared" si="4"/>
        <v>1</v>
      </c>
      <c r="AC36" s="1738">
        <f t="shared" si="5"/>
        <v>1</v>
      </c>
    </row>
    <row r="37" spans="1:29" ht="15">
      <c r="A37" s="415"/>
      <c r="B37" s="365" t="s">
        <v>2575</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86"/>
      <c r="M37" s="1077"/>
      <c r="N37" s="1077"/>
      <c r="O37" s="1085"/>
      <c r="P37" s="3309"/>
      <c r="Q37" s="1737" t="str">
        <f t="shared" si="11"/>
        <v>内部装修状况</v>
      </c>
      <c r="R37" s="717" t="s">
        <v>17</v>
      </c>
      <c r="S37" s="718">
        <f t="shared" si="12"/>
        <v>100</v>
      </c>
      <c r="T37" s="717" t="s">
        <v>17</v>
      </c>
      <c r="U37" s="718">
        <f t="shared" si="13"/>
        <v>100</v>
      </c>
      <c r="V37" s="717" t="s">
        <v>17</v>
      </c>
      <c r="W37" s="718">
        <f t="shared" si="14"/>
        <v>100</v>
      </c>
      <c r="X37" s="1740"/>
      <c r="Y37" s="3309"/>
      <c r="Z37" s="1741" t="str">
        <f t="shared" si="15"/>
        <v>内部装修状况</v>
      </c>
      <c r="AA37" s="1738">
        <f t="shared" si="3"/>
        <v>1</v>
      </c>
      <c r="AB37" s="1738">
        <f t="shared" si="4"/>
        <v>1</v>
      </c>
      <c r="AC37" s="1738">
        <f t="shared" si="5"/>
        <v>1</v>
      </c>
    </row>
    <row r="38" spans="1:29" s="414" customFormat="1" ht="15">
      <c r="A38" s="411"/>
      <c r="B38" s="1318">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84"/>
      <c r="M38" s="1087"/>
      <c r="N38" s="1087"/>
      <c r="O38" s="1088"/>
      <c r="P38" s="3309"/>
      <c r="Q38" s="719">
        <f t="shared" si="11"/>
        <v>111</v>
      </c>
      <c r="R38" s="720" t="s">
        <v>17</v>
      </c>
      <c r="S38" s="721">
        <f t="shared" si="12"/>
        <v>100</v>
      </c>
      <c r="T38" s="720" t="s">
        <v>17</v>
      </c>
      <c r="U38" s="721">
        <f t="shared" si="13"/>
        <v>100</v>
      </c>
      <c r="V38" s="720" t="s">
        <v>17</v>
      </c>
      <c r="W38" s="721">
        <f t="shared" si="14"/>
        <v>100</v>
      </c>
      <c r="X38" s="722"/>
      <c r="Y38" s="3309"/>
      <c r="Z38" s="723">
        <f t="shared" si="15"/>
        <v>111</v>
      </c>
      <c r="AA38" s="1738">
        <f t="shared" si="3"/>
        <v>1</v>
      </c>
      <c r="AB38" s="1738">
        <f t="shared" si="4"/>
        <v>1</v>
      </c>
      <c r="AC38" s="1738">
        <f t="shared" si="5"/>
        <v>1</v>
      </c>
    </row>
    <row r="39" spans="1:29" ht="15">
      <c r="A39" s="415"/>
      <c r="B39" s="1318">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86"/>
      <c r="M39" s="1077"/>
      <c r="N39" s="1077"/>
      <c r="O39" s="1085"/>
      <c r="P39" s="3309"/>
      <c r="Q39" s="1737">
        <f t="shared" si="11"/>
        <v>111</v>
      </c>
      <c r="R39" s="717" t="s">
        <v>17</v>
      </c>
      <c r="S39" s="718">
        <f t="shared" si="12"/>
        <v>100</v>
      </c>
      <c r="T39" s="717" t="s">
        <v>17</v>
      </c>
      <c r="U39" s="718">
        <f t="shared" si="13"/>
        <v>100</v>
      </c>
      <c r="V39" s="717" t="s">
        <v>17</v>
      </c>
      <c r="W39" s="718">
        <f t="shared" si="14"/>
        <v>100</v>
      </c>
      <c r="X39" s="1740"/>
      <c r="Y39" s="3309"/>
      <c r="Z39" s="1741">
        <f t="shared" si="15"/>
        <v>111</v>
      </c>
      <c r="AA39" s="1738">
        <f t="shared" si="3"/>
        <v>1</v>
      </c>
      <c r="AB39" s="1738">
        <f t="shared" si="4"/>
        <v>1</v>
      </c>
      <c r="AC39" s="1738">
        <f t="shared" si="5"/>
        <v>1</v>
      </c>
    </row>
    <row r="40" spans="1:29" ht="15.75" thickBot="1">
      <c r="A40" s="421"/>
      <c r="B40" s="2467">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86"/>
      <c r="M40" s="1077"/>
      <c r="N40" s="1077"/>
      <c r="O40" s="1085"/>
      <c r="P40" s="3354"/>
      <c r="Q40" s="1737">
        <f t="shared" si="11"/>
        <v>111</v>
      </c>
      <c r="R40" s="717" t="s">
        <v>17</v>
      </c>
      <c r="S40" s="718">
        <f t="shared" si="12"/>
        <v>100</v>
      </c>
      <c r="T40" s="717" t="s">
        <v>17</v>
      </c>
      <c r="U40" s="718">
        <f t="shared" si="13"/>
        <v>100</v>
      </c>
      <c r="V40" s="717" t="s">
        <v>17</v>
      </c>
      <c r="W40" s="718">
        <f t="shared" si="14"/>
        <v>100</v>
      </c>
      <c r="X40" s="1740"/>
      <c r="Y40" s="3354"/>
      <c r="Z40" s="1741">
        <f t="shared" si="15"/>
        <v>111</v>
      </c>
      <c r="AA40" s="1738">
        <f t="shared" si="3"/>
        <v>1</v>
      </c>
      <c r="AB40" s="1738">
        <f t="shared" si="4"/>
        <v>1</v>
      </c>
      <c r="AC40" s="1738">
        <f t="shared" si="5"/>
        <v>1</v>
      </c>
    </row>
    <row r="41" spans="1:29" ht="15">
      <c r="A41" s="422" t="s">
        <v>2448</v>
      </c>
      <c r="B41" s="423"/>
      <c r="C41" s="1339" t="s">
        <v>1</v>
      </c>
      <c r="D41" s="1340"/>
      <c r="E41" s="1341"/>
      <c r="F41" s="1342"/>
      <c r="G41" s="1343"/>
      <c r="H41" s="1344"/>
      <c r="I41" s="1341"/>
      <c r="J41" s="1344"/>
      <c r="K41" s="726"/>
      <c r="L41" s="1089"/>
      <c r="M41" s="1090"/>
      <c r="N41" s="1077"/>
      <c r="O41" s="1090"/>
      <c r="P41" s="3291" t="str">
        <f>A41</f>
        <v>成交单价（元/平方米）</v>
      </c>
      <c r="Q41" s="3291"/>
      <c r="R41" s="3350">
        <f>E41</f>
        <v>0</v>
      </c>
      <c r="S41" s="3350"/>
      <c r="T41" s="3350">
        <f>G41</f>
        <v>0</v>
      </c>
      <c r="U41" s="3350"/>
      <c r="V41" s="3350">
        <f>I41</f>
        <v>0</v>
      </c>
      <c r="W41" s="3350"/>
      <c r="X41" s="702"/>
      <c r="Y41" s="724"/>
      <c r="Z41" s="702"/>
      <c r="AA41" s="702"/>
      <c r="AB41" s="702"/>
      <c r="AC41" s="702"/>
    </row>
    <row r="42" spans="1:29" ht="15.75" thickBot="1">
      <c r="A42" s="429" t="s">
        <v>2540</v>
      </c>
      <c r="B42" s="430"/>
      <c r="C42" s="1345" t="e">
        <f>R43</f>
        <v>#DIV/0!</v>
      </c>
      <c r="D42" s="1346"/>
      <c r="E42" s="1347" t="e">
        <f>R42</f>
        <v>#DIV/0!</v>
      </c>
      <c r="F42" s="1347"/>
      <c r="G42" s="1345" t="e">
        <f>T42</f>
        <v>#DIV/0!</v>
      </c>
      <c r="H42" s="1346"/>
      <c r="I42" s="1347" t="e">
        <f>V42</f>
        <v>#DIV/0!</v>
      </c>
      <c r="J42" s="1346"/>
      <c r="K42" s="727"/>
      <c r="L42" s="1089"/>
      <c r="M42" s="1090"/>
      <c r="N42" s="1077"/>
      <c r="O42" s="1090"/>
      <c r="P42" s="3291" t="str">
        <f>A42</f>
        <v>比较价值（元/平方米）</v>
      </c>
      <c r="Q42" s="3291"/>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702"/>
      <c r="Y42" s="702"/>
      <c r="Z42" s="702"/>
      <c r="AA42" s="702"/>
      <c r="AB42" s="702"/>
      <c r="AC42" s="702"/>
    </row>
    <row r="43" spans="1:29" ht="15.75" thickBot="1">
      <c r="A43" s="435" t="s">
        <v>2541</v>
      </c>
      <c r="B43" s="436"/>
      <c r="C43" s="1349" t="e">
        <f>R43</f>
        <v>#DIV/0!</v>
      </c>
      <c r="D43" s="1349"/>
      <c r="E43" s="1349"/>
      <c r="F43" s="1349"/>
      <c r="G43" s="1349"/>
      <c r="H43" s="1349"/>
      <c r="I43" s="1349"/>
      <c r="J43" s="1349"/>
      <c r="K43" s="728"/>
      <c r="L43" s="1089"/>
      <c r="M43" s="1090"/>
      <c r="N43" s="1090"/>
      <c r="O43" s="1090"/>
      <c r="P43" s="3311" t="str">
        <f>A43</f>
        <v>估价对象XX用房的比较价值（楼面单价，元/平方米）</v>
      </c>
      <c r="Q43" s="3312"/>
      <c r="R43" s="3349" t="e">
        <f>IF(F1="售价",ROUND(AVERAGE(R42:V42),0),ROUND(AVERAGE(R42:V42),1))</f>
        <v>#DIV/0!</v>
      </c>
      <c r="S43" s="3349"/>
      <c r="T43" s="3349"/>
      <c r="U43" s="3349"/>
      <c r="V43" s="3349"/>
      <c r="W43" s="3349"/>
      <c r="X43" s="702"/>
      <c r="Y43" s="702"/>
      <c r="Z43" s="702"/>
      <c r="AA43" s="702"/>
      <c r="AB43" s="702"/>
      <c r="AC43" s="702"/>
    </row>
    <row r="44" spans="1:29">
      <c r="A44" s="1090"/>
      <c r="B44" s="1090"/>
      <c r="C44" s="1090"/>
      <c r="D44" s="1090"/>
      <c r="E44" s="1090"/>
      <c r="F44" s="1090"/>
      <c r="G44" s="1093"/>
      <c r="H44" s="1090"/>
      <c r="I44" s="1090"/>
      <c r="J44" s="1090"/>
      <c r="K44" s="1051"/>
      <c r="L44" s="1052"/>
      <c r="M44" s="1090"/>
      <c r="N44" s="1090"/>
      <c r="O44" s="1090"/>
    </row>
    <row r="45" spans="1:29">
      <c r="A45" s="1090"/>
      <c r="B45" s="1090"/>
      <c r="C45" s="1090"/>
      <c r="D45" s="1090"/>
      <c r="E45" s="1090"/>
      <c r="F45" s="1090"/>
      <c r="G45" s="1090"/>
      <c r="H45" s="1090"/>
      <c r="I45" s="1090"/>
      <c r="J45" s="1090"/>
      <c r="K45" s="1051"/>
      <c r="L45" s="1052"/>
      <c r="M45" s="1090"/>
      <c r="N45" s="1090"/>
      <c r="O45" s="1090"/>
    </row>
    <row r="46" spans="1:29" ht="13.5" customHeight="1">
      <c r="A46" s="1090"/>
      <c r="B46" s="1090"/>
      <c r="C46" s="440" t="s">
        <v>2542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1"/>
      <c r="L46" s="1052"/>
      <c r="M46" s="1090"/>
      <c r="N46" s="1090"/>
      <c r="O46" s="1090"/>
    </row>
    <row r="47" spans="1:29" ht="13.5" customHeight="1">
      <c r="A47" s="1090"/>
      <c r="B47" s="1090"/>
      <c r="C47" s="440" t="s">
        <v>2543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1"/>
      <c r="L47" s="1052"/>
      <c r="M47" s="1090"/>
      <c r="N47" s="1090"/>
      <c r="O47" s="1090"/>
    </row>
    <row r="48" spans="1:29" s="445" customFormat="1" ht="13.5" customHeight="1">
      <c r="A48" s="1091"/>
      <c r="B48" s="1091"/>
      <c r="C48" s="440" t="s">
        <v>2544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4"/>
      <c r="L48" s="1095"/>
      <c r="M48" s="1091"/>
      <c r="N48" s="1091"/>
      <c r="O48" s="1091"/>
    </row>
    <row r="49" spans="1:17" s="445" customFormat="1">
      <c r="A49" s="1091"/>
      <c r="B49" s="1092"/>
      <c r="C49" s="1096"/>
      <c r="D49" s="1091"/>
      <c r="E49" s="1091"/>
      <c r="F49" s="1091"/>
      <c r="G49" s="1091"/>
      <c r="H49" s="1091"/>
      <c r="I49" s="1091"/>
      <c r="J49" s="1091"/>
      <c r="K49" s="1094"/>
      <c r="L49" s="1095"/>
      <c r="M49" s="1091"/>
      <c r="N49" s="1091"/>
      <c r="O49" s="1091"/>
    </row>
    <row r="50" spans="1:17">
      <c r="A50" s="1090"/>
      <c r="B50" s="1092"/>
      <c r="C50" s="1096"/>
      <c r="D50" s="1090"/>
      <c r="E50" s="1090"/>
      <c r="F50" s="1090"/>
      <c r="G50" s="1090"/>
      <c r="H50" s="1090"/>
      <c r="I50" s="1090"/>
      <c r="J50" s="1090"/>
      <c r="K50" s="1051"/>
      <c r="L50" s="1052"/>
      <c r="M50" s="1090"/>
      <c r="N50" s="1090"/>
      <c r="O50" s="1090"/>
    </row>
    <row r="51" spans="1:17" ht="21.75" thickBot="1">
      <c r="A51" s="706" t="s">
        <v>2545</v>
      </c>
      <c r="B51" s="702"/>
      <c r="C51" s="707"/>
      <c r="D51" s="707"/>
      <c r="E51" s="707"/>
      <c r="F51" s="708"/>
      <c r="G51" s="708"/>
      <c r="H51" s="707"/>
      <c r="I51" s="707"/>
      <c r="J51" s="707"/>
      <c r="K51" s="1106"/>
      <c r="L51" s="1107"/>
      <c r="M51" s="1105"/>
      <c r="N51" s="1105"/>
      <c r="O51" s="1105"/>
      <c r="P51" s="446"/>
      <c r="Q51" s="447"/>
    </row>
    <row r="52" spans="1:17" s="451" customFormat="1" ht="15">
      <c r="A52" s="448" t="s">
        <v>2419</v>
      </c>
      <c r="B52" s="449"/>
      <c r="C52" s="1504" t="str">
        <f>YEAR(C7)&amp;"-"&amp;MONTH(C7)</f>
        <v>2018-7</v>
      </c>
      <c r="D52" s="1505">
        <f>EDATE(C52,-1)</f>
        <v>43252</v>
      </c>
      <c r="E52" s="1505">
        <f t="shared" ref="E52:O52" si="16">EDATE(D52,-1)</f>
        <v>43221</v>
      </c>
      <c r="F52" s="1505">
        <f t="shared" si="16"/>
        <v>43191</v>
      </c>
      <c r="G52" s="1505">
        <f t="shared" si="16"/>
        <v>43160</v>
      </c>
      <c r="H52" s="1505">
        <f t="shared" si="16"/>
        <v>43132</v>
      </c>
      <c r="I52" s="1505">
        <f t="shared" si="16"/>
        <v>43101</v>
      </c>
      <c r="J52" s="1505">
        <f t="shared" si="16"/>
        <v>43070</v>
      </c>
      <c r="K52" s="1505">
        <f t="shared" si="16"/>
        <v>43040</v>
      </c>
      <c r="L52" s="1505">
        <f t="shared" si="16"/>
        <v>43009</v>
      </c>
      <c r="M52" s="1505">
        <f t="shared" si="16"/>
        <v>42979</v>
      </c>
      <c r="N52" s="1505">
        <f t="shared" si="16"/>
        <v>42948</v>
      </c>
      <c r="O52" s="1505">
        <f t="shared" si="16"/>
        <v>42917</v>
      </c>
      <c r="P52" s="450"/>
    </row>
    <row r="53" spans="1:17" s="72" customFormat="1" ht="15">
      <c r="A53" s="452"/>
      <c r="B53" s="453"/>
      <c r="C53" s="1503">
        <v>100</v>
      </c>
      <c r="D53" s="455"/>
      <c r="E53" s="455"/>
      <c r="F53" s="455"/>
      <c r="G53" s="455"/>
      <c r="H53" s="455"/>
      <c r="I53" s="455"/>
      <c r="J53" s="455"/>
      <c r="K53" s="455"/>
      <c r="L53" s="455"/>
      <c r="M53" s="456"/>
      <c r="N53" s="455"/>
      <c r="O53" s="457"/>
      <c r="P53" s="447"/>
    </row>
    <row r="54" spans="1:17" s="72" customFormat="1" ht="15.75" thickBot="1">
      <c r="A54" s="458" t="s">
        <v>2456</v>
      </c>
      <c r="B54" s="459"/>
      <c r="C54" s="460"/>
      <c r="D54" s="461"/>
      <c r="E54" s="461"/>
      <c r="F54" s="461"/>
      <c r="G54" s="461"/>
      <c r="H54" s="461"/>
      <c r="I54" s="461"/>
      <c r="J54" s="461"/>
      <c r="K54" s="461"/>
      <c r="L54" s="461"/>
      <c r="M54" s="462"/>
      <c r="N54" s="461"/>
      <c r="O54" s="463"/>
      <c r="P54" s="447"/>
      <c r="Q54" s="447"/>
    </row>
    <row r="55" spans="1:17" s="72" customFormat="1" ht="15">
      <c r="A55" s="464" t="s">
        <v>2421</v>
      </c>
      <c r="B55" s="453"/>
      <c r="C55" s="465" t="s">
        <v>2523</v>
      </c>
      <c r="D55" s="466"/>
      <c r="E55" s="466"/>
      <c r="F55" s="466"/>
      <c r="G55" s="466"/>
      <c r="H55" s="466"/>
      <c r="I55" s="466"/>
      <c r="J55" s="466"/>
      <c r="K55" s="466"/>
      <c r="L55" s="467"/>
      <c r="M55" s="468"/>
      <c r="N55" s="1097"/>
      <c r="O55" s="1097"/>
      <c r="P55" s="469"/>
      <c r="Q55" s="447"/>
    </row>
    <row r="56" spans="1:17" s="72" customFormat="1" ht="15.75" thickBot="1">
      <c r="A56" s="464"/>
      <c r="B56" s="453"/>
      <c r="C56" s="582">
        <v>100</v>
      </c>
      <c r="D56" s="455"/>
      <c r="E56" s="455"/>
      <c r="F56" s="455"/>
      <c r="G56" s="455"/>
      <c r="H56" s="455"/>
      <c r="I56" s="455"/>
      <c r="J56" s="455"/>
      <c r="K56" s="455"/>
      <c r="L56" s="455"/>
      <c r="M56" s="457"/>
      <c r="N56" s="1097"/>
      <c r="O56" s="1097"/>
      <c r="P56" s="447"/>
      <c r="Q56" s="447"/>
    </row>
    <row r="57" spans="1:17">
      <c r="A57" s="470" t="s">
        <v>2459</v>
      </c>
      <c r="B57" s="471" t="s">
        <v>2425</v>
      </c>
      <c r="C57" s="472">
        <f>C9</f>
        <v>0</v>
      </c>
      <c r="D57" s="473"/>
      <c r="E57" s="473"/>
      <c r="F57" s="473"/>
      <c r="G57" s="473"/>
      <c r="H57" s="473"/>
      <c r="I57" s="473"/>
      <c r="J57" s="473"/>
      <c r="K57" s="474"/>
      <c r="L57" s="475"/>
      <c r="M57" s="476"/>
      <c r="N57" s="1098"/>
      <c r="O57" s="1098"/>
      <c r="P57" s="45"/>
      <c r="Q57" s="447"/>
    </row>
    <row r="58" spans="1:17" ht="15.75" thickBot="1">
      <c r="A58" s="477"/>
      <c r="B58" s="478"/>
      <c r="C58" s="479">
        <v>100</v>
      </c>
      <c r="D58" s="479"/>
      <c r="E58" s="479"/>
      <c r="F58" s="479"/>
      <c r="G58" s="479"/>
      <c r="H58" s="479"/>
      <c r="I58" s="479"/>
      <c r="J58" s="479"/>
      <c r="K58" s="479"/>
      <c r="L58" s="479"/>
      <c r="M58" s="480"/>
      <c r="N58" s="1099"/>
      <c r="O58" s="1099"/>
      <c r="P58" s="45"/>
      <c r="Q58" s="447"/>
    </row>
    <row r="59" spans="1:17" ht="27.75" thickTop="1">
      <c r="A59" s="477"/>
      <c r="B59" s="481" t="s">
        <v>2428</v>
      </c>
      <c r="C59" s="482" t="s">
        <v>2460</v>
      </c>
      <c r="D59" s="482" t="s">
        <v>2461</v>
      </c>
      <c r="E59" s="482" t="s">
        <v>2462</v>
      </c>
      <c r="F59" s="482" t="s">
        <v>2463</v>
      </c>
      <c r="G59" s="482" t="s">
        <v>2464</v>
      </c>
      <c r="H59" s="482" t="s">
        <v>2465</v>
      </c>
      <c r="I59" s="482" t="s">
        <v>2466</v>
      </c>
      <c r="J59" s="482"/>
      <c r="K59" s="483"/>
      <c r="L59" s="484"/>
      <c r="M59" s="485"/>
      <c r="N59" s="1098"/>
      <c r="O59" s="1098"/>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9"/>
      <c r="O60" s="1099"/>
      <c r="P60" s="45"/>
      <c r="Q60" s="447"/>
    </row>
    <row r="61" spans="1:17" ht="15.75" thickTop="1">
      <c r="A61" s="477"/>
      <c r="B61" s="489" t="s">
        <v>2429</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9"/>
      <c r="O61" s="1099"/>
      <c r="P61" s="45"/>
      <c r="Q61" s="447"/>
    </row>
    <row r="62" spans="1:17" ht="15">
      <c r="A62" s="477"/>
      <c r="B62" s="491"/>
      <c r="C62" s="492"/>
      <c r="D62" s="492"/>
      <c r="E62" s="492"/>
      <c r="F62" s="492"/>
      <c r="G62" s="492"/>
      <c r="H62" s="492"/>
      <c r="I62" s="492"/>
      <c r="J62" s="492"/>
      <c r="K62" s="493"/>
      <c r="L62" s="494"/>
      <c r="M62" s="495"/>
      <c r="N62" s="1098"/>
      <c r="O62" s="1098"/>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9"/>
      <c r="O63" s="1099"/>
      <c r="P63" s="45"/>
      <c r="Q63" s="447"/>
    </row>
    <row r="64" spans="1:17" s="414" customFormat="1" ht="15.75" thickTop="1">
      <c r="A64" s="496"/>
      <c r="B64" s="481">
        <f>B12</f>
        <v>111</v>
      </c>
      <c r="C64" s="497"/>
      <c r="D64" s="497"/>
      <c r="E64" s="497"/>
      <c r="F64" s="497"/>
      <c r="G64" s="497"/>
      <c r="H64" s="498"/>
      <c r="I64" s="498"/>
      <c r="J64" s="498"/>
      <c r="K64" s="498"/>
      <c r="L64" s="499"/>
      <c r="M64" s="500"/>
      <c r="N64" s="1100"/>
      <c r="O64" s="1100"/>
      <c r="P64" s="501"/>
      <c r="Q64" s="502"/>
    </row>
    <row r="65" spans="1:17" s="414" customFormat="1" ht="15.75" thickBot="1">
      <c r="A65" s="496"/>
      <c r="B65" s="486"/>
      <c r="C65" s="503"/>
      <c r="D65" s="479"/>
      <c r="E65" s="479"/>
      <c r="F65" s="479"/>
      <c r="G65" s="479"/>
      <c r="H65" s="479"/>
      <c r="I65" s="479"/>
      <c r="J65" s="479"/>
      <c r="K65" s="479"/>
      <c r="L65" s="479"/>
      <c r="M65" s="480"/>
      <c r="N65" s="1099"/>
      <c r="O65" s="1099"/>
      <c r="P65" s="501"/>
      <c r="Q65" s="502"/>
    </row>
    <row r="66" spans="1:17" s="414" customFormat="1" ht="15.75" thickTop="1">
      <c r="A66" s="496"/>
      <c r="B66" s="481">
        <f>B13</f>
        <v>111</v>
      </c>
      <c r="C66" s="497"/>
      <c r="D66" s="497"/>
      <c r="E66" s="497"/>
      <c r="F66" s="497"/>
      <c r="G66" s="497"/>
      <c r="H66" s="498"/>
      <c r="I66" s="498"/>
      <c r="J66" s="498"/>
      <c r="K66" s="498"/>
      <c r="L66" s="499"/>
      <c r="M66" s="500"/>
      <c r="N66" s="1100"/>
      <c r="O66" s="1100"/>
      <c r="P66" s="413"/>
      <c r="Q66" s="504"/>
    </row>
    <row r="67" spans="1:17" s="414" customFormat="1" ht="15.75" thickBot="1">
      <c r="A67" s="496"/>
      <c r="B67" s="486"/>
      <c r="C67" s="503"/>
      <c r="D67" s="479"/>
      <c r="E67" s="479"/>
      <c r="F67" s="479"/>
      <c r="G67" s="503"/>
      <c r="H67" s="505"/>
      <c r="I67" s="505"/>
      <c r="J67" s="505"/>
      <c r="K67" s="505"/>
      <c r="L67" s="505"/>
      <c r="M67" s="506"/>
      <c r="N67" s="1100"/>
      <c r="O67" s="1100"/>
      <c r="P67" s="501"/>
      <c r="Q67" s="502"/>
    </row>
    <row r="68" spans="1:17" s="414" customFormat="1" ht="15.75" thickTop="1">
      <c r="A68" s="496"/>
      <c r="B68" s="489">
        <f>B14</f>
        <v>111</v>
      </c>
      <c r="C68" s="466"/>
      <c r="D68" s="466"/>
      <c r="E68" s="466"/>
      <c r="F68" s="466"/>
      <c r="G68" s="466"/>
      <c r="H68" s="507"/>
      <c r="I68" s="507"/>
      <c r="J68" s="507"/>
      <c r="K68" s="507"/>
      <c r="L68" s="508"/>
      <c r="M68" s="509"/>
      <c r="N68" s="1100"/>
      <c r="O68" s="1100"/>
      <c r="P68" s="510"/>
      <c r="Q68" s="502"/>
    </row>
    <row r="69" spans="1:17" s="414" customFormat="1" ht="15.75" thickBot="1">
      <c r="A69" s="511"/>
      <c r="B69" s="512"/>
      <c r="C69" s="513"/>
      <c r="D69" s="513"/>
      <c r="E69" s="513"/>
      <c r="F69" s="513"/>
      <c r="G69" s="513"/>
      <c r="H69" s="514"/>
      <c r="I69" s="514"/>
      <c r="J69" s="514"/>
      <c r="K69" s="514"/>
      <c r="L69" s="514"/>
      <c r="M69" s="515"/>
      <c r="N69" s="1100"/>
      <c r="O69" s="1100"/>
      <c r="P69" s="501"/>
      <c r="Q69" s="502"/>
    </row>
    <row r="70" spans="1:17">
      <c r="A70" s="470" t="s">
        <v>2430</v>
      </c>
      <c r="B70" s="471" t="s">
        <v>2576</v>
      </c>
      <c r="C70" s="516" t="s">
        <v>2468</v>
      </c>
      <c r="D70" s="516" t="s">
        <v>2469</v>
      </c>
      <c r="E70" s="516" t="s">
        <v>2470</v>
      </c>
      <c r="F70" s="516" t="s">
        <v>2471</v>
      </c>
      <c r="G70" s="516" t="s">
        <v>2472</v>
      </c>
      <c r="H70" s="472"/>
      <c r="I70" s="472"/>
      <c r="J70" s="472"/>
      <c r="K70" s="517"/>
      <c r="L70" s="518"/>
      <c r="M70" s="519"/>
      <c r="N70" s="1098"/>
      <c r="O70" s="1098"/>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9"/>
      <c r="O71" s="1099"/>
      <c r="P71" s="45"/>
      <c r="Q71" s="447"/>
    </row>
    <row r="72" spans="1:17" ht="15.75" thickTop="1">
      <c r="A72" s="477"/>
      <c r="B72" s="481" t="s">
        <v>2473</v>
      </c>
      <c r="C72" s="521" t="s">
        <v>2468</v>
      </c>
      <c r="D72" s="521" t="s">
        <v>2469</v>
      </c>
      <c r="E72" s="521" t="s">
        <v>2470</v>
      </c>
      <c r="F72" s="521" t="s">
        <v>2471</v>
      </c>
      <c r="G72" s="521" t="s">
        <v>2472</v>
      </c>
      <c r="H72" s="482"/>
      <c r="I72" s="482"/>
      <c r="J72" s="482"/>
      <c r="K72" s="483"/>
      <c r="L72" s="484"/>
      <c r="M72" s="485"/>
      <c r="N72" s="1098"/>
      <c r="O72" s="1098"/>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9"/>
      <c r="O73" s="1099"/>
      <c r="P73" s="45"/>
      <c r="Q73" s="447"/>
    </row>
    <row r="74" spans="1:17" ht="15.75" thickTop="1">
      <c r="A74" s="477"/>
      <c r="B74" s="481" t="s">
        <v>2474</v>
      </c>
      <c r="C74" s="521" t="s">
        <v>2468</v>
      </c>
      <c r="D74" s="521" t="s">
        <v>2469</v>
      </c>
      <c r="E74" s="521" t="s">
        <v>2470</v>
      </c>
      <c r="F74" s="521" t="s">
        <v>2471</v>
      </c>
      <c r="G74" s="521" t="s">
        <v>2472</v>
      </c>
      <c r="H74" s="482"/>
      <c r="I74" s="482"/>
      <c r="J74" s="482"/>
      <c r="K74" s="483"/>
      <c r="L74" s="484"/>
      <c r="M74" s="485"/>
      <c r="N74" s="1098"/>
      <c r="O74" s="1098"/>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9"/>
      <c r="O75" s="1099"/>
      <c r="P75" s="45"/>
      <c r="Q75" s="447"/>
    </row>
    <row r="76" spans="1:17" ht="15.75" thickTop="1">
      <c r="A76" s="477"/>
      <c r="B76" s="489" t="s">
        <v>2560</v>
      </c>
      <c r="C76" s="603" t="s">
        <v>2546</v>
      </c>
      <c r="D76" s="603" t="s">
        <v>2547</v>
      </c>
      <c r="E76" s="603" t="s">
        <v>2548</v>
      </c>
      <c r="F76" s="603" t="s">
        <v>2549</v>
      </c>
      <c r="G76" s="603" t="s">
        <v>2550</v>
      </c>
      <c r="H76" s="482"/>
      <c r="I76" s="482"/>
      <c r="J76" s="482"/>
      <c r="K76" s="482"/>
      <c r="L76" s="482"/>
      <c r="M76" s="1314"/>
      <c r="N76" s="1099"/>
      <c r="O76" s="1099"/>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9"/>
      <c r="O77" s="1099"/>
      <c r="P77" s="45"/>
      <c r="Q77" s="447"/>
    </row>
    <row r="78" spans="1:17" ht="15.75" thickTop="1">
      <c r="A78" s="477"/>
      <c r="B78" s="481" t="s">
        <v>2569</v>
      </c>
      <c r="C78" s="521" t="s">
        <v>2468</v>
      </c>
      <c r="D78" s="521" t="s">
        <v>2469</v>
      </c>
      <c r="E78" s="521" t="s">
        <v>2470</v>
      </c>
      <c r="F78" s="521" t="s">
        <v>2471</v>
      </c>
      <c r="G78" s="521" t="s">
        <v>2472</v>
      </c>
      <c r="H78" s="482"/>
      <c r="I78" s="482"/>
      <c r="J78" s="482"/>
      <c r="K78" s="483"/>
      <c r="L78" s="484"/>
      <c r="M78" s="485"/>
      <c r="N78" s="1098"/>
      <c r="O78" s="1098"/>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9"/>
      <c r="O79" s="1099"/>
      <c r="P79" s="45"/>
      <c r="Q79" s="447"/>
    </row>
    <row r="80" spans="1:17" s="72" customFormat="1" ht="15.75" thickTop="1">
      <c r="A80" s="522"/>
      <c r="B80" s="481">
        <f>B25</f>
        <v>111</v>
      </c>
      <c r="C80" s="497"/>
      <c r="D80" s="497"/>
      <c r="E80" s="497"/>
      <c r="F80" s="497"/>
      <c r="G80" s="497"/>
      <c r="H80" s="497"/>
      <c r="I80" s="497"/>
      <c r="J80" s="497"/>
      <c r="K80" s="497"/>
      <c r="L80" s="523"/>
      <c r="M80" s="524"/>
      <c r="N80" s="1097"/>
      <c r="O80" s="1097"/>
      <c r="P80" s="45"/>
      <c r="Q80" s="447"/>
    </row>
    <row r="81" spans="1:17" s="72" customFormat="1" ht="15.75" thickBot="1">
      <c r="A81" s="522"/>
      <c r="B81" s="486"/>
      <c r="C81" s="503"/>
      <c r="D81" s="479"/>
      <c r="E81" s="479"/>
      <c r="F81" s="479"/>
      <c r="G81" s="479"/>
      <c r="H81" s="479"/>
      <c r="I81" s="479"/>
      <c r="J81" s="479"/>
      <c r="K81" s="479"/>
      <c r="L81" s="479"/>
      <c r="M81" s="480"/>
      <c r="N81" s="1099"/>
      <c r="O81" s="1099"/>
      <c r="P81" s="45"/>
      <c r="Q81" s="447"/>
    </row>
    <row r="82" spans="1:17" s="72" customFormat="1" ht="15.75" thickTop="1">
      <c r="A82" s="522"/>
      <c r="B82" s="481">
        <f>B26</f>
        <v>111</v>
      </c>
      <c r="C82" s="497"/>
      <c r="D82" s="497"/>
      <c r="E82" s="497"/>
      <c r="F82" s="497"/>
      <c r="G82" s="497"/>
      <c r="H82" s="497"/>
      <c r="I82" s="497"/>
      <c r="J82" s="497"/>
      <c r="K82" s="497"/>
      <c r="L82" s="523"/>
      <c r="M82" s="524"/>
      <c r="N82" s="1097"/>
      <c r="O82" s="1097"/>
      <c r="P82" s="45"/>
      <c r="Q82" s="447"/>
    </row>
    <row r="83" spans="1:17" s="72" customFormat="1" ht="15.75" thickBot="1">
      <c r="A83" s="522"/>
      <c r="B83" s="486"/>
      <c r="C83" s="503"/>
      <c r="D83" s="479"/>
      <c r="E83" s="479"/>
      <c r="F83" s="479"/>
      <c r="G83" s="479"/>
      <c r="H83" s="479"/>
      <c r="I83" s="479"/>
      <c r="J83" s="479"/>
      <c r="K83" s="479"/>
      <c r="L83" s="479"/>
      <c r="M83" s="480"/>
      <c r="N83" s="1099"/>
      <c r="O83" s="1099"/>
      <c r="P83" s="45"/>
      <c r="Q83" s="447"/>
    </row>
    <row r="84" spans="1:17" s="414" customFormat="1" ht="15.75" thickTop="1">
      <c r="A84" s="496"/>
      <c r="B84" s="481">
        <f>B27</f>
        <v>111</v>
      </c>
      <c r="C84" s="497"/>
      <c r="D84" s="497"/>
      <c r="E84" s="497"/>
      <c r="F84" s="497"/>
      <c r="G84" s="497"/>
      <c r="H84" s="497"/>
      <c r="I84" s="497"/>
      <c r="J84" s="497"/>
      <c r="K84" s="497"/>
      <c r="L84" s="523"/>
      <c r="M84" s="524"/>
      <c r="N84" s="1100"/>
      <c r="O84" s="1100"/>
      <c r="P84" s="501"/>
      <c r="Q84" s="502"/>
    </row>
    <row r="85" spans="1:17" s="414" customFormat="1" ht="15.75" thickBot="1">
      <c r="A85" s="496"/>
      <c r="B85" s="486"/>
      <c r="C85" s="503"/>
      <c r="D85" s="479"/>
      <c r="E85" s="479"/>
      <c r="F85" s="479"/>
      <c r="G85" s="479"/>
      <c r="H85" s="479"/>
      <c r="I85" s="479"/>
      <c r="J85" s="479"/>
      <c r="K85" s="479"/>
      <c r="L85" s="479"/>
      <c r="M85" s="480"/>
      <c r="N85" s="1100"/>
      <c r="O85" s="1100"/>
      <c r="P85" s="501"/>
      <c r="Q85" s="502"/>
    </row>
    <row r="86" spans="1:17" ht="15.75" thickTop="1">
      <c r="A86" s="477"/>
      <c r="B86" s="489">
        <f>B28</f>
        <v>111</v>
      </c>
      <c r="C86" s="466"/>
      <c r="D86" s="466"/>
      <c r="E86" s="466"/>
      <c r="F86" s="466"/>
      <c r="G86" s="530"/>
      <c r="H86" s="530"/>
      <c r="I86" s="530"/>
      <c r="J86" s="530"/>
      <c r="K86" s="531"/>
      <c r="L86" s="532"/>
      <c r="M86" s="533"/>
      <c r="N86" s="1098"/>
      <c r="O86" s="1098"/>
      <c r="P86" s="45"/>
      <c r="Q86" s="447"/>
    </row>
    <row r="87" spans="1:17" ht="15.75" thickBot="1">
      <c r="A87" s="2499"/>
      <c r="B87" s="512"/>
      <c r="C87" s="513"/>
      <c r="D87" s="513"/>
      <c r="E87" s="513"/>
      <c r="F87" s="513"/>
      <c r="G87" s="534"/>
      <c r="H87" s="534"/>
      <c r="I87" s="534"/>
      <c r="J87" s="534"/>
      <c r="K87" s="534"/>
      <c r="L87" s="534"/>
      <c r="M87" s="535"/>
      <c r="N87" s="1099"/>
      <c r="O87" s="1099"/>
      <c r="P87" s="45"/>
      <c r="Q87" s="447"/>
    </row>
    <row r="88" spans="1:17">
      <c r="A88" s="470" t="s">
        <v>2434</v>
      </c>
      <c r="B88" s="471" t="s">
        <v>2483</v>
      </c>
      <c r="C88" s="473"/>
      <c r="D88" s="473"/>
      <c r="E88" s="473"/>
      <c r="F88" s="473"/>
      <c r="G88" s="473"/>
      <c r="H88" s="473"/>
      <c r="I88" s="473"/>
      <c r="J88" s="473"/>
      <c r="K88" s="474"/>
      <c r="L88" s="475"/>
      <c r="M88" s="476"/>
      <c r="N88" s="1098"/>
      <c r="O88" s="1098"/>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9"/>
      <c r="O89" s="1099"/>
      <c r="P89" s="45"/>
      <c r="Q89" s="447"/>
    </row>
    <row r="90" spans="1:17" ht="15.75" thickTop="1">
      <c r="A90" s="477"/>
      <c r="B90" s="481" t="s">
        <v>2484</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7"/>
      <c r="O90" s="1097"/>
      <c r="P90" s="45"/>
      <c r="Q90" s="447"/>
    </row>
    <row r="91" spans="1:17" s="414" customFormat="1">
      <c r="A91" s="536"/>
      <c r="B91" s="537"/>
      <c r="C91" s="538"/>
      <c r="D91" s="538"/>
      <c r="E91" s="538"/>
      <c r="F91" s="538"/>
      <c r="G91" s="538"/>
      <c r="H91" s="538"/>
      <c r="I91" s="538"/>
      <c r="J91" s="539"/>
      <c r="K91" s="539"/>
      <c r="L91" s="540"/>
      <c r="M91" s="541"/>
      <c r="N91" s="1100"/>
      <c r="O91" s="1100"/>
      <c r="P91" s="501"/>
      <c r="Q91" s="502"/>
    </row>
    <row r="92" spans="1:17" s="414" customFormat="1" ht="15.75" thickBot="1">
      <c r="A92" s="496"/>
      <c r="B92" s="486"/>
      <c r="C92" s="503"/>
      <c r="D92" s="479"/>
      <c r="E92" s="479"/>
      <c r="F92" s="479"/>
      <c r="G92" s="479"/>
      <c r="H92" s="479"/>
      <c r="I92" s="479"/>
      <c r="J92" s="479"/>
      <c r="K92" s="479"/>
      <c r="L92" s="479"/>
      <c r="M92" s="480"/>
      <c r="N92" s="1099"/>
      <c r="O92" s="1099"/>
      <c r="P92" s="501"/>
      <c r="Q92" s="502"/>
    </row>
    <row r="93" spans="1:17" ht="15" thickTop="1">
      <c r="A93" s="542"/>
      <c r="B93" s="481" t="s">
        <v>2485</v>
      </c>
      <c r="C93" s="497"/>
      <c r="D93" s="497"/>
      <c r="E93" s="526"/>
      <c r="F93" s="526"/>
      <c r="G93" s="526"/>
      <c r="H93" s="526"/>
      <c r="I93" s="526"/>
      <c r="J93" s="526"/>
      <c r="K93" s="527"/>
      <c r="L93" s="528"/>
      <c r="M93" s="529"/>
      <c r="N93" s="1098"/>
      <c r="O93" s="1098"/>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9"/>
      <c r="O94" s="1099"/>
      <c r="P94" s="45"/>
      <c r="Q94" s="447"/>
    </row>
    <row r="95" spans="1:17" ht="15" thickTop="1">
      <c r="A95" s="542"/>
      <c r="B95" s="481" t="s">
        <v>2487</v>
      </c>
      <c r="C95" s="497"/>
      <c r="D95" s="497"/>
      <c r="E95" s="497"/>
      <c r="F95" s="526"/>
      <c r="G95" s="526"/>
      <c r="H95" s="526"/>
      <c r="I95" s="526"/>
      <c r="J95" s="526"/>
      <c r="K95" s="527"/>
      <c r="L95" s="528"/>
      <c r="M95" s="529"/>
      <c r="N95" s="1098"/>
      <c r="O95" s="1098"/>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9"/>
      <c r="O96" s="1099"/>
      <c r="P96" s="45"/>
      <c r="Q96" s="447"/>
    </row>
    <row r="97" spans="1:17" ht="15" thickTop="1">
      <c r="A97" s="542"/>
      <c r="B97" s="481" t="s">
        <v>1962</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8"/>
      <c r="O97" s="1098"/>
      <c r="P97" s="45"/>
      <c r="Q97" s="447"/>
    </row>
    <row r="98" spans="1:17">
      <c r="A98" s="542"/>
      <c r="B98" s="489"/>
      <c r="C98" s="546">
        <v>0.5</v>
      </c>
      <c r="D98" s="546">
        <v>0.6</v>
      </c>
      <c r="E98" s="546">
        <v>0.7</v>
      </c>
      <c r="F98" s="546">
        <v>0.8</v>
      </c>
      <c r="G98" s="546">
        <v>0.9</v>
      </c>
      <c r="H98" s="546">
        <v>1.0001</v>
      </c>
      <c r="I98" s="566"/>
      <c r="J98" s="566"/>
      <c r="K98" s="567"/>
      <c r="L98" s="568"/>
      <c r="M98" s="569"/>
      <c r="N98" s="1098"/>
      <c r="O98" s="1098"/>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9"/>
      <c r="O99" s="1099"/>
      <c r="P99" s="45"/>
      <c r="Q99" s="447"/>
    </row>
    <row r="100" spans="1:17" s="414" customFormat="1" ht="15" thickTop="1">
      <c r="A100" s="536"/>
      <c r="B100" s="481" t="s">
        <v>2488</v>
      </c>
      <c r="C100" s="497"/>
      <c r="D100" s="497"/>
      <c r="E100" s="497"/>
      <c r="F100" s="497"/>
      <c r="G100" s="497"/>
      <c r="H100" s="526"/>
      <c r="I100" s="526"/>
      <c r="J100" s="526"/>
      <c r="K100" s="527"/>
      <c r="L100" s="528"/>
      <c r="M100" s="529"/>
      <c r="N100" s="1100"/>
      <c r="O100" s="1100"/>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100"/>
      <c r="O101" s="1100"/>
      <c r="P101" s="501"/>
      <c r="Q101" s="502"/>
    </row>
    <row r="102" spans="1:17" ht="15" thickTop="1">
      <c r="A102" s="542"/>
      <c r="B102" s="481" t="s">
        <v>2489</v>
      </c>
      <c r="C102" s="497"/>
      <c r="D102" s="497"/>
      <c r="E102" s="497"/>
      <c r="F102" s="497"/>
      <c r="G102" s="497"/>
      <c r="H102" s="526"/>
      <c r="I102" s="526"/>
      <c r="J102" s="526"/>
      <c r="K102" s="527"/>
      <c r="L102" s="528"/>
      <c r="M102" s="529"/>
      <c r="N102" s="1098"/>
      <c r="O102" s="1098"/>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9"/>
      <c r="O103" s="1099"/>
      <c r="P103" s="45"/>
      <c r="Q103" s="447"/>
    </row>
    <row r="104" spans="1:17" ht="15" thickTop="1">
      <c r="A104" s="542"/>
      <c r="B104" s="481" t="s">
        <v>2491</v>
      </c>
      <c r="C104" s="497"/>
      <c r="D104" s="497"/>
      <c r="E104" s="497"/>
      <c r="F104" s="497"/>
      <c r="G104" s="497"/>
      <c r="H104" s="526"/>
      <c r="I104" s="526"/>
      <c r="J104" s="526"/>
      <c r="K104" s="527"/>
      <c r="L104" s="528"/>
      <c r="M104" s="529"/>
      <c r="N104" s="1098"/>
      <c r="O104" s="1098"/>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9"/>
      <c r="O105" s="1099"/>
      <c r="P105" s="45"/>
      <c r="Q105" s="447"/>
    </row>
    <row r="106" spans="1:17" ht="15" thickTop="1">
      <c r="A106" s="542"/>
      <c r="B106" s="579" t="s">
        <v>2577</v>
      </c>
      <c r="C106" s="521" t="s">
        <v>2468</v>
      </c>
      <c r="D106" s="521" t="s">
        <v>2469</v>
      </c>
      <c r="E106" s="521" t="s">
        <v>2470</v>
      </c>
      <c r="F106" s="521" t="s">
        <v>2471</v>
      </c>
      <c r="G106" s="521" t="s">
        <v>2472</v>
      </c>
      <c r="H106" s="482"/>
      <c r="I106" s="482"/>
      <c r="J106" s="482"/>
      <c r="K106" s="483"/>
      <c r="L106" s="484"/>
      <c r="M106" s="485"/>
      <c r="N106" s="1099"/>
      <c r="O106" s="1099"/>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9"/>
      <c r="O107" s="1099"/>
      <c r="P107" s="45"/>
      <c r="Q107" s="447"/>
    </row>
    <row r="108" spans="1:17" s="414" customFormat="1" ht="15" thickTop="1">
      <c r="A108" s="536"/>
      <c r="B108" s="481">
        <f>B38</f>
        <v>111</v>
      </c>
      <c r="C108" s="497"/>
      <c r="D108" s="497"/>
      <c r="E108" s="497"/>
      <c r="F108" s="497"/>
      <c r="G108" s="497"/>
      <c r="H108" s="498"/>
      <c r="I108" s="498"/>
      <c r="J108" s="498"/>
      <c r="K108" s="498"/>
      <c r="L108" s="499"/>
      <c r="M108" s="500"/>
      <c r="N108" s="1100"/>
      <c r="O108" s="1100"/>
      <c r="P108" s="501"/>
      <c r="Q108" s="502"/>
    </row>
    <row r="109" spans="1:17" s="414" customFormat="1" ht="15.75" thickBot="1">
      <c r="A109" s="496"/>
      <c r="B109" s="478"/>
      <c r="C109" s="503"/>
      <c r="D109" s="479"/>
      <c r="E109" s="479"/>
      <c r="F109" s="479"/>
      <c r="G109" s="503"/>
      <c r="H109" s="505"/>
      <c r="I109" s="505"/>
      <c r="J109" s="505"/>
      <c r="K109" s="505"/>
      <c r="L109" s="505"/>
      <c r="M109" s="506"/>
      <c r="N109" s="1100"/>
      <c r="O109" s="1100"/>
      <c r="P109" s="501"/>
      <c r="Q109" s="502"/>
    </row>
    <row r="110" spans="1:17" ht="15" thickTop="1">
      <c r="A110" s="542"/>
      <c r="B110" s="481">
        <f>B39</f>
        <v>111</v>
      </c>
      <c r="C110" s="497"/>
      <c r="D110" s="497"/>
      <c r="E110" s="497"/>
      <c r="F110" s="497"/>
      <c r="G110" s="497"/>
      <c r="H110" s="498"/>
      <c r="I110" s="498"/>
      <c r="J110" s="498"/>
      <c r="K110" s="498"/>
      <c r="L110" s="499"/>
      <c r="M110" s="500"/>
      <c r="N110" s="1098"/>
      <c r="O110" s="1098"/>
      <c r="P110" s="45"/>
      <c r="Q110" s="447"/>
    </row>
    <row r="111" spans="1:17" ht="15.75" thickBot="1">
      <c r="A111" s="477"/>
      <c r="B111" s="486"/>
      <c r="C111" s="503"/>
      <c r="D111" s="479"/>
      <c r="E111" s="479"/>
      <c r="F111" s="479"/>
      <c r="G111" s="503"/>
      <c r="H111" s="505"/>
      <c r="I111" s="505"/>
      <c r="J111" s="505"/>
      <c r="K111" s="505"/>
      <c r="L111" s="505"/>
      <c r="M111" s="506"/>
      <c r="N111" s="1099"/>
      <c r="O111" s="1099"/>
      <c r="P111" s="45"/>
      <c r="Q111" s="447"/>
    </row>
    <row r="112" spans="1:17" ht="15" thickTop="1">
      <c r="A112" s="542"/>
      <c r="B112" s="489">
        <f>B40</f>
        <v>111</v>
      </c>
      <c r="C112" s="466"/>
      <c r="D112" s="466"/>
      <c r="E112" s="466"/>
      <c r="F112" s="466"/>
      <c r="G112" s="530"/>
      <c r="H112" s="530"/>
      <c r="I112" s="530"/>
      <c r="J112" s="530"/>
      <c r="K112" s="466"/>
      <c r="L112" s="467"/>
      <c r="M112" s="533"/>
      <c r="N112" s="1098"/>
      <c r="O112" s="1098"/>
      <c r="P112" s="45"/>
      <c r="Q112" s="447"/>
    </row>
    <row r="113" spans="1:17" ht="15.75" thickBot="1">
      <c r="A113" s="2499"/>
      <c r="B113" s="512"/>
      <c r="C113" s="513"/>
      <c r="D113" s="513"/>
      <c r="E113" s="513"/>
      <c r="F113" s="513"/>
      <c r="G113" s="534"/>
      <c r="H113" s="534"/>
      <c r="I113" s="534"/>
      <c r="J113" s="534"/>
      <c r="K113" s="534"/>
      <c r="L113" s="534"/>
      <c r="M113" s="535"/>
      <c r="N113" s="1099"/>
      <c r="O113" s="1099"/>
      <c r="P113" s="45"/>
      <c r="Q113" s="44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9" sqref="C39"/>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9"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2578</v>
      </c>
      <c r="B1" s="1549"/>
      <c r="C1" s="1550" t="s">
        <v>2401</v>
      </c>
      <c r="D1" s="1551"/>
      <c r="E1" s="1552"/>
      <c r="F1" s="2449"/>
      <c r="G1" s="1553" t="s">
        <v>2514</v>
      </c>
      <c r="H1" s="1552"/>
      <c r="I1" s="1552"/>
      <c r="J1" s="1552"/>
      <c r="K1" s="1554"/>
      <c r="L1" s="1555"/>
      <c r="M1" s="1556"/>
      <c r="N1" s="1556"/>
      <c r="O1" s="1556"/>
      <c r="P1" s="1557"/>
      <c r="Q1" s="1550"/>
      <c r="R1" s="1550"/>
      <c r="S1" s="1550"/>
      <c r="T1" s="1550"/>
      <c r="U1" s="1550"/>
      <c r="V1" s="1550"/>
      <c r="W1" s="1550"/>
      <c r="X1" s="1550"/>
      <c r="Y1" s="1550"/>
      <c r="Z1" s="1550"/>
      <c r="AA1" s="1550"/>
      <c r="AB1" s="1550"/>
      <c r="AC1" s="1558"/>
    </row>
    <row r="2" spans="1:29" s="341" customFormat="1" ht="28.5" customHeight="1" thickTop="1">
      <c r="A2" s="1547" t="s">
        <v>2201</v>
      </c>
      <c r="B2" s="1350" t="e">
        <f ca="1">IF(C2="——",IF(B37="元/平方米",ROUND(C39*D3/10000,0),ROUND(F3*C39/10000,0)),IF(B37="元/平方米",ROUND(C39*D3/10000,0),ROUND(F3*C39/10000,0))-D2)</f>
        <v>#DIV/0!</v>
      </c>
      <c r="C2" s="2451"/>
      <c r="D2" s="1070" t="e">
        <f ca="1">SUMIF(INDIRECT("'"&amp;F2&amp;"'"&amp;"!A:A"),"承租人权益价值",INDIRECT("'"&amp;F2&amp;"'"&amp;"!c:c"))</f>
        <v>#REF!</v>
      </c>
      <c r="E2" s="2452" t="s">
        <v>2202</v>
      </c>
      <c r="F2" s="2453"/>
      <c r="G2" s="1071"/>
      <c r="H2" s="1071"/>
      <c r="I2" s="1071"/>
      <c r="J2" s="1071"/>
      <c r="K2" s="1073"/>
      <c r="L2" s="1074"/>
      <c r="M2" s="1075"/>
      <c r="N2" s="1075"/>
      <c r="O2" s="1075"/>
      <c r="P2" s="1351"/>
      <c r="Q2" s="711"/>
      <c r="R2" s="711"/>
      <c r="S2" s="711"/>
      <c r="T2" s="711"/>
      <c r="U2" s="711"/>
      <c r="V2" s="711"/>
      <c r="W2" s="711"/>
      <c r="X2" s="711"/>
      <c r="Y2" s="711"/>
      <c r="Z2" s="711"/>
      <c r="AA2" s="711"/>
      <c r="AB2" s="711"/>
      <c r="AC2" s="712"/>
    </row>
    <row r="3" spans="1:29" s="341" customFormat="1" ht="28.5" customHeight="1" thickBot="1">
      <c r="A3" s="190" t="s">
        <v>2203</v>
      </c>
      <c r="B3" s="552" t="e">
        <f ca="1">IF(AND(C2="——",B37="元/平方米"),C39,ROUND(B2*10000/D3,0))</f>
        <v>#DIV/0!</v>
      </c>
      <c r="C3" s="343" t="s">
        <v>2515</v>
      </c>
      <c r="D3" s="342">
        <f>SUMIF('数据-汇总表'!$C19:$C33,D1,'数据-汇总表'!$E19:$E33)</f>
        <v>0</v>
      </c>
      <c r="E3" s="343" t="s">
        <v>2579</v>
      </c>
      <c r="F3" s="342">
        <f>SUMIF('数据-取费表'!A5:A15,D1,'数据-取费表'!AH5:AH15)</f>
        <v>0</v>
      </c>
      <c r="G3" s="1071"/>
      <c r="H3" s="1071"/>
      <c r="I3" s="1071"/>
      <c r="J3" s="1071"/>
      <c r="K3" s="1073"/>
      <c r="L3" s="1074"/>
      <c r="M3" s="1075"/>
      <c r="N3" s="1075"/>
      <c r="O3" s="1075"/>
      <c r="P3" s="1351"/>
      <c r="Q3" s="711"/>
      <c r="R3" s="711"/>
      <c r="S3" s="711"/>
      <c r="T3" s="711"/>
      <c r="U3" s="711"/>
      <c r="V3" s="711"/>
      <c r="W3" s="711"/>
      <c r="X3" s="711"/>
      <c r="Y3" s="711"/>
      <c r="Z3" s="711"/>
      <c r="AA3" s="711"/>
      <c r="AB3" s="729"/>
      <c r="AC3" s="725"/>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275" t="s">
        <v>2519</v>
      </c>
      <c r="AC4" s="3274" t="s">
        <v>2520</v>
      </c>
    </row>
    <row r="5" spans="1:29" ht="15">
      <c r="A5" s="347"/>
      <c r="B5" s="348"/>
      <c r="C5" s="3285" t="s">
        <v>2413</v>
      </c>
      <c r="D5" s="3286"/>
      <c r="E5" s="3283" t="s">
        <v>2414</v>
      </c>
      <c r="F5" s="3284"/>
      <c r="G5" s="3285" t="s">
        <v>2415</v>
      </c>
      <c r="H5" s="3286"/>
      <c r="I5" s="3285" t="s">
        <v>2416</v>
      </c>
      <c r="J5" s="3286"/>
      <c r="K5" s="553"/>
      <c r="L5" s="1076"/>
      <c r="M5" s="1077"/>
      <c r="N5" s="1077"/>
      <c r="O5" s="1077"/>
      <c r="P5" s="3298"/>
      <c r="Q5" s="3299"/>
      <c r="R5" s="3281"/>
      <c r="S5" s="3282"/>
      <c r="T5" s="3281"/>
      <c r="U5" s="3282"/>
      <c r="V5" s="3304"/>
      <c r="W5" s="3304"/>
      <c r="X5" s="1740"/>
      <c r="Y5" s="3281"/>
      <c r="Z5" s="3282"/>
      <c r="AA5" s="3275"/>
      <c r="AB5" s="3275"/>
      <c r="AC5" s="3275"/>
    </row>
    <row r="6" spans="1:29" ht="15.75" thickBot="1">
      <c r="A6" s="349"/>
      <c r="B6" s="350"/>
      <c r="C6" s="3287" t="s">
        <v>2417</v>
      </c>
      <c r="D6" s="3288"/>
      <c r="E6" s="3289" t="s">
        <v>2417</v>
      </c>
      <c r="F6" s="3290"/>
      <c r="G6" s="3287" t="s">
        <v>2417</v>
      </c>
      <c r="H6" s="3288"/>
      <c r="I6" s="3287" t="s">
        <v>2417</v>
      </c>
      <c r="J6" s="3288"/>
      <c r="K6" s="553" t="s">
        <v>2418</v>
      </c>
      <c r="L6" s="1076"/>
      <c r="M6" s="1077"/>
      <c r="N6" s="1077"/>
      <c r="O6" s="1077"/>
      <c r="P6" s="3300"/>
      <c r="Q6" s="3301"/>
      <c r="R6" s="3281"/>
      <c r="S6" s="3282"/>
      <c r="T6" s="3302"/>
      <c r="U6" s="3303"/>
      <c r="V6" s="3304"/>
      <c r="W6" s="3304"/>
      <c r="X6" s="1740"/>
      <c r="Y6" s="3302"/>
      <c r="Z6" s="3303"/>
      <c r="AA6" s="3276"/>
      <c r="AB6" s="3276"/>
      <c r="AC6" s="3276"/>
    </row>
    <row r="7" spans="1:29" s="72" customFormat="1" ht="15.75" thickBot="1">
      <c r="A7" s="351" t="s">
        <v>2419</v>
      </c>
      <c r="B7" s="352"/>
      <c r="C7" s="353">
        <f>'数据-取费表'!B2</f>
        <v>43284</v>
      </c>
      <c r="D7" s="354">
        <v>100</v>
      </c>
      <c r="E7" s="355"/>
      <c r="F7" s="356">
        <f>SUMIF(48:48,YEAR(E7)&amp;"-"&amp;MONTH(E7),49:49)</f>
        <v>0</v>
      </c>
      <c r="G7" s="355"/>
      <c r="H7" s="354">
        <f>SUMIF(48:48,YEAR(G7)&amp;"-"&amp;MONTH(G7),49:49)</f>
        <v>0</v>
      </c>
      <c r="I7" s="355"/>
      <c r="J7" s="354">
        <f>SUMIF(48:48,YEAR(I7)&amp;"-"&amp;MONTH(I7),49:49)</f>
        <v>0</v>
      </c>
      <c r="K7" s="554"/>
      <c r="L7" s="1078"/>
      <c r="M7" s="1079"/>
      <c r="N7" s="1079"/>
      <c r="O7" s="1079"/>
      <c r="P7" s="3277" t="s">
        <v>2420</v>
      </c>
      <c r="Q7" s="3305"/>
      <c r="R7" s="713" t="s">
        <v>17</v>
      </c>
      <c r="S7" s="714">
        <f t="shared" ref="S7:S14" si="0">F7</f>
        <v>0</v>
      </c>
      <c r="T7" s="713" t="s">
        <v>17</v>
      </c>
      <c r="U7" s="714">
        <f t="shared" ref="U7:U14" si="1">H7</f>
        <v>0</v>
      </c>
      <c r="V7" s="713" t="s">
        <v>17</v>
      </c>
      <c r="W7" s="714">
        <f t="shared" ref="W7:W14" si="2">J7</f>
        <v>0</v>
      </c>
      <c r="X7" s="715"/>
      <c r="Y7" s="3277" t="s">
        <v>2420</v>
      </c>
      <c r="Z7" s="3278"/>
      <c r="AA7" s="716" t="e">
        <f>D7/F7</f>
        <v>#DIV/0!</v>
      </c>
      <c r="AB7" s="716" t="e">
        <f>D7/H7</f>
        <v>#DIV/0!</v>
      </c>
      <c r="AC7" s="716" t="e">
        <f>D7/J7</f>
        <v>#DIV/0!</v>
      </c>
    </row>
    <row r="8" spans="1:29" s="72" customFormat="1" ht="15.75" thickBot="1">
      <c r="A8" s="351" t="s">
        <v>2421</v>
      </c>
      <c r="B8" s="352"/>
      <c r="C8" s="357" t="s">
        <v>2523</v>
      </c>
      <c r="D8" s="354">
        <v>100</v>
      </c>
      <c r="E8" s="357"/>
      <c r="F8" s="356">
        <f>SUMIF(51:51,E8,52:52)-SUMIF(51:51,C8,52:52)+100</f>
        <v>0</v>
      </c>
      <c r="G8" s="357"/>
      <c r="H8" s="354">
        <f>SUMIF(51:51,G8,52:52)-SUMIF(51:51,C8,52:52)+100</f>
        <v>0</v>
      </c>
      <c r="I8" s="357"/>
      <c r="J8" s="354">
        <f>SUMIF(51:51,I8,52:52)-SUMIF(51:51,C8,52:52)+100</f>
        <v>0</v>
      </c>
      <c r="K8" s="554"/>
      <c r="L8" s="1078"/>
      <c r="M8" s="1079"/>
      <c r="N8" s="1079"/>
      <c r="O8" s="1079"/>
      <c r="P8" s="3277" t="s">
        <v>2423</v>
      </c>
      <c r="Q8" s="3278"/>
      <c r="R8" s="713" t="s">
        <v>17</v>
      </c>
      <c r="S8" s="714">
        <f t="shared" si="0"/>
        <v>0</v>
      </c>
      <c r="T8" s="713" t="s">
        <v>17</v>
      </c>
      <c r="U8" s="714">
        <f t="shared" si="1"/>
        <v>0</v>
      </c>
      <c r="V8" s="713" t="s">
        <v>17</v>
      </c>
      <c r="W8" s="714">
        <f t="shared" si="2"/>
        <v>0</v>
      </c>
      <c r="X8" s="715"/>
      <c r="Y8" s="3277" t="s">
        <v>2423</v>
      </c>
      <c r="Z8" s="3278"/>
      <c r="AA8" s="716" t="e">
        <f t="shared" ref="AA8:AA36" si="3">D8/F8</f>
        <v>#DIV/0!</v>
      </c>
      <c r="AB8" s="716" t="e">
        <f t="shared" ref="AB8:AB36" si="4">D8/H8</f>
        <v>#DIV/0!</v>
      </c>
      <c r="AC8" s="716" t="e">
        <f t="shared" ref="AC8:AC36" si="5">D8/J8</f>
        <v>#DIV/0!</v>
      </c>
    </row>
    <row r="9" spans="1:29" s="72" customFormat="1">
      <c r="A9" s="67" t="s">
        <v>2424</v>
      </c>
      <c r="B9" s="583" t="s">
        <v>2425</v>
      </c>
      <c r="C9" s="359"/>
      <c r="D9" s="78">
        <v>100</v>
      </c>
      <c r="E9" s="362"/>
      <c r="F9" s="78">
        <f>SUMIF(53:53,E9,54:54)-SUMIF(53:53,C9,54:54)+100</f>
        <v>100</v>
      </c>
      <c r="G9" s="360"/>
      <c r="H9" s="78">
        <f>SUMIF(53:53,G9,54:54)-SUMIF(53:53,C9,54:54)+100</f>
        <v>100</v>
      </c>
      <c r="I9" s="360"/>
      <c r="J9" s="78">
        <f>SUMIF(53:53,I9,54:54)-SUMIF(53:53,C9,54:54)+100</f>
        <v>100</v>
      </c>
      <c r="K9" s="554"/>
      <c r="L9" s="1078"/>
      <c r="M9" s="1079"/>
      <c r="N9" s="1079"/>
      <c r="O9" s="1079"/>
      <c r="P9" s="3291" t="s">
        <v>2426</v>
      </c>
      <c r="Q9" s="1723" t="str">
        <f t="shared" ref="Q9:Q14" si="6">B9</f>
        <v>用途</v>
      </c>
      <c r="R9" s="713" t="s">
        <v>17</v>
      </c>
      <c r="S9" s="714">
        <f t="shared" si="0"/>
        <v>100</v>
      </c>
      <c r="T9" s="713" t="s">
        <v>17</v>
      </c>
      <c r="U9" s="714">
        <f t="shared" si="1"/>
        <v>100</v>
      </c>
      <c r="V9" s="713" t="s">
        <v>17</v>
      </c>
      <c r="W9" s="714">
        <f t="shared" si="2"/>
        <v>100</v>
      </c>
      <c r="X9" s="715"/>
      <c r="Y9" s="3113" t="s">
        <v>2427</v>
      </c>
      <c r="Z9" s="54" t="str">
        <f t="shared" ref="Z9:Z14" si="7">Q9</f>
        <v>用途</v>
      </c>
      <c r="AA9" s="716">
        <f t="shared" si="3"/>
        <v>1</v>
      </c>
      <c r="AB9" s="716">
        <f t="shared" si="4"/>
        <v>1</v>
      </c>
      <c r="AC9" s="716">
        <f t="shared" si="5"/>
        <v>1</v>
      </c>
    </row>
    <row r="10" spans="1:29" s="370" customFormat="1" ht="27">
      <c r="A10" s="584"/>
      <c r="B10" s="585" t="s">
        <v>2428</v>
      </c>
      <c r="C10" s="366"/>
      <c r="D10" s="79">
        <v>100</v>
      </c>
      <c r="E10" s="366"/>
      <c r="F10" s="79">
        <f>SUMIF(55:55,E10,56:56)-SUMIF(55:55,C10,56:56)+100</f>
        <v>100</v>
      </c>
      <c r="G10" s="367"/>
      <c r="H10" s="79">
        <f>SUMIF(55:55,G10,56:56)-SUMIF(55:55,C10,56:56)+100</f>
        <v>100</v>
      </c>
      <c r="I10" s="366"/>
      <c r="J10" s="79">
        <f>SUMIF(55:55,I10,56:56)-SUMIF(55:55,C10,56:56)+100</f>
        <v>100</v>
      </c>
      <c r="K10" s="555"/>
      <c r="L10" s="1081"/>
      <c r="M10" s="1082"/>
      <c r="N10" s="1082"/>
      <c r="O10" s="1082"/>
      <c r="P10" s="3291"/>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716">
        <f t="shared" si="5"/>
        <v>1</v>
      </c>
    </row>
    <row r="11" spans="1:29" ht="15">
      <c r="A11" s="586"/>
      <c r="B11" s="587">
        <v>111</v>
      </c>
      <c r="C11" s="375"/>
      <c r="D11" s="79">
        <v>100</v>
      </c>
      <c r="E11" s="375"/>
      <c r="F11" s="79">
        <f>SUMIF(57:57,E11,58:58)-SUMIF(57:57,C11,58:58)+100</f>
        <v>100</v>
      </c>
      <c r="G11" s="375"/>
      <c r="H11" s="79">
        <f>SUMIF(57:57,G11,58:58)-SUMIF(57:57,C11,58:58)+100</f>
        <v>100</v>
      </c>
      <c r="I11" s="375"/>
      <c r="J11" s="79">
        <f>SUMIF(57:57,I11,58:58)-SUMIF(57:57,C11,58:58)+100</f>
        <v>100</v>
      </c>
      <c r="K11" s="556"/>
      <c r="L11" s="1084"/>
      <c r="M11" s="1077"/>
      <c r="N11" s="1077"/>
      <c r="O11" s="1077"/>
      <c r="P11" s="3291"/>
      <c r="Q11" s="1723">
        <f t="shared" si="6"/>
        <v>111</v>
      </c>
      <c r="R11" s="713" t="s">
        <v>17</v>
      </c>
      <c r="S11" s="714">
        <f t="shared" si="0"/>
        <v>100</v>
      </c>
      <c r="T11" s="713" t="s">
        <v>17</v>
      </c>
      <c r="U11" s="714">
        <f t="shared" si="1"/>
        <v>100</v>
      </c>
      <c r="V11" s="713" t="s">
        <v>17</v>
      </c>
      <c r="W11" s="714">
        <f t="shared" si="2"/>
        <v>100</v>
      </c>
      <c r="X11" s="715"/>
      <c r="Y11" s="3113"/>
      <c r="Z11" s="54">
        <f t="shared" si="7"/>
        <v>111</v>
      </c>
      <c r="AA11" s="716">
        <f t="shared" si="3"/>
        <v>1</v>
      </c>
      <c r="AB11" s="716">
        <f t="shared" si="4"/>
        <v>1</v>
      </c>
      <c r="AC11" s="716">
        <f t="shared" si="5"/>
        <v>1</v>
      </c>
    </row>
    <row r="12" spans="1:29" s="72" customFormat="1" ht="15">
      <c r="A12" s="588"/>
      <c r="B12" s="587">
        <v>111</v>
      </c>
      <c r="C12" s="375"/>
      <c r="D12" s="376">
        <v>100</v>
      </c>
      <c r="E12" s="375"/>
      <c r="F12" s="79">
        <f>SUMIF(59:59,E12,60:60)-SUMIF(59:59,C12,60:60)+100</f>
        <v>100</v>
      </c>
      <c r="G12" s="375"/>
      <c r="H12" s="79">
        <f>SUMIF(59:59,G12,60:60)-SUMIF(59:59,C12,60:60)+100</f>
        <v>100</v>
      </c>
      <c r="I12" s="375"/>
      <c r="J12" s="79">
        <f>SUMIF(59:59,I12,60:60)-SUMIF(59:59,C12,60:60)+100</f>
        <v>100</v>
      </c>
      <c r="K12" s="556"/>
      <c r="L12" s="1078"/>
      <c r="M12" s="1079"/>
      <c r="N12" s="1079"/>
      <c r="O12" s="1079"/>
      <c r="P12" s="3291"/>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716">
        <f>D12/J12</f>
        <v>1</v>
      </c>
    </row>
    <row r="13" spans="1:29" ht="15.75" thickBot="1">
      <c r="A13" s="589"/>
      <c r="B13" s="587">
        <v>111</v>
      </c>
      <c r="C13" s="377"/>
      <c r="D13" s="378">
        <v>100</v>
      </c>
      <c r="E13" s="375"/>
      <c r="F13" s="79">
        <f>SUMIF(61:61,E13,62:62)-SUMIF(61:61,C13,62:62)+100</f>
        <v>100</v>
      </c>
      <c r="G13" s="375"/>
      <c r="H13" s="378">
        <f>SUMIF(61:61,G13,62:62)-SUMIF(61:61,C13,62:62)+100</f>
        <v>100</v>
      </c>
      <c r="I13" s="375"/>
      <c r="J13" s="378">
        <f>SUMIF(61:61,I13,62:62)-SUMIF(61:61,C13,62:62)+100</f>
        <v>100</v>
      </c>
      <c r="K13" s="556"/>
      <c r="L13" s="1086"/>
      <c r="M13" s="1077"/>
      <c r="N13" s="1077"/>
      <c r="O13" s="1077"/>
      <c r="P13" s="3291"/>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716">
        <f t="shared" si="5"/>
        <v>1</v>
      </c>
    </row>
    <row r="14" spans="1:29" ht="85.5">
      <c r="A14" s="344" t="s">
        <v>2430</v>
      </c>
      <c r="B14" s="572" t="s">
        <v>2580</v>
      </c>
      <c r="C14" s="2556"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57"/>
      <c r="L14" s="1086"/>
      <c r="M14" s="1077"/>
      <c r="N14" s="1077"/>
      <c r="O14" s="1077"/>
      <c r="P14" s="3306" t="s">
        <v>2431</v>
      </c>
      <c r="Q14" s="1737" t="str">
        <f t="shared" si="6"/>
        <v>交通便捷度</v>
      </c>
      <c r="R14" s="717" t="s">
        <v>17</v>
      </c>
      <c r="S14" s="718">
        <f t="shared" si="0"/>
        <v>100</v>
      </c>
      <c r="T14" s="717" t="s">
        <v>17</v>
      </c>
      <c r="U14" s="718">
        <f t="shared" si="1"/>
        <v>100</v>
      </c>
      <c r="V14" s="717" t="s">
        <v>17</v>
      </c>
      <c r="W14" s="718">
        <f t="shared" si="2"/>
        <v>100</v>
      </c>
      <c r="X14" s="1740"/>
      <c r="Y14" s="3306" t="s">
        <v>2431</v>
      </c>
      <c r="Z14" s="1741" t="str">
        <f t="shared" si="7"/>
        <v>交通便捷度</v>
      </c>
      <c r="AA14" s="1738">
        <f t="shared" si="3"/>
        <v>1</v>
      </c>
      <c r="AB14" s="1738">
        <f t="shared" si="4"/>
        <v>1</v>
      </c>
      <c r="AC14" s="1738">
        <f t="shared" si="5"/>
        <v>1</v>
      </c>
    </row>
    <row r="15" spans="1:29" ht="15">
      <c r="A15" s="347"/>
      <c r="B15" s="590"/>
      <c r="C15" s="390"/>
      <c r="D15" s="391"/>
      <c r="E15" s="390"/>
      <c r="F15" s="392"/>
      <c r="G15" s="390"/>
      <c r="H15" s="393"/>
      <c r="I15" s="390"/>
      <c r="J15" s="391"/>
      <c r="K15" s="558"/>
      <c r="L15" s="1086"/>
      <c r="M15" s="1077"/>
      <c r="N15" s="1077"/>
      <c r="O15" s="1077"/>
      <c r="P15" s="3307"/>
      <c r="Q15" s="1737"/>
      <c r="R15" s="717"/>
      <c r="S15" s="718"/>
      <c r="T15" s="717"/>
      <c r="U15" s="718"/>
      <c r="V15" s="717"/>
      <c r="W15" s="718"/>
      <c r="X15" s="1740"/>
      <c r="Y15" s="3307"/>
      <c r="Z15" s="1741"/>
      <c r="AA15" s="1738">
        <v>1</v>
      </c>
      <c r="AB15" s="1738">
        <v>1</v>
      </c>
      <c r="AC15" s="1738">
        <v>1</v>
      </c>
    </row>
    <row r="16" spans="1:29" ht="15">
      <c r="A16" s="347"/>
      <c r="B16" s="574" t="s">
        <v>2559</v>
      </c>
      <c r="C16" s="2472">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86"/>
      <c r="M16" s="1077"/>
      <c r="N16" s="1077"/>
      <c r="O16" s="1077"/>
      <c r="P16" s="3307"/>
      <c r="Q16" s="1737" t="str">
        <f>B16</f>
        <v>公共配套设施</v>
      </c>
      <c r="R16" s="717" t="s">
        <v>17</v>
      </c>
      <c r="S16" s="718">
        <f>F16</f>
        <v>100</v>
      </c>
      <c r="T16" s="717" t="s">
        <v>17</v>
      </c>
      <c r="U16" s="718">
        <f>H16</f>
        <v>100</v>
      </c>
      <c r="V16" s="717" t="s">
        <v>17</v>
      </c>
      <c r="W16" s="718">
        <f>J16</f>
        <v>100</v>
      </c>
      <c r="X16" s="1740"/>
      <c r="Y16" s="3307"/>
      <c r="Z16" s="1741" t="str">
        <f>Q16</f>
        <v>公共配套设施</v>
      </c>
      <c r="AA16" s="1738">
        <f t="shared" si="3"/>
        <v>1</v>
      </c>
      <c r="AB16" s="1738">
        <f t="shared" si="4"/>
        <v>1</v>
      </c>
      <c r="AC16" s="1738">
        <f t="shared" si="5"/>
        <v>1</v>
      </c>
    </row>
    <row r="17" spans="1:29" ht="15">
      <c r="A17" s="347"/>
      <c r="B17" s="575"/>
      <c r="C17" s="2473"/>
      <c r="D17" s="391"/>
      <c r="E17" s="390"/>
      <c r="F17" s="392"/>
      <c r="G17" s="390"/>
      <c r="H17" s="391"/>
      <c r="I17" s="390"/>
      <c r="J17" s="391"/>
      <c r="K17" s="558"/>
      <c r="L17" s="1086"/>
      <c r="M17" s="1077"/>
      <c r="N17" s="1077"/>
      <c r="O17" s="1077"/>
      <c r="P17" s="3307"/>
      <c r="Q17" s="1737"/>
      <c r="R17" s="717"/>
      <c r="S17" s="718"/>
      <c r="T17" s="717"/>
      <c r="U17" s="718"/>
      <c r="V17" s="717"/>
      <c r="W17" s="718"/>
      <c r="X17" s="1740"/>
      <c r="Y17" s="3307"/>
      <c r="Z17" s="1741"/>
      <c r="AA17" s="1738">
        <v>1</v>
      </c>
      <c r="AB17" s="1738">
        <v>1</v>
      </c>
      <c r="AC17" s="1738">
        <v>1</v>
      </c>
    </row>
    <row r="18" spans="1:29" ht="15">
      <c r="A18" s="347"/>
      <c r="B18" s="576" t="s">
        <v>2560</v>
      </c>
      <c r="C18" s="2472">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86"/>
      <c r="M18" s="1077"/>
      <c r="N18" s="1077"/>
      <c r="O18" s="1077"/>
      <c r="P18" s="3307"/>
      <c r="Q18" s="1737" t="str">
        <f>B18</f>
        <v>基础设施水平</v>
      </c>
      <c r="R18" s="717" t="s">
        <v>17</v>
      </c>
      <c r="S18" s="718">
        <f>F18</f>
        <v>100</v>
      </c>
      <c r="T18" s="717" t="s">
        <v>17</v>
      </c>
      <c r="U18" s="718">
        <f>H18</f>
        <v>100</v>
      </c>
      <c r="V18" s="717" t="s">
        <v>17</v>
      </c>
      <c r="W18" s="718">
        <f>J18</f>
        <v>100</v>
      </c>
      <c r="X18" s="1740"/>
      <c r="Y18" s="3307"/>
      <c r="Z18" s="1741" t="str">
        <f>Q18</f>
        <v>基础设施水平</v>
      </c>
      <c r="AA18" s="1738">
        <f t="shared" ref="AA18" si="8">D18/F18</f>
        <v>1</v>
      </c>
      <c r="AB18" s="1738">
        <f t="shared" ref="AB18" si="9">D18/H18</f>
        <v>1</v>
      </c>
      <c r="AC18" s="1738">
        <f t="shared" ref="AC18" si="10">D18/J18</f>
        <v>1</v>
      </c>
    </row>
    <row r="19" spans="1:29" ht="15">
      <c r="A19" s="347"/>
      <c r="B19" s="576"/>
      <c r="C19" s="2473"/>
      <c r="D19" s="393"/>
      <c r="E19" s="2473"/>
      <c r="F19" s="396"/>
      <c r="G19" s="2473"/>
      <c r="H19" s="391"/>
      <c r="I19" s="390"/>
      <c r="J19" s="391"/>
      <c r="K19" s="1315"/>
      <c r="L19" s="1086"/>
      <c r="M19" s="1077"/>
      <c r="N19" s="1077"/>
      <c r="O19" s="1077"/>
      <c r="P19" s="3307"/>
      <c r="Q19" s="1737"/>
      <c r="R19" s="717"/>
      <c r="S19" s="718"/>
      <c r="T19" s="717"/>
      <c r="U19" s="718"/>
      <c r="V19" s="717"/>
      <c r="W19" s="718"/>
      <c r="X19" s="1740"/>
      <c r="Y19" s="3307"/>
      <c r="Z19" s="1741"/>
      <c r="AA19" s="1738">
        <v>1</v>
      </c>
      <c r="AB19" s="1738">
        <v>1</v>
      </c>
      <c r="AC19" s="1738">
        <v>1</v>
      </c>
    </row>
    <row r="20" spans="1:29" ht="15">
      <c r="A20" s="347"/>
      <c r="B20" s="574" t="s">
        <v>2581</v>
      </c>
      <c r="C20" s="2472">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86"/>
      <c r="M20" s="1077"/>
      <c r="N20" s="1077"/>
      <c r="O20" s="1077"/>
      <c r="P20" s="3307"/>
      <c r="Q20" s="1737" t="str">
        <f>B20</f>
        <v>自然及人文环境</v>
      </c>
      <c r="R20" s="717" t="s">
        <v>17</v>
      </c>
      <c r="S20" s="718">
        <f>F20</f>
        <v>100</v>
      </c>
      <c r="T20" s="717" t="s">
        <v>17</v>
      </c>
      <c r="U20" s="718">
        <f>H20</f>
        <v>100</v>
      </c>
      <c r="V20" s="717" t="s">
        <v>17</v>
      </c>
      <c r="W20" s="718">
        <f>J20</f>
        <v>100</v>
      </c>
      <c r="X20" s="1740"/>
      <c r="Y20" s="3307"/>
      <c r="Z20" s="1741" t="str">
        <f>Q20</f>
        <v>自然及人文环境</v>
      </c>
      <c r="AA20" s="1738">
        <f t="shared" si="3"/>
        <v>1</v>
      </c>
      <c r="AB20" s="1738">
        <f t="shared" si="4"/>
        <v>1</v>
      </c>
      <c r="AC20" s="1738">
        <f t="shared" si="5"/>
        <v>1</v>
      </c>
    </row>
    <row r="21" spans="1:29" ht="15">
      <c r="A21" s="347"/>
      <c r="B21" s="575"/>
      <c r="C21" s="390"/>
      <c r="D21" s="391"/>
      <c r="E21" s="390"/>
      <c r="F21" s="392"/>
      <c r="G21" s="390"/>
      <c r="H21" s="391"/>
      <c r="I21" s="390"/>
      <c r="J21" s="391"/>
      <c r="K21" s="558"/>
      <c r="L21" s="1086"/>
      <c r="M21" s="1077"/>
      <c r="N21" s="1077"/>
      <c r="O21" s="1077"/>
      <c r="P21" s="3307"/>
      <c r="Q21" s="1737"/>
      <c r="R21" s="717"/>
      <c r="S21" s="718"/>
      <c r="T21" s="717"/>
      <c r="U21" s="718"/>
      <c r="V21" s="717"/>
      <c r="W21" s="718"/>
      <c r="X21" s="1740"/>
      <c r="Y21" s="3307"/>
      <c r="Z21" s="1741"/>
      <c r="AA21" s="1738">
        <v>1</v>
      </c>
      <c r="AB21" s="1738">
        <v>1</v>
      </c>
      <c r="AC21" s="1738">
        <v>1</v>
      </c>
    </row>
    <row r="22" spans="1:29" ht="15">
      <c r="A22" s="347"/>
      <c r="B22" s="574" t="s">
        <v>2582</v>
      </c>
      <c r="C22" s="559"/>
      <c r="D22" s="393">
        <v>100</v>
      </c>
      <c r="E22" s="559"/>
      <c r="F22" s="404">
        <f>SUMIF(71:71,E22,72:72)-SUMIF(71:71,C22,72:72)+100</f>
        <v>100</v>
      </c>
      <c r="G22" s="559"/>
      <c r="H22" s="378">
        <f>SUMIF(71:71,G22,72:72)-SUMIF(71:71,C22,72:72)+100</f>
        <v>100</v>
      </c>
      <c r="I22" s="559"/>
      <c r="J22" s="378">
        <f>SUMIF(71:71,I22,72:72)-SUMIF(71:71,C22,72:72)+100</f>
        <v>100</v>
      </c>
      <c r="K22" s="555"/>
      <c r="L22" s="1086"/>
      <c r="M22" s="1077"/>
      <c r="N22" s="1077"/>
      <c r="O22" s="1077"/>
      <c r="P22" s="3307"/>
      <c r="Q22" s="1737" t="str">
        <f>B22</f>
        <v>楼层</v>
      </c>
      <c r="R22" s="717" t="s">
        <v>17</v>
      </c>
      <c r="S22" s="718">
        <f>F22</f>
        <v>100</v>
      </c>
      <c r="T22" s="717" t="s">
        <v>17</v>
      </c>
      <c r="U22" s="718">
        <f>H22</f>
        <v>100</v>
      </c>
      <c r="V22" s="717" t="s">
        <v>17</v>
      </c>
      <c r="W22" s="718">
        <f>J22</f>
        <v>100</v>
      </c>
      <c r="X22" s="1740"/>
      <c r="Y22" s="3307"/>
      <c r="Z22" s="1741" t="str">
        <f>Q22</f>
        <v>楼层</v>
      </c>
      <c r="AA22" s="1738">
        <f t="shared" si="3"/>
        <v>1</v>
      </c>
      <c r="AB22" s="1738">
        <f t="shared" si="4"/>
        <v>1</v>
      </c>
      <c r="AC22" s="1738">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86"/>
      <c r="M23" s="1077"/>
      <c r="N23" s="1077"/>
      <c r="O23" s="1077"/>
      <c r="P23" s="3307"/>
      <c r="Q23" s="1737">
        <f>B23</f>
        <v>111</v>
      </c>
      <c r="R23" s="717" t="s">
        <v>17</v>
      </c>
      <c r="S23" s="718">
        <f>F23</f>
        <v>100</v>
      </c>
      <c r="T23" s="717" t="s">
        <v>17</v>
      </c>
      <c r="U23" s="718">
        <f>H23</f>
        <v>100</v>
      </c>
      <c r="V23" s="717" t="s">
        <v>17</v>
      </c>
      <c r="W23" s="718">
        <f>J23</f>
        <v>100</v>
      </c>
      <c r="X23" s="1740"/>
      <c r="Y23" s="3307"/>
      <c r="Z23" s="1741">
        <f>Q23</f>
        <v>111</v>
      </c>
      <c r="AA23" s="1738">
        <f t="shared" si="3"/>
        <v>1</v>
      </c>
      <c r="AB23" s="1738">
        <f t="shared" si="4"/>
        <v>1</v>
      </c>
      <c r="AC23" s="1738">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86"/>
      <c r="M24" s="1077"/>
      <c r="N24" s="1077"/>
      <c r="O24" s="1077"/>
      <c r="P24" s="3307"/>
      <c r="Q24" s="1737">
        <f t="shared" ref="Q24:Q36" si="11">B24</f>
        <v>111</v>
      </c>
      <c r="R24" s="717" t="s">
        <v>17</v>
      </c>
      <c r="S24" s="718">
        <f>F24</f>
        <v>100</v>
      </c>
      <c r="T24" s="717" t="s">
        <v>17</v>
      </c>
      <c r="U24" s="718">
        <f>H24</f>
        <v>100</v>
      </c>
      <c r="V24" s="717" t="s">
        <v>17</v>
      </c>
      <c r="W24" s="718">
        <f>J24</f>
        <v>100</v>
      </c>
      <c r="X24" s="1740"/>
      <c r="Y24" s="3307"/>
      <c r="Z24" s="1741">
        <f>Q24</f>
        <v>111</v>
      </c>
      <c r="AA24" s="1738">
        <f t="shared" si="3"/>
        <v>1</v>
      </c>
      <c r="AB24" s="1738">
        <f t="shared" si="4"/>
        <v>1</v>
      </c>
      <c r="AC24" s="1738">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8"/>
      <c r="M25" s="1079"/>
      <c r="N25" s="1079"/>
      <c r="O25" s="1079"/>
      <c r="P25" s="3307"/>
      <c r="Q25" s="1723">
        <f t="shared" si="11"/>
        <v>111</v>
      </c>
      <c r="R25" s="713" t="s">
        <v>17</v>
      </c>
      <c r="S25" s="714">
        <f>F25</f>
        <v>100</v>
      </c>
      <c r="T25" s="713" t="s">
        <v>17</v>
      </c>
      <c r="U25" s="714">
        <f>H25</f>
        <v>100</v>
      </c>
      <c r="V25" s="713" t="s">
        <v>17</v>
      </c>
      <c r="W25" s="714">
        <f>J25</f>
        <v>100</v>
      </c>
      <c r="X25" s="715"/>
      <c r="Y25" s="3307"/>
      <c r="Z25" s="54">
        <f>Q25</f>
        <v>111</v>
      </c>
      <c r="AA25" s="1738">
        <f>D25/F25</f>
        <v>1</v>
      </c>
      <c r="AB25" s="1738">
        <f>D25/H25</f>
        <v>1</v>
      </c>
      <c r="AC25" s="1738">
        <f>D25/J25</f>
        <v>1</v>
      </c>
    </row>
    <row r="26" spans="1:29" ht="15">
      <c r="A26" s="595" t="s">
        <v>2434</v>
      </c>
      <c r="B26" s="69" t="s">
        <v>2583</v>
      </c>
      <c r="C26" s="2557">
        <f>B1</f>
        <v>0</v>
      </c>
      <c r="D26" s="391">
        <v>100</v>
      </c>
      <c r="E26" s="390"/>
      <c r="F26" s="392">
        <f>SUMIF(79:79,E26,80:80)-SUMIF(79:79,C26,80:80)+100</f>
        <v>100</v>
      </c>
      <c r="G26" s="390"/>
      <c r="H26" s="391">
        <f>SUMIF(79:79,G26,80:80)-SUMIF(79:79,C26,80:80)+100</f>
        <v>100</v>
      </c>
      <c r="I26" s="390"/>
      <c r="J26" s="391">
        <f>SUMIF(79:79,I26,80:80)-SUMIF(79:79,C26,80:80)+100</f>
        <v>100</v>
      </c>
      <c r="K26" s="555"/>
      <c r="L26" s="1086"/>
      <c r="M26" s="1077"/>
      <c r="N26" s="1077"/>
      <c r="O26" s="1077"/>
      <c r="P26" s="3308" t="s">
        <v>2436</v>
      </c>
      <c r="Q26" s="1737" t="str">
        <f t="shared" si="11"/>
        <v>配套类型</v>
      </c>
      <c r="R26" s="717" t="s">
        <v>17</v>
      </c>
      <c r="S26" s="718">
        <f t="shared" ref="S26:S36" si="12">F26</f>
        <v>100</v>
      </c>
      <c r="T26" s="717" t="s">
        <v>17</v>
      </c>
      <c r="U26" s="718">
        <f t="shared" ref="U26:U36" si="13">H26</f>
        <v>100</v>
      </c>
      <c r="V26" s="717" t="s">
        <v>17</v>
      </c>
      <c r="W26" s="718">
        <f t="shared" ref="W26:W36" si="14">J26</f>
        <v>100</v>
      </c>
      <c r="X26" s="1740"/>
      <c r="Y26" s="3309" t="s">
        <v>2436</v>
      </c>
      <c r="Z26" s="1741" t="str">
        <f t="shared" ref="Z26:Z36" si="15">Q26</f>
        <v>配套类型</v>
      </c>
      <c r="AA26" s="1738">
        <f t="shared" si="3"/>
        <v>1</v>
      </c>
      <c r="AB26" s="1738">
        <f t="shared" si="4"/>
        <v>1</v>
      </c>
      <c r="AC26" s="1738">
        <f t="shared" si="5"/>
        <v>1</v>
      </c>
    </row>
    <row r="27" spans="1:29" s="414" customFormat="1" ht="15">
      <c r="A27" s="596"/>
      <c r="B27" s="597" t="s">
        <v>2584</v>
      </c>
      <c r="C27" s="598"/>
      <c r="D27" s="79">
        <v>100</v>
      </c>
      <c r="E27" s="598"/>
      <c r="F27" s="404">
        <f>SUMIF(81:81,E27,82:82)-SUMIF(81:81,C27,82:82)+100</f>
        <v>100</v>
      </c>
      <c r="G27" s="598"/>
      <c r="H27" s="378">
        <f>SUMIF(81:81,G27,82:82)-SUMIF(81:81,C27,82:82)+100</f>
        <v>100</v>
      </c>
      <c r="I27" s="598"/>
      <c r="J27" s="378">
        <f>SUMIF(81:81,I27,82:82)-SUMIF(81:81,C27,82:82)+100</f>
        <v>100</v>
      </c>
      <c r="K27" s="556"/>
      <c r="L27" s="1084"/>
      <c r="M27" s="1087"/>
      <c r="N27" s="1087"/>
      <c r="O27" s="1087"/>
      <c r="P27" s="3309"/>
      <c r="Q27" s="719" t="str">
        <f t="shared" si="11"/>
        <v>项目停车位配比</v>
      </c>
      <c r="R27" s="720" t="s">
        <v>17</v>
      </c>
      <c r="S27" s="721">
        <f t="shared" si="12"/>
        <v>100</v>
      </c>
      <c r="T27" s="720" t="s">
        <v>17</v>
      </c>
      <c r="U27" s="721">
        <f t="shared" si="13"/>
        <v>100</v>
      </c>
      <c r="V27" s="720" t="s">
        <v>17</v>
      </c>
      <c r="W27" s="721">
        <f t="shared" si="14"/>
        <v>100</v>
      </c>
      <c r="X27" s="722"/>
      <c r="Y27" s="3309"/>
      <c r="Z27" s="723" t="str">
        <f t="shared" si="15"/>
        <v>项目停车位配比</v>
      </c>
      <c r="AA27" s="1738">
        <f t="shared" si="3"/>
        <v>1</v>
      </c>
      <c r="AB27" s="1738">
        <f t="shared" si="4"/>
        <v>1</v>
      </c>
      <c r="AC27" s="1738">
        <f t="shared" si="5"/>
        <v>1</v>
      </c>
    </row>
    <row r="28" spans="1:29" ht="15">
      <c r="A28" s="599"/>
      <c r="B28" s="597" t="s">
        <v>2585</v>
      </c>
      <c r="C28" s="403"/>
      <c r="D28" s="378">
        <v>100</v>
      </c>
      <c r="E28" s="403"/>
      <c r="F28" s="404">
        <f>SUMIF(83:83,E28,84:84)-SUMIF(83:83,C28,84:84)+100</f>
        <v>100</v>
      </c>
      <c r="G28" s="403"/>
      <c r="H28" s="378">
        <f>SUMIF(83:83,G28,84:84)-SUMIF(83:83,C28,84:84)+100</f>
        <v>100</v>
      </c>
      <c r="I28" s="403"/>
      <c r="J28" s="378">
        <f>SUMIF(83:83,I28,84:84)-SUMIF(83:83,C28,84:84)+100</f>
        <v>100</v>
      </c>
      <c r="K28" s="555"/>
      <c r="L28" s="1086"/>
      <c r="M28" s="1077"/>
      <c r="N28" s="1077"/>
      <c r="O28" s="1077"/>
      <c r="P28" s="3309"/>
      <c r="Q28" s="1737" t="str">
        <f t="shared" si="11"/>
        <v>公共部分装修</v>
      </c>
      <c r="R28" s="717" t="s">
        <v>17</v>
      </c>
      <c r="S28" s="718">
        <f t="shared" si="12"/>
        <v>100</v>
      </c>
      <c r="T28" s="717" t="s">
        <v>17</v>
      </c>
      <c r="U28" s="718">
        <f t="shared" si="13"/>
        <v>100</v>
      </c>
      <c r="V28" s="717" t="s">
        <v>17</v>
      </c>
      <c r="W28" s="718">
        <f t="shared" si="14"/>
        <v>100</v>
      </c>
      <c r="X28" s="1740"/>
      <c r="Y28" s="3309"/>
      <c r="Z28" s="1741" t="str">
        <f t="shared" si="15"/>
        <v>公共部分装修</v>
      </c>
      <c r="AA28" s="1738">
        <f t="shared" si="3"/>
        <v>1</v>
      </c>
      <c r="AB28" s="1738">
        <f t="shared" si="4"/>
        <v>1</v>
      </c>
      <c r="AC28" s="1738">
        <f t="shared" si="5"/>
        <v>1</v>
      </c>
    </row>
    <row r="29" spans="1:29" ht="15">
      <c r="A29" s="599"/>
      <c r="B29" s="597" t="s">
        <v>2586</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86"/>
      <c r="M29" s="1077"/>
      <c r="N29" s="1077"/>
      <c r="O29" s="1077"/>
      <c r="P29" s="3309"/>
      <c r="Q29" s="1737" t="str">
        <f t="shared" si="11"/>
        <v>成新率</v>
      </c>
      <c r="R29" s="717" t="s">
        <v>17</v>
      </c>
      <c r="S29" s="718" t="e">
        <f t="shared" si="12"/>
        <v>#N/A</v>
      </c>
      <c r="T29" s="717" t="s">
        <v>17</v>
      </c>
      <c r="U29" s="718" t="e">
        <f t="shared" si="13"/>
        <v>#N/A</v>
      </c>
      <c r="V29" s="717" t="s">
        <v>17</v>
      </c>
      <c r="W29" s="718" t="e">
        <f t="shared" si="14"/>
        <v>#N/A</v>
      </c>
      <c r="X29" s="1740"/>
      <c r="Y29" s="3309"/>
      <c r="Z29" s="1741" t="str">
        <f t="shared" si="15"/>
        <v>成新率</v>
      </c>
      <c r="AA29" s="1738" t="e">
        <f t="shared" si="3"/>
        <v>#N/A</v>
      </c>
      <c r="AB29" s="1738" t="e">
        <f t="shared" si="4"/>
        <v>#N/A</v>
      </c>
      <c r="AC29" s="1738" t="e">
        <f t="shared" si="5"/>
        <v>#N/A</v>
      </c>
    </row>
    <row r="30" spans="1:29" ht="15">
      <c r="A30" s="599"/>
      <c r="B30" s="597" t="s">
        <v>2587</v>
      </c>
      <c r="C30" s="600"/>
      <c r="D30" s="378">
        <v>100</v>
      </c>
      <c r="E30" s="600"/>
      <c r="F30" s="404">
        <f>SUMIF(88:88,E30,89:89)-SUMIF(88:88,C30,89:89)+100</f>
        <v>100</v>
      </c>
      <c r="G30" s="600"/>
      <c r="H30" s="378">
        <f>SUMIF(88:88,E30,89:89)-SUMIF(88:88,C30,89:89)+100</f>
        <v>100</v>
      </c>
      <c r="I30" s="600"/>
      <c r="J30" s="378">
        <f>SUMIF(88:88,E30,89:89)-SUMIF(88:88,C30,89:89)+100</f>
        <v>100</v>
      </c>
      <c r="K30" s="555"/>
      <c r="L30" s="1086"/>
      <c r="M30" s="1077"/>
      <c r="N30" s="1077"/>
      <c r="O30" s="1077"/>
      <c r="P30" s="3309"/>
      <c r="Q30" s="1737" t="str">
        <f t="shared" si="11"/>
        <v>物业等级</v>
      </c>
      <c r="R30" s="717" t="s">
        <v>17</v>
      </c>
      <c r="S30" s="718">
        <f t="shared" si="12"/>
        <v>100</v>
      </c>
      <c r="T30" s="717" t="s">
        <v>17</v>
      </c>
      <c r="U30" s="718">
        <f t="shared" si="13"/>
        <v>100</v>
      </c>
      <c r="V30" s="717" t="s">
        <v>17</v>
      </c>
      <c r="W30" s="718">
        <f t="shared" si="14"/>
        <v>100</v>
      </c>
      <c r="X30" s="1740"/>
      <c r="Y30" s="3309"/>
      <c r="Z30" s="1741" t="str">
        <f t="shared" si="15"/>
        <v>物业等级</v>
      </c>
      <c r="AA30" s="1738">
        <f t="shared" si="3"/>
        <v>1</v>
      </c>
      <c r="AB30" s="1738">
        <f t="shared" si="4"/>
        <v>1</v>
      </c>
      <c r="AC30" s="1738">
        <f t="shared" si="5"/>
        <v>1</v>
      </c>
    </row>
    <row r="31" spans="1:29" s="72" customFormat="1" ht="15">
      <c r="A31" s="601"/>
      <c r="B31" s="597" t="s">
        <v>2588</v>
      </c>
      <c r="C31" s="412"/>
      <c r="D31" s="79">
        <v>100</v>
      </c>
      <c r="E31" s="412"/>
      <c r="F31" s="404" t="e">
        <f>LOOKUP(E31,91:91,92:92)-LOOKUP(C31,91:91,92:92)+100</f>
        <v>#N/A</v>
      </c>
      <c r="G31" s="412"/>
      <c r="H31" s="378" t="e">
        <f>LOOKUP(G31,91:91,92:92)-LOOKUP(C31,91:91,92:92)+100</f>
        <v>#N/A</v>
      </c>
      <c r="I31" s="412"/>
      <c r="J31" s="378" t="e">
        <f>LOOKUP(I31,91:91,92:92)-LOOKUP(C31,91:91,92:92)+100</f>
        <v>#N/A</v>
      </c>
      <c r="K31" s="555"/>
      <c r="L31" s="1078"/>
      <c r="M31" s="1079"/>
      <c r="N31" s="1079"/>
      <c r="O31" s="1079"/>
      <c r="P31" s="3309"/>
      <c r="Q31" s="1723" t="str">
        <f t="shared" si="11"/>
        <v>停车位面积</v>
      </c>
      <c r="R31" s="713" t="s">
        <v>17</v>
      </c>
      <c r="S31" s="714" t="e">
        <f t="shared" si="12"/>
        <v>#N/A</v>
      </c>
      <c r="T31" s="713" t="s">
        <v>17</v>
      </c>
      <c r="U31" s="714" t="e">
        <f t="shared" si="13"/>
        <v>#N/A</v>
      </c>
      <c r="V31" s="713" t="s">
        <v>17</v>
      </c>
      <c r="W31" s="714" t="e">
        <f t="shared" si="14"/>
        <v>#N/A</v>
      </c>
      <c r="X31" s="715"/>
      <c r="Y31" s="3309"/>
      <c r="Z31" s="54" t="str">
        <f t="shared" si="15"/>
        <v>停车位面积</v>
      </c>
      <c r="AA31" s="716" t="e">
        <f t="shared" si="3"/>
        <v>#N/A</v>
      </c>
      <c r="AB31" s="716" t="e">
        <f t="shared" si="4"/>
        <v>#N/A</v>
      </c>
      <c r="AC31" s="716" t="e">
        <f t="shared" si="5"/>
        <v>#N/A</v>
      </c>
    </row>
    <row r="32" spans="1:29" ht="15">
      <c r="A32" s="599"/>
      <c r="B32" s="597" t="s">
        <v>2589</v>
      </c>
      <c r="C32" s="403"/>
      <c r="D32" s="378">
        <v>100</v>
      </c>
      <c r="E32" s="403"/>
      <c r="F32" s="404">
        <f>SUMIF(93:93,E32,94:94)-SUMIF(93:93,C32,94:94)+100</f>
        <v>100</v>
      </c>
      <c r="G32" s="403"/>
      <c r="H32" s="378">
        <f>SUMIF(93:93,G32,94:94)-SUMIF(93:93,C32,94:94)+100</f>
        <v>100</v>
      </c>
      <c r="I32" s="403"/>
      <c r="J32" s="378">
        <f>SUMIF(93:93,I32,94:94)-SUMIF(93:93,C32,94:94)+100</f>
        <v>100</v>
      </c>
      <c r="K32" s="555"/>
      <c r="L32" s="1086"/>
      <c r="M32" s="1077"/>
      <c r="N32" s="1077"/>
      <c r="O32" s="1077"/>
      <c r="P32" s="3309" t="s">
        <v>2436</v>
      </c>
      <c r="Q32" s="1737" t="str">
        <f t="shared" si="11"/>
        <v>车位类型</v>
      </c>
      <c r="R32" s="717" t="s">
        <v>17</v>
      </c>
      <c r="S32" s="718">
        <f t="shared" si="12"/>
        <v>100</v>
      </c>
      <c r="T32" s="717" t="s">
        <v>17</v>
      </c>
      <c r="U32" s="718">
        <f t="shared" si="13"/>
        <v>100</v>
      </c>
      <c r="V32" s="717" t="s">
        <v>17</v>
      </c>
      <c r="W32" s="718">
        <f t="shared" si="14"/>
        <v>100</v>
      </c>
      <c r="X32" s="1740"/>
      <c r="Y32" s="3309" t="s">
        <v>2436</v>
      </c>
      <c r="Z32" s="1741" t="str">
        <f t="shared" si="15"/>
        <v>车位类型</v>
      </c>
      <c r="AA32" s="1738">
        <f t="shared" si="3"/>
        <v>1</v>
      </c>
      <c r="AB32" s="1738">
        <f t="shared" si="4"/>
        <v>1</v>
      </c>
      <c r="AC32" s="1738">
        <f t="shared" si="5"/>
        <v>1</v>
      </c>
    </row>
    <row r="33" spans="1:29" ht="15">
      <c r="A33" s="599"/>
      <c r="B33" s="597" t="s">
        <v>2590</v>
      </c>
      <c r="C33" s="403"/>
      <c r="D33" s="378">
        <v>100</v>
      </c>
      <c r="E33" s="403"/>
      <c r="F33" s="404">
        <f>SUMIF(95:95,E33,96:96)-SUMIF(95:95,C33,96:96)+100</f>
        <v>100</v>
      </c>
      <c r="G33" s="403"/>
      <c r="H33" s="378">
        <f>SUMIF(95:95,G33,96:96)-SUMIF(95:95,C33,96:96)+100</f>
        <v>100</v>
      </c>
      <c r="I33" s="403"/>
      <c r="J33" s="378">
        <f>SUMIF(95:95,I33,96:96)-SUMIF(95:95,C33,96:96)+100</f>
        <v>100</v>
      </c>
      <c r="K33" s="555"/>
      <c r="L33" s="1086"/>
      <c r="M33" s="1077"/>
      <c r="N33" s="1077"/>
      <c r="O33" s="1077"/>
      <c r="P33" s="3309"/>
      <c r="Q33" s="1737" t="str">
        <f t="shared" si="11"/>
        <v>是否直接入户</v>
      </c>
      <c r="R33" s="717" t="s">
        <v>17</v>
      </c>
      <c r="S33" s="718">
        <f t="shared" si="12"/>
        <v>100</v>
      </c>
      <c r="T33" s="717" t="s">
        <v>17</v>
      </c>
      <c r="U33" s="718">
        <f t="shared" si="13"/>
        <v>100</v>
      </c>
      <c r="V33" s="717" t="s">
        <v>17</v>
      </c>
      <c r="W33" s="718">
        <f t="shared" si="14"/>
        <v>100</v>
      </c>
      <c r="X33" s="1740"/>
      <c r="Y33" s="3309"/>
      <c r="Z33" s="1741" t="str">
        <f t="shared" si="15"/>
        <v>是否直接入户</v>
      </c>
      <c r="AA33" s="1738">
        <f t="shared" si="3"/>
        <v>1</v>
      </c>
      <c r="AB33" s="1738">
        <f t="shared" si="4"/>
        <v>1</v>
      </c>
      <c r="AC33" s="1738">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86"/>
      <c r="M34" s="1077"/>
      <c r="N34" s="1077"/>
      <c r="O34" s="1077"/>
      <c r="P34" s="3309"/>
      <c r="Q34" s="1737">
        <f t="shared" si="11"/>
        <v>111</v>
      </c>
      <c r="R34" s="717" t="s">
        <v>17</v>
      </c>
      <c r="S34" s="718">
        <f t="shared" si="12"/>
        <v>100</v>
      </c>
      <c r="T34" s="717" t="s">
        <v>17</v>
      </c>
      <c r="U34" s="718">
        <f t="shared" si="13"/>
        <v>100</v>
      </c>
      <c r="V34" s="717" t="s">
        <v>17</v>
      </c>
      <c r="W34" s="718">
        <f t="shared" si="14"/>
        <v>100</v>
      </c>
      <c r="X34" s="1740"/>
      <c r="Y34" s="3309"/>
      <c r="Z34" s="1741">
        <f t="shared" si="15"/>
        <v>111</v>
      </c>
      <c r="AA34" s="1738">
        <f t="shared" si="3"/>
        <v>1</v>
      </c>
      <c r="AB34" s="1738">
        <f t="shared" si="4"/>
        <v>1</v>
      </c>
      <c r="AC34" s="1738">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84"/>
      <c r="M35" s="1087"/>
      <c r="N35" s="1087"/>
      <c r="O35" s="1087"/>
      <c r="P35" s="3309"/>
      <c r="Q35" s="719">
        <f t="shared" si="11"/>
        <v>111</v>
      </c>
      <c r="R35" s="720" t="s">
        <v>17</v>
      </c>
      <c r="S35" s="721">
        <f t="shared" si="12"/>
        <v>100</v>
      </c>
      <c r="T35" s="720" t="s">
        <v>17</v>
      </c>
      <c r="U35" s="721">
        <f t="shared" si="13"/>
        <v>100</v>
      </c>
      <c r="V35" s="720" t="s">
        <v>17</v>
      </c>
      <c r="W35" s="721">
        <f t="shared" si="14"/>
        <v>100</v>
      </c>
      <c r="X35" s="722"/>
      <c r="Y35" s="3309"/>
      <c r="Z35" s="723">
        <f t="shared" si="15"/>
        <v>111</v>
      </c>
      <c r="AA35" s="1738">
        <f t="shared" si="3"/>
        <v>1</v>
      </c>
      <c r="AB35" s="1738">
        <f t="shared" si="4"/>
        <v>1</v>
      </c>
      <c r="AC35" s="1738">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86"/>
      <c r="M36" s="1077"/>
      <c r="N36" s="1077"/>
      <c r="O36" s="1077"/>
      <c r="P36" s="3309"/>
      <c r="Q36" s="1737">
        <f t="shared" si="11"/>
        <v>111</v>
      </c>
      <c r="R36" s="717" t="s">
        <v>17</v>
      </c>
      <c r="S36" s="718">
        <f t="shared" si="12"/>
        <v>100</v>
      </c>
      <c r="T36" s="717" t="s">
        <v>17</v>
      </c>
      <c r="U36" s="718">
        <f t="shared" si="13"/>
        <v>100</v>
      </c>
      <c r="V36" s="717" t="s">
        <v>17</v>
      </c>
      <c r="W36" s="718">
        <f t="shared" si="14"/>
        <v>100</v>
      </c>
      <c r="X36" s="1740"/>
      <c r="Y36" s="3309"/>
      <c r="Z36" s="1741">
        <f t="shared" si="15"/>
        <v>111</v>
      </c>
      <c r="AA36" s="1738">
        <f t="shared" si="3"/>
        <v>1</v>
      </c>
      <c r="AB36" s="1738">
        <f t="shared" si="4"/>
        <v>1</v>
      </c>
      <c r="AC36" s="1738">
        <f t="shared" si="5"/>
        <v>1</v>
      </c>
    </row>
    <row r="37" spans="1:29" ht="15">
      <c r="A37" s="422" t="s">
        <v>2591</v>
      </c>
      <c r="B37" s="2558" t="s">
        <v>2592</v>
      </c>
      <c r="C37" s="1339" t="s">
        <v>1</v>
      </c>
      <c r="D37" s="1340"/>
      <c r="E37" s="1341"/>
      <c r="F37" s="1342"/>
      <c r="G37" s="1343"/>
      <c r="H37" s="1344"/>
      <c r="I37" s="1341"/>
      <c r="J37" s="1344"/>
      <c r="K37" s="562"/>
      <c r="L37" s="1089"/>
      <c r="M37" s="1090"/>
      <c r="N37" s="1077"/>
      <c r="O37" s="1090"/>
      <c r="P37" s="3291" t="str">
        <f>A37</f>
        <v>成交单价</v>
      </c>
      <c r="Q37" s="3291"/>
      <c r="R37" s="3350">
        <f>E37</f>
        <v>0</v>
      </c>
      <c r="S37" s="3350"/>
      <c r="T37" s="3350">
        <f>G37</f>
        <v>0</v>
      </c>
      <c r="U37" s="3350"/>
      <c r="V37" s="3350">
        <f>I37</f>
        <v>0</v>
      </c>
      <c r="W37" s="3350"/>
      <c r="X37" s="702"/>
      <c r="Y37" s="724"/>
      <c r="Z37" s="702"/>
      <c r="AA37" s="702"/>
      <c r="AB37" s="702"/>
      <c r="AC37" s="702"/>
    </row>
    <row r="38" spans="1:29" ht="15.75" thickBot="1">
      <c r="A38" s="429" t="s">
        <v>2593</v>
      </c>
      <c r="B38" s="430" t="str">
        <f>B37</f>
        <v>元/车位</v>
      </c>
      <c r="C38" s="1345" t="e">
        <f>R39</f>
        <v>#DIV/0!</v>
      </c>
      <c r="D38" s="1346"/>
      <c r="E38" s="1347" t="e">
        <f>R38</f>
        <v>#DIV/0!</v>
      </c>
      <c r="F38" s="1347"/>
      <c r="G38" s="1345" t="e">
        <f>T38</f>
        <v>#DIV/0!</v>
      </c>
      <c r="H38" s="1346"/>
      <c r="I38" s="1347" t="e">
        <f>V38</f>
        <v>#DIV/0!</v>
      </c>
      <c r="J38" s="1346"/>
      <c r="K38" s="563"/>
      <c r="L38" s="1089"/>
      <c r="M38" s="1090"/>
      <c r="N38" s="1090"/>
      <c r="O38" s="1090"/>
      <c r="P38" s="3291" t="str">
        <f>A38</f>
        <v>比较价值（元/平方米）</v>
      </c>
      <c r="Q38" s="3291"/>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702"/>
      <c r="Y38" s="702"/>
      <c r="Z38" s="702"/>
      <c r="AA38" s="702"/>
      <c r="AB38" s="702"/>
      <c r="AC38" s="702"/>
    </row>
    <row r="39" spans="1:29" ht="15.75" thickBot="1">
      <c r="A39" s="435" t="s">
        <v>2594</v>
      </c>
      <c r="B39" s="436"/>
      <c r="C39" s="1349" t="e">
        <f>R39</f>
        <v>#DIV/0!</v>
      </c>
      <c r="D39" s="1349"/>
      <c r="E39" s="1349"/>
      <c r="F39" s="1349"/>
      <c r="G39" s="1349"/>
      <c r="H39" s="1349"/>
      <c r="I39" s="1349"/>
      <c r="J39" s="1349"/>
      <c r="K39" s="564"/>
      <c r="L39" s="1089"/>
      <c r="M39" s="1090"/>
      <c r="N39" s="1090"/>
      <c r="O39" s="1090"/>
      <c r="P39" s="3311" t="str">
        <f>A39</f>
        <v>估价对象XX用房的比较价值（楼面单价，元/平方米）</v>
      </c>
      <c r="Q39" s="3312"/>
      <c r="R39" s="3349" t="e">
        <f>IF(F1="售价",ROUND(AVERAGE(R38:V38),0),ROUND(AVERAGE(R38:V38),1))</f>
        <v>#DIV/0!</v>
      </c>
      <c r="S39" s="3349"/>
      <c r="T39" s="3349"/>
      <c r="U39" s="3349"/>
      <c r="V39" s="3349"/>
      <c r="W39" s="3349"/>
      <c r="X39" s="702"/>
      <c r="Y39" s="702"/>
      <c r="Z39" s="702"/>
      <c r="AA39" s="702"/>
      <c r="AB39" s="702"/>
      <c r="AC39" s="702"/>
    </row>
    <row r="40" spans="1:29">
      <c r="A40" s="1090"/>
      <c r="B40" s="1090"/>
      <c r="C40" s="1090"/>
      <c r="D40" s="1090"/>
      <c r="E40" s="1090"/>
      <c r="F40" s="1090"/>
      <c r="G40" s="1093"/>
      <c r="H40" s="1090"/>
      <c r="I40" s="1090"/>
      <c r="J40" s="1090"/>
      <c r="K40" s="1051"/>
      <c r="L40" s="1052"/>
      <c r="M40" s="1090"/>
      <c r="N40" s="1090"/>
      <c r="O40" s="1090"/>
      <c r="P40" s="1352"/>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051"/>
      <c r="L41" s="1052"/>
      <c r="M41" s="1090"/>
      <c r="N41" s="1090"/>
      <c r="O41" s="1090"/>
      <c r="P41" s="1352"/>
      <c r="Q41" s="1090"/>
      <c r="R41" s="1090"/>
      <c r="S41" s="1090"/>
      <c r="T41" s="1090"/>
      <c r="U41" s="1090"/>
      <c r="V41" s="1090"/>
      <c r="W41" s="1090"/>
      <c r="X41" s="1090"/>
      <c r="Y41" s="1090"/>
      <c r="Z41" s="1090"/>
      <c r="AA41" s="1090"/>
      <c r="AB41" s="1090"/>
      <c r="AC41" s="1090"/>
    </row>
    <row r="42" spans="1:29" ht="13.5" customHeight="1">
      <c r="A42" s="1090"/>
      <c r="B42" s="1090"/>
      <c r="C42" s="440" t="s">
        <v>2595</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51"/>
      <c r="L42" s="1052"/>
      <c r="M42" s="1090"/>
      <c r="N42" s="1090"/>
      <c r="O42" s="1090"/>
      <c r="P42" s="1352"/>
      <c r="Q42" s="1090"/>
      <c r="R42" s="1090"/>
      <c r="S42" s="1090"/>
      <c r="T42" s="1090"/>
      <c r="U42" s="1090"/>
      <c r="V42" s="1090"/>
      <c r="W42" s="1090"/>
      <c r="X42" s="1090"/>
      <c r="Y42" s="1090"/>
      <c r="Z42" s="1090"/>
      <c r="AA42" s="1090"/>
      <c r="AB42" s="1090"/>
      <c r="AC42" s="1090"/>
    </row>
    <row r="43" spans="1:29" ht="13.5" customHeight="1">
      <c r="A43" s="1090"/>
      <c r="B43" s="1090"/>
      <c r="C43" s="440" t="s">
        <v>2596</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51"/>
      <c r="L43" s="1052"/>
      <c r="M43" s="1090"/>
      <c r="N43" s="1090"/>
      <c r="O43" s="1090"/>
      <c r="P43" s="1352"/>
      <c r="Q43" s="1090"/>
      <c r="R43" s="1090"/>
      <c r="S43" s="1090"/>
      <c r="T43" s="1090"/>
      <c r="U43" s="1090"/>
      <c r="V43" s="1090"/>
      <c r="W43" s="1090"/>
      <c r="X43" s="1090"/>
      <c r="Y43" s="1090"/>
      <c r="Z43" s="1090"/>
      <c r="AA43" s="1090"/>
      <c r="AB43" s="1090"/>
      <c r="AC43" s="1090"/>
    </row>
    <row r="44" spans="1:29" s="445" customFormat="1" ht="13.5" customHeight="1">
      <c r="A44" s="1091"/>
      <c r="B44" s="1091"/>
      <c r="C44" s="440" t="s">
        <v>2597</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94"/>
      <c r="L44" s="1095"/>
      <c r="M44" s="1091"/>
      <c r="N44" s="1091"/>
      <c r="O44" s="1091"/>
      <c r="P44" s="1353"/>
      <c r="Q44" s="1091"/>
      <c r="R44" s="1091"/>
      <c r="S44" s="1091"/>
      <c r="T44" s="1091"/>
      <c r="U44" s="1091"/>
      <c r="V44" s="1091"/>
      <c r="W44" s="1091"/>
      <c r="X44" s="1091"/>
      <c r="Y44" s="1091"/>
      <c r="Z44" s="1091"/>
      <c r="AA44" s="1091"/>
      <c r="AB44" s="1091"/>
      <c r="AC44" s="1091"/>
    </row>
    <row r="45" spans="1:29" s="445" customFormat="1">
      <c r="A45" s="1091"/>
      <c r="B45" s="1092"/>
      <c r="C45" s="1096"/>
      <c r="D45" s="1091"/>
      <c r="E45" s="1091"/>
      <c r="F45" s="1091"/>
      <c r="G45" s="1091"/>
      <c r="H45" s="1091"/>
      <c r="I45" s="1091"/>
      <c r="J45" s="1091"/>
      <c r="K45" s="1094"/>
      <c r="L45" s="1095"/>
      <c r="M45" s="1091"/>
      <c r="N45" s="1091"/>
      <c r="O45" s="1091"/>
      <c r="P45" s="1353"/>
      <c r="Q45" s="1091"/>
      <c r="R45" s="1091"/>
      <c r="S45" s="1091"/>
      <c r="T45" s="1091"/>
      <c r="U45" s="1091"/>
      <c r="V45" s="1091"/>
      <c r="W45" s="1091"/>
      <c r="X45" s="1091"/>
      <c r="Y45" s="1091"/>
      <c r="Z45" s="1091"/>
      <c r="AA45" s="1091"/>
      <c r="AB45" s="1091"/>
      <c r="AC45" s="1091"/>
    </row>
    <row r="46" spans="1:29">
      <c r="A46" s="1090"/>
      <c r="B46" s="1092"/>
      <c r="C46" s="1096"/>
      <c r="D46" s="1090"/>
      <c r="E46" s="1090"/>
      <c r="F46" s="1090"/>
      <c r="G46" s="1090"/>
      <c r="H46" s="1090"/>
      <c r="I46" s="1090"/>
      <c r="J46" s="1090"/>
      <c r="K46" s="1051"/>
      <c r="L46" s="1052"/>
      <c r="M46" s="1090"/>
      <c r="N46" s="1090"/>
      <c r="O46" s="1090"/>
      <c r="P46" s="1352"/>
      <c r="Q46" s="1090"/>
      <c r="R46" s="1090"/>
      <c r="S46" s="1090"/>
      <c r="T46" s="1090"/>
      <c r="U46" s="1090"/>
      <c r="V46" s="1090"/>
      <c r="W46" s="1090"/>
      <c r="X46" s="1090"/>
      <c r="Y46" s="1090"/>
      <c r="Z46" s="1090"/>
      <c r="AA46" s="1090"/>
      <c r="AB46" s="1090"/>
      <c r="AC46" s="1090"/>
    </row>
    <row r="47" spans="1:29" ht="21.75" thickBot="1">
      <c r="A47" s="1356" t="s">
        <v>2598</v>
      </c>
      <c r="B47" s="1090"/>
      <c r="C47" s="1105"/>
      <c r="D47" s="1105"/>
      <c r="E47" s="1105"/>
      <c r="F47" s="1357"/>
      <c r="G47" s="1357"/>
      <c r="H47" s="1105"/>
      <c r="I47" s="1105"/>
      <c r="J47" s="1105"/>
      <c r="K47" s="1106"/>
      <c r="L47" s="1107"/>
      <c r="M47" s="1105"/>
      <c r="N47" s="1105"/>
      <c r="O47" s="1105"/>
      <c r="P47" s="1354"/>
      <c r="Q47" s="1355"/>
      <c r="R47" s="1090"/>
      <c r="S47" s="1090"/>
      <c r="T47" s="1090"/>
      <c r="U47" s="1090"/>
      <c r="V47" s="1090"/>
      <c r="W47" s="1090"/>
      <c r="X47" s="1090"/>
      <c r="Y47" s="1090"/>
      <c r="Z47" s="1090"/>
      <c r="AA47" s="1090"/>
      <c r="AB47" s="1090"/>
      <c r="AC47" s="1090"/>
    </row>
    <row r="48" spans="1:29" s="451" customFormat="1" ht="15">
      <c r="A48" s="448" t="s">
        <v>2599</v>
      </c>
      <c r="B48" s="449"/>
      <c r="C48" s="1504" t="str">
        <f>YEAR(C7)&amp;"-"&amp;MONTH(C7)</f>
        <v>2018-7</v>
      </c>
      <c r="D48" s="1505">
        <f>EDATE(C48,-1)</f>
        <v>43252</v>
      </c>
      <c r="E48" s="1505">
        <f t="shared" ref="E48:O48" si="16">EDATE(D48,-1)</f>
        <v>43221</v>
      </c>
      <c r="F48" s="1505">
        <f t="shared" si="16"/>
        <v>43191</v>
      </c>
      <c r="G48" s="1505">
        <f t="shared" si="16"/>
        <v>43160</v>
      </c>
      <c r="H48" s="1505">
        <f t="shared" si="16"/>
        <v>43132</v>
      </c>
      <c r="I48" s="1505">
        <f t="shared" si="16"/>
        <v>43101</v>
      </c>
      <c r="J48" s="1505">
        <f t="shared" si="16"/>
        <v>43070</v>
      </c>
      <c r="K48" s="1505">
        <f t="shared" si="16"/>
        <v>43040</v>
      </c>
      <c r="L48" s="1505">
        <f t="shared" si="16"/>
        <v>43009</v>
      </c>
      <c r="M48" s="1505">
        <f t="shared" si="16"/>
        <v>42979</v>
      </c>
      <c r="N48" s="1505">
        <f t="shared" si="16"/>
        <v>42948</v>
      </c>
      <c r="O48" s="1505">
        <f t="shared" si="16"/>
        <v>42917</v>
      </c>
      <c r="P48" s="1370"/>
      <c r="Q48" s="1371"/>
      <c r="R48" s="1371"/>
      <c r="S48" s="1371"/>
      <c r="T48" s="1371"/>
      <c r="U48" s="1371"/>
      <c r="V48" s="1371"/>
      <c r="W48" s="1371"/>
      <c r="X48" s="1371"/>
      <c r="Y48" s="1371"/>
      <c r="Z48" s="1371"/>
      <c r="AA48" s="1371"/>
      <c r="AB48" s="1371"/>
      <c r="AC48" s="1371"/>
    </row>
    <row r="49" spans="1:29" s="72" customFormat="1" ht="15">
      <c r="A49" s="452"/>
      <c r="B49" s="453"/>
      <c r="C49" s="1497">
        <v>100</v>
      </c>
      <c r="D49" s="455"/>
      <c r="E49" s="455"/>
      <c r="F49" s="455"/>
      <c r="G49" s="455"/>
      <c r="H49" s="455"/>
      <c r="I49" s="455"/>
      <c r="J49" s="455"/>
      <c r="K49" s="455"/>
      <c r="L49" s="455"/>
      <c r="M49" s="456"/>
      <c r="N49" s="455"/>
      <c r="O49" s="456"/>
      <c r="P49" s="1360"/>
      <c r="Q49" s="1359"/>
      <c r="R49" s="1359"/>
      <c r="S49" s="1359"/>
      <c r="T49" s="1359"/>
      <c r="U49" s="1359"/>
      <c r="V49" s="1359"/>
      <c r="W49" s="1359"/>
      <c r="X49" s="1359"/>
      <c r="Y49" s="1359"/>
      <c r="Z49" s="1359"/>
      <c r="AA49" s="1359"/>
      <c r="AB49" s="1359"/>
      <c r="AC49" s="1359"/>
    </row>
    <row r="50" spans="1:29" s="72" customFormat="1" ht="15.75" thickBot="1">
      <c r="A50" s="458" t="s">
        <v>2456</v>
      </c>
      <c r="B50" s="459"/>
      <c r="C50" s="460"/>
      <c r="D50" s="461"/>
      <c r="E50" s="461"/>
      <c r="F50" s="461"/>
      <c r="G50" s="461"/>
      <c r="H50" s="461"/>
      <c r="I50" s="461"/>
      <c r="J50" s="461"/>
      <c r="K50" s="461"/>
      <c r="L50" s="461"/>
      <c r="M50" s="462"/>
      <c r="N50" s="461"/>
      <c r="O50" s="462"/>
      <c r="P50" s="1360"/>
      <c r="Q50" s="1355"/>
      <c r="R50" s="1359"/>
      <c r="S50" s="1359"/>
      <c r="T50" s="1359"/>
      <c r="U50" s="1359"/>
      <c r="V50" s="1359"/>
      <c r="W50" s="1359"/>
      <c r="X50" s="1359"/>
      <c r="Y50" s="1359"/>
      <c r="Z50" s="1359"/>
      <c r="AA50" s="1359"/>
      <c r="AB50" s="1359"/>
      <c r="AC50" s="1359"/>
    </row>
    <row r="51" spans="1:29" s="72" customFormat="1" ht="15">
      <c r="A51" s="464" t="s">
        <v>2421</v>
      </c>
      <c r="B51" s="453"/>
      <c r="C51" s="465" t="s">
        <v>2523</v>
      </c>
      <c r="D51" s="466"/>
      <c r="E51" s="466"/>
      <c r="F51" s="466"/>
      <c r="G51" s="466"/>
      <c r="H51" s="466"/>
      <c r="I51" s="466"/>
      <c r="J51" s="466"/>
      <c r="K51" s="466"/>
      <c r="L51" s="467"/>
      <c r="M51" s="468"/>
      <c r="N51" s="1097"/>
      <c r="O51" s="1097"/>
      <c r="P51" s="1358"/>
      <c r="Q51" s="1355"/>
      <c r="R51" s="1359"/>
      <c r="S51" s="1359"/>
      <c r="T51" s="1359"/>
      <c r="U51" s="1359"/>
      <c r="V51" s="1359"/>
      <c r="W51" s="1359"/>
      <c r="X51" s="1359"/>
      <c r="Y51" s="1359"/>
      <c r="Z51" s="1359"/>
      <c r="AA51" s="1359"/>
      <c r="AB51" s="1359"/>
      <c r="AC51" s="1359"/>
    </row>
    <row r="52" spans="1:29" s="72" customFormat="1" ht="15.75" thickBot="1">
      <c r="A52" s="464"/>
      <c r="B52" s="453"/>
      <c r="C52" s="582">
        <v>100</v>
      </c>
      <c r="D52" s="455"/>
      <c r="E52" s="455"/>
      <c r="F52" s="455"/>
      <c r="G52" s="455"/>
      <c r="H52" s="455"/>
      <c r="I52" s="455"/>
      <c r="J52" s="455"/>
      <c r="K52" s="455"/>
      <c r="L52" s="455"/>
      <c r="M52" s="457"/>
      <c r="N52" s="1097"/>
      <c r="O52" s="1097"/>
      <c r="P52" s="1360"/>
      <c r="Q52" s="1355"/>
      <c r="R52" s="1359"/>
      <c r="S52" s="1359"/>
      <c r="T52" s="1359"/>
      <c r="U52" s="1359"/>
      <c r="V52" s="1359"/>
      <c r="W52" s="1359"/>
      <c r="X52" s="1359"/>
      <c r="Y52" s="1359"/>
      <c r="Z52" s="1359"/>
      <c r="AA52" s="1359"/>
      <c r="AB52" s="1359"/>
      <c r="AC52" s="1359"/>
    </row>
    <row r="53" spans="1:29">
      <c r="A53" s="470" t="s">
        <v>2459</v>
      </c>
      <c r="B53" s="471" t="s">
        <v>2425</v>
      </c>
      <c r="C53" s="472">
        <f>C9</f>
        <v>0</v>
      </c>
      <c r="D53" s="473"/>
      <c r="E53" s="473"/>
      <c r="F53" s="473"/>
      <c r="G53" s="473"/>
      <c r="H53" s="473"/>
      <c r="I53" s="473"/>
      <c r="J53" s="473"/>
      <c r="K53" s="474"/>
      <c r="L53" s="475"/>
      <c r="M53" s="476"/>
      <c r="N53" s="1098"/>
      <c r="O53" s="1098"/>
      <c r="P53" s="1361"/>
      <c r="Q53" s="1355"/>
      <c r="R53" s="1090"/>
      <c r="S53" s="1090"/>
      <c r="T53" s="1090"/>
      <c r="U53" s="1090"/>
      <c r="V53" s="1090"/>
      <c r="W53" s="1090"/>
      <c r="X53" s="1090"/>
      <c r="Y53" s="1090"/>
      <c r="Z53" s="1090"/>
      <c r="AA53" s="1090"/>
      <c r="AB53" s="1090"/>
      <c r="AC53" s="1090"/>
    </row>
    <row r="54" spans="1:29" ht="15.75" thickBot="1">
      <c r="A54" s="477"/>
      <c r="B54" s="478"/>
      <c r="C54" s="479">
        <v>100</v>
      </c>
      <c r="D54" s="479"/>
      <c r="E54" s="479"/>
      <c r="F54" s="479"/>
      <c r="G54" s="479"/>
      <c r="H54" s="479"/>
      <c r="I54" s="479"/>
      <c r="J54" s="479"/>
      <c r="K54" s="479"/>
      <c r="L54" s="479"/>
      <c r="M54" s="480"/>
      <c r="N54" s="1099"/>
      <c r="O54" s="1099"/>
      <c r="P54" s="1361"/>
      <c r="Q54" s="1355"/>
      <c r="R54" s="1090"/>
      <c r="S54" s="1090"/>
      <c r="T54" s="1090"/>
      <c r="U54" s="1090"/>
      <c r="V54" s="1090"/>
      <c r="W54" s="1090"/>
      <c r="X54" s="1090"/>
      <c r="Y54" s="1090"/>
      <c r="Z54" s="1090"/>
      <c r="AA54" s="1090"/>
      <c r="AB54" s="1090"/>
      <c r="AC54" s="1090"/>
    </row>
    <row r="55" spans="1:29" ht="27.75" thickTop="1">
      <c r="A55" s="477"/>
      <c r="B55" s="481" t="s">
        <v>2428</v>
      </c>
      <c r="C55" s="482" t="s">
        <v>2460</v>
      </c>
      <c r="D55" s="482" t="s">
        <v>2461</v>
      </c>
      <c r="E55" s="482" t="s">
        <v>2462</v>
      </c>
      <c r="F55" s="482" t="s">
        <v>2463</v>
      </c>
      <c r="G55" s="482" t="s">
        <v>2464</v>
      </c>
      <c r="H55" s="482" t="s">
        <v>2465</v>
      </c>
      <c r="I55" s="482" t="s">
        <v>2466</v>
      </c>
      <c r="J55" s="482"/>
      <c r="K55" s="483"/>
      <c r="L55" s="484"/>
      <c r="M55" s="485"/>
      <c r="N55" s="1098"/>
      <c r="O55" s="1098"/>
      <c r="P55" s="1361"/>
      <c r="Q55" s="1355"/>
      <c r="R55" s="1090"/>
      <c r="S55" s="1090"/>
      <c r="T55" s="1090"/>
      <c r="U55" s="1090"/>
      <c r="V55" s="1090"/>
      <c r="W55" s="1090"/>
      <c r="X55" s="1090"/>
      <c r="Y55" s="1090"/>
      <c r="Z55" s="1090"/>
      <c r="AA55" s="1090"/>
      <c r="AB55" s="1090"/>
      <c r="AC55" s="1090"/>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9"/>
      <c r="O56" s="1099"/>
      <c r="P56" s="1361"/>
      <c r="Q56" s="1355"/>
      <c r="R56" s="1090"/>
      <c r="S56" s="1090"/>
      <c r="T56" s="1090"/>
      <c r="U56" s="1090"/>
      <c r="V56" s="1090"/>
      <c r="W56" s="1090"/>
      <c r="X56" s="1090"/>
      <c r="Y56" s="1090"/>
      <c r="Z56" s="1090"/>
      <c r="AA56" s="1090"/>
      <c r="AB56" s="1090"/>
      <c r="AC56" s="1090"/>
    </row>
    <row r="57" spans="1:29" ht="15.75" thickTop="1">
      <c r="A57" s="477"/>
      <c r="B57" s="603">
        <f>B11</f>
        <v>111</v>
      </c>
      <c r="C57" s="492"/>
      <c r="D57" s="492"/>
      <c r="E57" s="492"/>
      <c r="F57" s="492"/>
      <c r="G57" s="492"/>
      <c r="H57" s="492"/>
      <c r="I57" s="492"/>
      <c r="J57" s="492"/>
      <c r="K57" s="493"/>
      <c r="L57" s="494"/>
      <c r="M57" s="495"/>
      <c r="N57" s="1098"/>
      <c r="O57" s="1098"/>
      <c r="P57" s="1361"/>
      <c r="Q57" s="1355"/>
      <c r="R57" s="1090"/>
      <c r="S57" s="1090"/>
      <c r="T57" s="1090"/>
      <c r="U57" s="1090"/>
      <c r="V57" s="1090"/>
      <c r="W57" s="1090"/>
      <c r="X57" s="1090"/>
      <c r="Y57" s="1090"/>
      <c r="Z57" s="1090"/>
      <c r="AA57" s="1090"/>
      <c r="AB57" s="1090"/>
      <c r="AC57" s="1090"/>
    </row>
    <row r="58" spans="1:29" ht="15.75" thickBot="1">
      <c r="A58" s="477"/>
      <c r="B58" s="478"/>
      <c r="C58" s="503"/>
      <c r="D58" s="479"/>
      <c r="E58" s="479"/>
      <c r="F58" s="479"/>
      <c r="G58" s="479"/>
      <c r="H58" s="479"/>
      <c r="I58" s="479"/>
      <c r="J58" s="479"/>
      <c r="K58" s="479"/>
      <c r="L58" s="479"/>
      <c r="M58" s="480"/>
      <c r="N58" s="1099"/>
      <c r="O58" s="1099"/>
      <c r="P58" s="1361"/>
      <c r="Q58" s="1355"/>
      <c r="R58" s="1090"/>
      <c r="S58" s="1090"/>
      <c r="T58" s="1090"/>
      <c r="U58" s="1090"/>
      <c r="V58" s="1090"/>
      <c r="W58" s="1090"/>
      <c r="X58" s="1090"/>
      <c r="Y58" s="1090"/>
      <c r="Z58" s="1090"/>
      <c r="AA58" s="1090"/>
      <c r="AB58" s="1090"/>
      <c r="AC58" s="1090"/>
    </row>
    <row r="59" spans="1:29" s="414" customFormat="1" ht="15.75" thickTop="1">
      <c r="A59" s="496"/>
      <c r="B59" s="481">
        <f>B12</f>
        <v>111</v>
      </c>
      <c r="C59" s="492"/>
      <c r="D59" s="492"/>
      <c r="E59" s="492"/>
      <c r="F59" s="492"/>
      <c r="G59" s="497"/>
      <c r="H59" s="498"/>
      <c r="I59" s="498"/>
      <c r="J59" s="498"/>
      <c r="K59" s="498"/>
      <c r="L59" s="499"/>
      <c r="M59" s="500"/>
      <c r="N59" s="1100"/>
      <c r="O59" s="1100"/>
      <c r="P59" s="1362"/>
      <c r="Q59" s="1363"/>
      <c r="R59" s="1364"/>
      <c r="S59" s="1364"/>
      <c r="T59" s="1364"/>
      <c r="U59" s="1364"/>
      <c r="V59" s="1364"/>
      <c r="W59" s="1364"/>
      <c r="X59" s="1364"/>
      <c r="Y59" s="1364"/>
      <c r="Z59" s="1364"/>
      <c r="AA59" s="1364"/>
      <c r="AB59" s="1364"/>
      <c r="AC59" s="1364"/>
    </row>
    <row r="60" spans="1:29" s="414" customFormat="1" ht="15.75" thickBot="1">
      <c r="A60" s="496"/>
      <c r="B60" s="486"/>
      <c r="C60" s="503"/>
      <c r="D60" s="479"/>
      <c r="E60" s="479"/>
      <c r="F60" s="479"/>
      <c r="G60" s="479"/>
      <c r="H60" s="479"/>
      <c r="I60" s="479"/>
      <c r="J60" s="479"/>
      <c r="K60" s="479"/>
      <c r="L60" s="479"/>
      <c r="M60" s="480"/>
      <c r="N60" s="1099"/>
      <c r="O60" s="1099"/>
      <c r="P60" s="1362"/>
      <c r="Q60" s="1363"/>
      <c r="R60" s="1364"/>
      <c r="S60" s="1364"/>
      <c r="T60" s="1364"/>
      <c r="U60" s="1364"/>
      <c r="V60" s="1364"/>
      <c r="W60" s="1364"/>
      <c r="X60" s="1364"/>
      <c r="Y60" s="1364"/>
      <c r="Z60" s="1364"/>
      <c r="AA60" s="1364"/>
      <c r="AB60" s="1364"/>
      <c r="AC60" s="1364"/>
    </row>
    <row r="61" spans="1:29" s="414" customFormat="1" ht="15.75" thickTop="1">
      <c r="A61" s="496"/>
      <c r="B61" s="481">
        <f>B13</f>
        <v>111</v>
      </c>
      <c r="C61" s="497"/>
      <c r="D61" s="497"/>
      <c r="E61" s="497"/>
      <c r="F61" s="497"/>
      <c r="G61" s="497"/>
      <c r="H61" s="498"/>
      <c r="I61" s="498"/>
      <c r="J61" s="498"/>
      <c r="K61" s="498"/>
      <c r="L61" s="499"/>
      <c r="M61" s="500"/>
      <c r="N61" s="1100"/>
      <c r="O61" s="1100"/>
      <c r="P61" s="1365"/>
      <c r="Q61" s="1366"/>
      <c r="R61" s="1364"/>
      <c r="S61" s="1364"/>
      <c r="T61" s="1364"/>
      <c r="U61" s="1364"/>
      <c r="V61" s="1364"/>
      <c r="W61" s="1364"/>
      <c r="X61" s="1364"/>
      <c r="Y61" s="1364"/>
      <c r="Z61" s="1364"/>
      <c r="AA61" s="1364"/>
      <c r="AB61" s="1364"/>
      <c r="AC61" s="1364"/>
    </row>
    <row r="62" spans="1:29" s="414" customFormat="1" ht="15.75" thickBot="1">
      <c r="A62" s="496"/>
      <c r="B62" s="486"/>
      <c r="C62" s="503"/>
      <c r="D62" s="503"/>
      <c r="E62" s="503"/>
      <c r="F62" s="503"/>
      <c r="G62" s="503"/>
      <c r="H62" s="505"/>
      <c r="I62" s="505"/>
      <c r="J62" s="505"/>
      <c r="K62" s="505"/>
      <c r="L62" s="505"/>
      <c r="M62" s="506"/>
      <c r="N62" s="1100"/>
      <c r="O62" s="1100"/>
      <c r="P62" s="1362"/>
      <c r="Q62" s="1363"/>
      <c r="R62" s="1364"/>
      <c r="S62" s="1364"/>
      <c r="T62" s="1364"/>
      <c r="U62" s="1364"/>
      <c r="V62" s="1364"/>
      <c r="W62" s="1364"/>
      <c r="X62" s="1364"/>
      <c r="Y62" s="1364"/>
      <c r="Z62" s="1364"/>
      <c r="AA62" s="1364"/>
      <c r="AB62" s="1364"/>
      <c r="AC62" s="1364"/>
    </row>
    <row r="63" spans="1:29" ht="15" thickTop="1">
      <c r="A63" s="470" t="s">
        <v>2430</v>
      </c>
      <c r="B63" s="471" t="s">
        <v>2473</v>
      </c>
      <c r="C63" s="516" t="s">
        <v>2468</v>
      </c>
      <c r="D63" s="516" t="s">
        <v>2469</v>
      </c>
      <c r="E63" s="516" t="s">
        <v>2470</v>
      </c>
      <c r="F63" s="516" t="s">
        <v>2471</v>
      </c>
      <c r="G63" s="516" t="s">
        <v>2472</v>
      </c>
      <c r="H63" s="472"/>
      <c r="I63" s="472"/>
      <c r="J63" s="472"/>
      <c r="K63" s="517"/>
      <c r="L63" s="518"/>
      <c r="M63" s="519"/>
      <c r="N63" s="1098"/>
      <c r="O63" s="1098"/>
      <c r="P63" s="1367"/>
      <c r="Q63" s="1355"/>
      <c r="R63" s="1090"/>
      <c r="S63" s="1090"/>
      <c r="T63" s="1090"/>
      <c r="U63" s="1090"/>
      <c r="V63" s="1090"/>
      <c r="W63" s="1090"/>
      <c r="X63" s="1090"/>
      <c r="Y63" s="1090"/>
      <c r="Z63" s="1090"/>
      <c r="AA63" s="1090"/>
      <c r="AB63" s="1090"/>
      <c r="AC63" s="1090"/>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9"/>
      <c r="O64" s="1099"/>
      <c r="P64" s="1361"/>
      <c r="Q64" s="1355"/>
      <c r="R64" s="1090"/>
      <c r="S64" s="1090"/>
      <c r="T64" s="1090"/>
      <c r="U64" s="1090"/>
      <c r="V64" s="1090"/>
      <c r="W64" s="1090"/>
      <c r="X64" s="1090"/>
      <c r="Y64" s="1090"/>
      <c r="Z64" s="1090"/>
      <c r="AA64" s="1090"/>
      <c r="AB64" s="1090"/>
      <c r="AC64" s="1090"/>
    </row>
    <row r="65" spans="1:29" ht="15.75" thickTop="1">
      <c r="A65" s="477"/>
      <c r="B65" s="481" t="s">
        <v>2474</v>
      </c>
      <c r="C65" s="521" t="s">
        <v>2468</v>
      </c>
      <c r="D65" s="521" t="s">
        <v>2469</v>
      </c>
      <c r="E65" s="521" t="s">
        <v>2470</v>
      </c>
      <c r="F65" s="521" t="s">
        <v>2471</v>
      </c>
      <c r="G65" s="521" t="s">
        <v>2472</v>
      </c>
      <c r="H65" s="482"/>
      <c r="I65" s="482"/>
      <c r="J65" s="482"/>
      <c r="K65" s="483"/>
      <c r="L65" s="484"/>
      <c r="M65" s="485"/>
      <c r="N65" s="1098"/>
      <c r="O65" s="1098"/>
      <c r="P65" s="1361"/>
      <c r="Q65" s="1355"/>
      <c r="R65" s="1090"/>
      <c r="S65" s="1090"/>
      <c r="T65" s="1090"/>
      <c r="U65" s="1090"/>
      <c r="V65" s="1090"/>
      <c r="W65" s="1090"/>
      <c r="X65" s="1090"/>
      <c r="Y65" s="1090"/>
      <c r="Z65" s="1090"/>
      <c r="AA65" s="1090"/>
      <c r="AB65" s="1090"/>
      <c r="AC65" s="1090"/>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9"/>
      <c r="O66" s="1099"/>
      <c r="P66" s="1361"/>
      <c r="Q66" s="1355"/>
      <c r="R66" s="1090"/>
      <c r="S66" s="1090"/>
      <c r="T66" s="1090"/>
      <c r="U66" s="1090"/>
      <c r="V66" s="1090"/>
      <c r="W66" s="1090"/>
      <c r="X66" s="1090"/>
      <c r="Y66" s="1090"/>
      <c r="Z66" s="1090"/>
      <c r="AA66" s="1090"/>
      <c r="AB66" s="1090"/>
      <c r="AC66" s="1090"/>
    </row>
    <row r="67" spans="1:29" ht="15.75" thickTop="1">
      <c r="A67" s="477"/>
      <c r="B67" s="489" t="s">
        <v>2560</v>
      </c>
      <c r="C67" s="603" t="s">
        <v>2546</v>
      </c>
      <c r="D67" s="603" t="s">
        <v>2547</v>
      </c>
      <c r="E67" s="603" t="s">
        <v>2548</v>
      </c>
      <c r="F67" s="603" t="s">
        <v>2549</v>
      </c>
      <c r="G67" s="603" t="s">
        <v>2550</v>
      </c>
      <c r="H67" s="482"/>
      <c r="I67" s="482"/>
      <c r="J67" s="482"/>
      <c r="K67" s="482"/>
      <c r="L67" s="482"/>
      <c r="M67" s="1314"/>
      <c r="N67" s="1099"/>
      <c r="O67" s="1099"/>
      <c r="P67" s="1361"/>
      <c r="Q67" s="1355"/>
      <c r="R67" s="1090"/>
      <c r="S67" s="1090"/>
      <c r="T67" s="1090"/>
      <c r="U67" s="1090"/>
      <c r="V67" s="1090"/>
      <c r="W67" s="1090"/>
      <c r="X67" s="1090"/>
      <c r="Y67" s="1090"/>
      <c r="Z67" s="1090"/>
      <c r="AA67" s="1090"/>
      <c r="AB67" s="1090"/>
      <c r="AC67" s="1090"/>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9"/>
      <c r="O68" s="1099"/>
      <c r="P68" s="1361"/>
      <c r="Q68" s="1355"/>
      <c r="R68" s="1090"/>
      <c r="S68" s="1090"/>
      <c r="T68" s="1090"/>
      <c r="U68" s="1090"/>
      <c r="V68" s="1090"/>
      <c r="W68" s="1090"/>
      <c r="X68" s="1090"/>
      <c r="Y68" s="1090"/>
      <c r="Z68" s="1090"/>
      <c r="AA68" s="1090"/>
      <c r="AB68" s="1090"/>
      <c r="AC68" s="1090"/>
    </row>
    <row r="69" spans="1:29" ht="15.75" thickTop="1">
      <c r="A69" s="477"/>
      <c r="B69" s="481" t="s">
        <v>2480</v>
      </c>
      <c r="C69" s="521" t="s">
        <v>2468</v>
      </c>
      <c r="D69" s="521" t="s">
        <v>2469</v>
      </c>
      <c r="E69" s="521" t="s">
        <v>2470</v>
      </c>
      <c r="F69" s="521" t="s">
        <v>2471</v>
      </c>
      <c r="G69" s="521" t="s">
        <v>2472</v>
      </c>
      <c r="H69" s="482"/>
      <c r="I69" s="482"/>
      <c r="J69" s="482"/>
      <c r="K69" s="483"/>
      <c r="L69" s="484"/>
      <c r="M69" s="485"/>
      <c r="N69" s="1098"/>
      <c r="O69" s="1098"/>
      <c r="P69" s="1361"/>
      <c r="Q69" s="1355"/>
      <c r="R69" s="1090"/>
      <c r="S69" s="1090"/>
      <c r="T69" s="1090"/>
      <c r="U69" s="1090"/>
      <c r="V69" s="1090"/>
      <c r="W69" s="1090"/>
      <c r="X69" s="1090"/>
      <c r="Y69" s="1090"/>
      <c r="Z69" s="1090"/>
      <c r="AA69" s="1090"/>
      <c r="AB69" s="1090"/>
      <c r="AC69" s="1090"/>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9"/>
      <c r="O70" s="1099"/>
      <c r="P70" s="1361"/>
      <c r="Q70" s="1355"/>
      <c r="R70" s="1090"/>
      <c r="S70" s="1090"/>
      <c r="T70" s="1090"/>
      <c r="U70" s="1090"/>
      <c r="V70" s="1090"/>
      <c r="W70" s="1090"/>
      <c r="X70" s="1090"/>
      <c r="Y70" s="1090"/>
      <c r="Z70" s="1090"/>
      <c r="AA70" s="1090"/>
      <c r="AB70" s="1090"/>
      <c r="AC70" s="1090"/>
    </row>
    <row r="71" spans="1:29" ht="15.75" thickTop="1">
      <c r="A71" s="477"/>
      <c r="B71" s="481" t="s">
        <v>2600</v>
      </c>
      <c r="C71" s="497"/>
      <c r="D71" s="497"/>
      <c r="E71" s="497"/>
      <c r="F71" s="497"/>
      <c r="G71" s="497"/>
      <c r="H71" s="526"/>
      <c r="I71" s="526"/>
      <c r="J71" s="526"/>
      <c r="K71" s="527"/>
      <c r="L71" s="528"/>
      <c r="M71" s="529"/>
      <c r="N71" s="1098"/>
      <c r="O71" s="1098"/>
      <c r="P71" s="1361"/>
      <c r="Q71" s="1355"/>
      <c r="R71" s="1090"/>
      <c r="S71" s="1090"/>
      <c r="T71" s="1090"/>
      <c r="U71" s="1090"/>
      <c r="V71" s="1090"/>
      <c r="W71" s="1090"/>
      <c r="X71" s="1090"/>
      <c r="Y71" s="1090"/>
      <c r="Z71" s="1090"/>
      <c r="AA71" s="1090"/>
      <c r="AB71" s="1090"/>
      <c r="AC71" s="1090"/>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9"/>
      <c r="O72" s="1099"/>
      <c r="P72" s="1361"/>
      <c r="Q72" s="1355"/>
      <c r="R72" s="1090"/>
      <c r="S72" s="1090"/>
      <c r="T72" s="1090"/>
      <c r="U72" s="1090"/>
      <c r="V72" s="1090"/>
      <c r="W72" s="1090"/>
      <c r="X72" s="1090"/>
      <c r="Y72" s="1090"/>
      <c r="Z72" s="1090"/>
      <c r="AA72" s="1090"/>
      <c r="AB72" s="1090"/>
      <c r="AC72" s="1090"/>
    </row>
    <row r="73" spans="1:29" s="72" customFormat="1" ht="15.75" thickTop="1">
      <c r="A73" s="522"/>
      <c r="B73" s="481">
        <f>B23</f>
        <v>111</v>
      </c>
      <c r="C73" s="492"/>
      <c r="D73" s="492"/>
      <c r="E73" s="492"/>
      <c r="F73" s="492"/>
      <c r="G73" s="497"/>
      <c r="H73" s="497"/>
      <c r="I73" s="497"/>
      <c r="J73" s="497"/>
      <c r="K73" s="497"/>
      <c r="L73" s="523"/>
      <c r="M73" s="524"/>
      <c r="N73" s="1097"/>
      <c r="O73" s="1097"/>
      <c r="P73" s="1361"/>
      <c r="Q73" s="1355"/>
      <c r="R73" s="1359"/>
      <c r="S73" s="1359"/>
      <c r="T73" s="1359"/>
      <c r="U73" s="1359"/>
      <c r="V73" s="1359"/>
      <c r="W73" s="1359"/>
      <c r="X73" s="1359"/>
      <c r="Y73" s="1359"/>
      <c r="Z73" s="1359"/>
      <c r="AA73" s="1359"/>
      <c r="AB73" s="1359"/>
      <c r="AC73" s="1359"/>
    </row>
    <row r="74" spans="1:29" s="72" customFormat="1" ht="15.75" thickBot="1">
      <c r="A74" s="522"/>
      <c r="B74" s="486"/>
      <c r="C74" s="503"/>
      <c r="D74" s="479"/>
      <c r="E74" s="479"/>
      <c r="F74" s="479"/>
      <c r="G74" s="479"/>
      <c r="H74" s="479"/>
      <c r="I74" s="479"/>
      <c r="J74" s="479"/>
      <c r="K74" s="479"/>
      <c r="L74" s="479"/>
      <c r="M74" s="480"/>
      <c r="N74" s="1099"/>
      <c r="O74" s="1099"/>
      <c r="P74" s="1361"/>
      <c r="Q74" s="1355"/>
      <c r="R74" s="1359"/>
      <c r="S74" s="1359"/>
      <c r="T74" s="1359"/>
      <c r="U74" s="1359"/>
      <c r="V74" s="1359"/>
      <c r="W74" s="1359"/>
      <c r="X74" s="1359"/>
      <c r="Y74" s="1359"/>
      <c r="Z74" s="1359"/>
      <c r="AA74" s="1359"/>
      <c r="AB74" s="1359"/>
      <c r="AC74" s="1359"/>
    </row>
    <row r="75" spans="1:29" s="72" customFormat="1" ht="15.75" thickTop="1">
      <c r="A75" s="522"/>
      <c r="B75" s="481">
        <f>B24</f>
        <v>111</v>
      </c>
      <c r="C75" s="492"/>
      <c r="D75" s="492"/>
      <c r="E75" s="492"/>
      <c r="F75" s="492"/>
      <c r="G75" s="497"/>
      <c r="H75" s="497"/>
      <c r="I75" s="497"/>
      <c r="J75" s="497"/>
      <c r="K75" s="497"/>
      <c r="L75" s="497"/>
      <c r="M75" s="524"/>
      <c r="N75" s="1097"/>
      <c r="O75" s="1097"/>
      <c r="P75" s="1361"/>
      <c r="Q75" s="1355"/>
      <c r="R75" s="1359"/>
      <c r="S75" s="1359"/>
      <c r="T75" s="1359"/>
      <c r="U75" s="1359"/>
      <c r="V75" s="1359"/>
      <c r="W75" s="1359"/>
      <c r="X75" s="1359"/>
      <c r="Y75" s="1359"/>
      <c r="Z75" s="1359"/>
      <c r="AA75" s="1359"/>
      <c r="AB75" s="1359"/>
      <c r="AC75" s="1359"/>
    </row>
    <row r="76" spans="1:29" s="72" customFormat="1" ht="15.75" thickBot="1">
      <c r="A76" s="522"/>
      <c r="B76" s="486"/>
      <c r="C76" s="503"/>
      <c r="D76" s="479"/>
      <c r="E76" s="479"/>
      <c r="F76" s="479"/>
      <c r="G76" s="479"/>
      <c r="H76" s="479"/>
      <c r="I76" s="479"/>
      <c r="J76" s="479"/>
      <c r="K76" s="479"/>
      <c r="L76" s="479"/>
      <c r="M76" s="480"/>
      <c r="N76" s="1099"/>
      <c r="O76" s="1099"/>
      <c r="P76" s="1361"/>
      <c r="Q76" s="1355"/>
      <c r="R76" s="1359"/>
      <c r="S76" s="1359"/>
      <c r="T76" s="1359"/>
      <c r="U76" s="1359"/>
      <c r="V76" s="1359"/>
      <c r="W76" s="1359"/>
      <c r="X76" s="1359"/>
      <c r="Y76" s="1359"/>
      <c r="Z76" s="1359"/>
      <c r="AA76" s="1359"/>
      <c r="AB76" s="1359"/>
      <c r="AC76" s="1359"/>
    </row>
    <row r="77" spans="1:29" s="414" customFormat="1" ht="15.75" thickTop="1">
      <c r="A77" s="496"/>
      <c r="B77" s="481">
        <f>B25</f>
        <v>111</v>
      </c>
      <c r="C77" s="497"/>
      <c r="D77" s="497"/>
      <c r="E77" s="497"/>
      <c r="F77" s="497"/>
      <c r="G77" s="497"/>
      <c r="H77" s="498"/>
      <c r="I77" s="498"/>
      <c r="J77" s="498"/>
      <c r="K77" s="498"/>
      <c r="L77" s="499"/>
      <c r="M77" s="500"/>
      <c r="N77" s="1100"/>
      <c r="O77" s="1100"/>
      <c r="P77" s="1362"/>
      <c r="Q77" s="1363"/>
      <c r="R77" s="1364"/>
      <c r="S77" s="1364"/>
      <c r="T77" s="1364"/>
      <c r="U77" s="1364"/>
      <c r="V77" s="1364"/>
      <c r="W77" s="1364"/>
      <c r="X77" s="1364"/>
      <c r="Y77" s="1364"/>
      <c r="Z77" s="1364"/>
      <c r="AA77" s="1364"/>
      <c r="AB77" s="1364"/>
      <c r="AC77" s="1364"/>
    </row>
    <row r="78" spans="1:29" s="414" customFormat="1" ht="15.75" thickBot="1">
      <c r="A78" s="496"/>
      <c r="B78" s="486"/>
      <c r="C78" s="503"/>
      <c r="D78" s="503"/>
      <c r="E78" s="503"/>
      <c r="F78" s="503"/>
      <c r="G78" s="479"/>
      <c r="H78" s="479"/>
      <c r="I78" s="479"/>
      <c r="J78" s="479"/>
      <c r="K78" s="479"/>
      <c r="L78" s="479"/>
      <c r="M78" s="480"/>
      <c r="N78" s="1100"/>
      <c r="O78" s="1100"/>
      <c r="P78" s="1362"/>
      <c r="Q78" s="1363"/>
      <c r="R78" s="1364"/>
      <c r="S78" s="1364"/>
      <c r="T78" s="1364"/>
      <c r="U78" s="1364"/>
      <c r="V78" s="1364"/>
      <c r="W78" s="1364"/>
      <c r="X78" s="1364"/>
      <c r="Y78" s="1364"/>
      <c r="Z78" s="1364"/>
      <c r="AA78" s="1364"/>
      <c r="AB78" s="1364"/>
      <c r="AC78" s="1364"/>
    </row>
    <row r="79" spans="1:29" ht="27.75" thickTop="1">
      <c r="A79" s="470" t="s">
        <v>2434</v>
      </c>
      <c r="B79" s="471" t="s">
        <v>2601</v>
      </c>
      <c r="C79" s="472">
        <f>C26</f>
        <v>0</v>
      </c>
      <c r="D79" s="473"/>
      <c r="E79" s="473"/>
      <c r="F79" s="473"/>
      <c r="G79" s="473"/>
      <c r="H79" s="473"/>
      <c r="I79" s="473"/>
      <c r="J79" s="473"/>
      <c r="K79" s="474"/>
      <c r="L79" s="475"/>
      <c r="M79" s="476"/>
      <c r="N79" s="1098"/>
      <c r="O79" s="1098"/>
      <c r="P79" s="1361"/>
      <c r="Q79" s="1355"/>
      <c r="R79" s="1090"/>
      <c r="S79" s="1090"/>
      <c r="T79" s="1090"/>
      <c r="U79" s="1090"/>
      <c r="V79" s="1090"/>
      <c r="W79" s="1090"/>
      <c r="X79" s="1090"/>
      <c r="Y79" s="1090"/>
      <c r="Z79" s="1090"/>
      <c r="AA79" s="1090"/>
      <c r="AB79" s="1090"/>
      <c r="AC79" s="1090"/>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9"/>
      <c r="O80" s="1099"/>
      <c r="P80" s="1361"/>
      <c r="Q80" s="1355"/>
      <c r="R80" s="1090"/>
      <c r="S80" s="1090"/>
      <c r="T80" s="1090"/>
      <c r="U80" s="1090"/>
      <c r="V80" s="1090"/>
      <c r="W80" s="1090"/>
      <c r="X80" s="1090"/>
      <c r="Y80" s="1090"/>
      <c r="Z80" s="1090"/>
      <c r="AA80" s="1090"/>
      <c r="AB80" s="1090"/>
      <c r="AC80" s="1090"/>
    </row>
    <row r="81" spans="1:29" ht="15.75" thickTop="1">
      <c r="A81" s="477"/>
      <c r="B81" s="481" t="s">
        <v>2602</v>
      </c>
      <c r="C81" s="604"/>
      <c r="D81" s="604"/>
      <c r="E81" s="604"/>
      <c r="F81" s="604"/>
      <c r="G81" s="604"/>
      <c r="H81" s="604"/>
      <c r="I81" s="604"/>
      <c r="J81" s="604"/>
      <c r="K81" s="605"/>
      <c r="L81" s="606"/>
      <c r="M81" s="607"/>
      <c r="N81" s="1097"/>
      <c r="O81" s="1097"/>
      <c r="P81" s="1361"/>
      <c r="Q81" s="1355"/>
      <c r="R81" s="1090"/>
      <c r="S81" s="1090"/>
      <c r="T81" s="1090"/>
      <c r="U81" s="1090"/>
      <c r="V81" s="1090"/>
      <c r="W81" s="1090"/>
      <c r="X81" s="1090"/>
      <c r="Y81" s="1090"/>
      <c r="Z81" s="1090"/>
      <c r="AA81" s="1090"/>
      <c r="AB81" s="1090"/>
      <c r="AC81" s="1090"/>
    </row>
    <row r="82" spans="1:29" s="414" customFormat="1" ht="15.75" thickBot="1">
      <c r="A82" s="496"/>
      <c r="B82" s="486"/>
      <c r="C82" s="503"/>
      <c r="D82" s="479"/>
      <c r="E82" s="479"/>
      <c r="F82" s="479"/>
      <c r="G82" s="479"/>
      <c r="H82" s="479"/>
      <c r="I82" s="479"/>
      <c r="J82" s="479"/>
      <c r="K82" s="479"/>
      <c r="L82" s="479"/>
      <c r="M82" s="480"/>
      <c r="N82" s="1099"/>
      <c r="O82" s="1099"/>
      <c r="P82" s="1362"/>
      <c r="Q82" s="1363"/>
      <c r="R82" s="1364"/>
      <c r="S82" s="1364"/>
      <c r="T82" s="1364"/>
      <c r="U82" s="1364"/>
      <c r="V82" s="1364"/>
      <c r="W82" s="1364"/>
      <c r="X82" s="1364"/>
      <c r="Y82" s="1364"/>
      <c r="Z82" s="1364"/>
      <c r="AA82" s="1364"/>
      <c r="AB82" s="1364"/>
      <c r="AC82" s="1364"/>
    </row>
    <row r="83" spans="1:29" ht="15" thickTop="1">
      <c r="A83" s="542"/>
      <c r="B83" s="481" t="s">
        <v>2487</v>
      </c>
      <c r="C83" s="497"/>
      <c r="D83" s="497"/>
      <c r="E83" s="526"/>
      <c r="F83" s="526"/>
      <c r="G83" s="526"/>
      <c r="H83" s="526"/>
      <c r="I83" s="526"/>
      <c r="J83" s="526"/>
      <c r="K83" s="527"/>
      <c r="L83" s="528"/>
      <c r="M83" s="529"/>
      <c r="N83" s="1098"/>
      <c r="O83" s="1098"/>
      <c r="P83" s="1361"/>
      <c r="Q83" s="1355"/>
      <c r="R83" s="1090"/>
      <c r="S83" s="1090"/>
      <c r="T83" s="1090"/>
      <c r="U83" s="1090"/>
      <c r="V83" s="1090"/>
      <c r="W83" s="1090"/>
      <c r="X83" s="1090"/>
      <c r="Y83" s="1090"/>
      <c r="Z83" s="1090"/>
      <c r="AA83" s="1090"/>
      <c r="AB83" s="1090"/>
      <c r="AC83" s="1090"/>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9"/>
      <c r="O84" s="1099"/>
      <c r="P84" s="1361"/>
      <c r="Q84" s="1355"/>
      <c r="R84" s="1090"/>
      <c r="S84" s="1090"/>
      <c r="T84" s="1090"/>
      <c r="U84" s="1090"/>
      <c r="V84" s="1090"/>
      <c r="W84" s="1090"/>
      <c r="X84" s="1090"/>
      <c r="Y84" s="1090"/>
      <c r="Z84" s="1090"/>
      <c r="AA84" s="1090"/>
      <c r="AB84" s="1090"/>
      <c r="AC84" s="1090"/>
    </row>
    <row r="85" spans="1:29" ht="15" thickTop="1">
      <c r="A85" s="542"/>
      <c r="B85" s="481" t="s">
        <v>2603</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8"/>
      <c r="O85" s="1098"/>
      <c r="P85" s="1361"/>
      <c r="Q85" s="1355"/>
      <c r="R85" s="1090"/>
      <c r="S85" s="1090"/>
      <c r="T85" s="1090"/>
      <c r="U85" s="1090"/>
      <c r="V85" s="1090"/>
      <c r="W85" s="1090"/>
      <c r="X85" s="1090"/>
      <c r="Y85" s="1090"/>
      <c r="Z85" s="1090"/>
      <c r="AA85" s="1090"/>
      <c r="AB85" s="1090"/>
      <c r="AC85" s="1090"/>
    </row>
    <row r="86" spans="1:29">
      <c r="A86" s="542"/>
      <c r="B86" s="489"/>
      <c r="C86" s="546">
        <v>0.5</v>
      </c>
      <c r="D86" s="546">
        <v>0.6</v>
      </c>
      <c r="E86" s="546">
        <v>0.7</v>
      </c>
      <c r="F86" s="546">
        <v>0.8</v>
      </c>
      <c r="G86" s="546">
        <v>0.9</v>
      </c>
      <c r="H86" s="546">
        <v>1.0001</v>
      </c>
      <c r="I86" s="566"/>
      <c r="J86" s="566"/>
      <c r="K86" s="567"/>
      <c r="L86" s="568"/>
      <c r="M86" s="569"/>
      <c r="N86" s="1098"/>
      <c r="O86" s="1098"/>
      <c r="P86" s="1361"/>
      <c r="Q86" s="1355"/>
      <c r="R86" s="1090"/>
      <c r="S86" s="1090"/>
      <c r="T86" s="1090"/>
      <c r="U86" s="1090"/>
      <c r="V86" s="1090"/>
      <c r="W86" s="1090"/>
      <c r="X86" s="1090"/>
      <c r="Y86" s="1090"/>
      <c r="Z86" s="1090"/>
      <c r="AA86" s="1090"/>
      <c r="AB86" s="1090"/>
      <c r="AC86" s="1090"/>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9"/>
      <c r="O87" s="1099"/>
      <c r="P87" s="1361"/>
      <c r="Q87" s="1355"/>
      <c r="R87" s="1090"/>
      <c r="S87" s="1090"/>
      <c r="T87" s="1090"/>
      <c r="U87" s="1090"/>
      <c r="V87" s="1090"/>
      <c r="W87" s="1090"/>
      <c r="X87" s="1090"/>
      <c r="Y87" s="1090"/>
      <c r="Z87" s="1090"/>
      <c r="AA87" s="1090"/>
      <c r="AB87" s="1090"/>
      <c r="AC87" s="1090"/>
    </row>
    <row r="88" spans="1:29" ht="15" thickTop="1">
      <c r="A88" s="542"/>
      <c r="B88" s="489" t="s">
        <v>2604</v>
      </c>
      <c r="C88" s="473"/>
      <c r="D88" s="473"/>
      <c r="E88" s="473"/>
      <c r="F88" s="473"/>
      <c r="G88" s="473"/>
      <c r="H88" s="473"/>
      <c r="I88" s="473"/>
      <c r="J88" s="473"/>
      <c r="K88" s="474"/>
      <c r="L88" s="475"/>
      <c r="M88" s="476"/>
      <c r="N88" s="1098"/>
      <c r="O88" s="1098"/>
      <c r="P88" s="1361"/>
      <c r="Q88" s="1355"/>
      <c r="R88" s="1090"/>
      <c r="S88" s="1090"/>
      <c r="T88" s="1090"/>
      <c r="U88" s="1090"/>
      <c r="V88" s="1090"/>
      <c r="W88" s="1090"/>
      <c r="X88" s="1090"/>
      <c r="Y88" s="1090"/>
      <c r="Z88" s="1090"/>
      <c r="AA88" s="1090"/>
      <c r="AB88" s="1090"/>
      <c r="AC88" s="1090"/>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9"/>
      <c r="O89" s="1099"/>
      <c r="P89" s="1361"/>
      <c r="Q89" s="1355"/>
      <c r="R89" s="1090"/>
      <c r="S89" s="1090"/>
      <c r="T89" s="1090"/>
      <c r="U89" s="1090"/>
      <c r="V89" s="1090"/>
      <c r="W89" s="1090"/>
      <c r="X89" s="1090"/>
      <c r="Y89" s="1090"/>
      <c r="Z89" s="1090"/>
      <c r="AA89" s="1090"/>
      <c r="AB89" s="1090"/>
      <c r="AC89" s="1090"/>
    </row>
    <row r="90" spans="1:29" s="414" customFormat="1" ht="15" thickTop="1">
      <c r="A90" s="536"/>
      <c r="B90" s="481" t="s">
        <v>2605</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100"/>
      <c r="O90" s="1100"/>
      <c r="P90" s="1362"/>
      <c r="Q90" s="1363"/>
      <c r="R90" s="1364"/>
      <c r="S90" s="1364"/>
      <c r="T90" s="1364"/>
      <c r="U90" s="1364"/>
      <c r="V90" s="1364"/>
      <c r="W90" s="1364"/>
      <c r="X90" s="1364"/>
      <c r="Y90" s="1364"/>
      <c r="Z90" s="1364"/>
      <c r="AA90" s="1364"/>
      <c r="AB90" s="1364"/>
      <c r="AC90" s="1364"/>
    </row>
    <row r="91" spans="1:29" s="414" customFormat="1">
      <c r="A91" s="536"/>
      <c r="B91" s="489"/>
      <c r="C91" s="538"/>
      <c r="D91" s="538"/>
      <c r="E91" s="538"/>
      <c r="F91" s="538"/>
      <c r="G91" s="538"/>
      <c r="H91" s="538"/>
      <c r="I91" s="538"/>
      <c r="J91" s="539"/>
      <c r="K91" s="539"/>
      <c r="L91" s="540"/>
      <c r="M91" s="541"/>
      <c r="N91" s="1100"/>
      <c r="O91" s="1100"/>
      <c r="P91" s="1362"/>
      <c r="Q91" s="1363"/>
      <c r="R91" s="1364"/>
      <c r="S91" s="1364"/>
      <c r="T91" s="1364"/>
      <c r="U91" s="1364"/>
      <c r="V91" s="1364"/>
      <c r="W91" s="1364"/>
      <c r="X91" s="1364"/>
      <c r="Y91" s="1364"/>
      <c r="Z91" s="1364"/>
      <c r="AA91" s="1364"/>
      <c r="AB91" s="1364"/>
      <c r="AC91" s="1364"/>
    </row>
    <row r="92" spans="1:29" s="414" customFormat="1" ht="15.75" thickBot="1">
      <c r="A92" s="496"/>
      <c r="B92" s="486"/>
      <c r="C92" s="503"/>
      <c r="D92" s="479"/>
      <c r="E92" s="479"/>
      <c r="F92" s="479"/>
      <c r="G92" s="479"/>
      <c r="H92" s="479"/>
      <c r="I92" s="479"/>
      <c r="J92" s="479"/>
      <c r="K92" s="479"/>
      <c r="L92" s="479"/>
      <c r="M92" s="480"/>
      <c r="N92" s="1100"/>
      <c r="O92" s="1100"/>
      <c r="P92" s="1362"/>
      <c r="Q92" s="1363"/>
      <c r="R92" s="1364"/>
      <c r="S92" s="1364"/>
      <c r="T92" s="1364"/>
      <c r="U92" s="1364"/>
      <c r="V92" s="1364"/>
      <c r="W92" s="1364"/>
      <c r="X92" s="1364"/>
      <c r="Y92" s="1364"/>
      <c r="Z92" s="1364"/>
      <c r="AA92" s="1364"/>
      <c r="AB92" s="1364"/>
      <c r="AC92" s="1364"/>
    </row>
    <row r="93" spans="1:29" ht="15" thickTop="1">
      <c r="A93" s="542"/>
      <c r="B93" s="481" t="s">
        <v>2606</v>
      </c>
      <c r="C93" s="497"/>
      <c r="D93" s="497"/>
      <c r="E93" s="526"/>
      <c r="F93" s="526"/>
      <c r="G93" s="526"/>
      <c r="H93" s="526"/>
      <c r="I93" s="526"/>
      <c r="J93" s="526"/>
      <c r="K93" s="527"/>
      <c r="L93" s="528"/>
      <c r="M93" s="529"/>
      <c r="N93" s="1098"/>
      <c r="O93" s="1098"/>
      <c r="P93" s="1361"/>
      <c r="Q93" s="1355"/>
      <c r="R93" s="1090"/>
      <c r="S93" s="1090"/>
      <c r="T93" s="1090"/>
      <c r="U93" s="1090"/>
      <c r="V93" s="1090"/>
      <c r="W93" s="1090"/>
      <c r="X93" s="1090"/>
      <c r="Y93" s="1090"/>
      <c r="Z93" s="1090"/>
      <c r="AA93" s="1090"/>
      <c r="AB93" s="1090"/>
      <c r="AC93" s="1090"/>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9"/>
      <c r="O94" s="1099"/>
      <c r="P94" s="1361"/>
      <c r="Q94" s="1355"/>
      <c r="R94" s="1090"/>
      <c r="S94" s="1090"/>
      <c r="T94" s="1090"/>
      <c r="U94" s="1090"/>
      <c r="V94" s="1090"/>
      <c r="W94" s="1090"/>
      <c r="X94" s="1090"/>
      <c r="Y94" s="1090"/>
      <c r="Z94" s="1090"/>
      <c r="AA94" s="1090"/>
      <c r="AB94" s="1090"/>
      <c r="AC94" s="1090"/>
    </row>
    <row r="95" spans="1:29" ht="15" thickTop="1">
      <c r="A95" s="542"/>
      <c r="B95" s="481" t="s">
        <v>2607</v>
      </c>
      <c r="C95" s="473"/>
      <c r="D95" s="473"/>
      <c r="E95" s="473"/>
      <c r="F95" s="473"/>
      <c r="G95" s="473"/>
      <c r="H95" s="473"/>
      <c r="I95" s="473"/>
      <c r="J95" s="473"/>
      <c r="K95" s="474"/>
      <c r="L95" s="475"/>
      <c r="M95" s="476"/>
      <c r="N95" s="1098"/>
      <c r="O95" s="1098"/>
      <c r="P95" s="1361"/>
      <c r="Q95" s="1355"/>
      <c r="R95" s="1090"/>
      <c r="S95" s="1090"/>
      <c r="T95" s="1090"/>
      <c r="U95" s="1090"/>
      <c r="V95" s="1090"/>
      <c r="W95" s="1090"/>
      <c r="X95" s="1090"/>
      <c r="Y95" s="1090"/>
      <c r="Z95" s="1090"/>
      <c r="AA95" s="1090"/>
      <c r="AB95" s="1090"/>
      <c r="AC95" s="1090"/>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9"/>
      <c r="O96" s="1099"/>
      <c r="P96" s="1361"/>
      <c r="Q96" s="1355"/>
      <c r="R96" s="1090"/>
      <c r="S96" s="1090"/>
      <c r="T96" s="1090"/>
      <c r="U96" s="1090"/>
      <c r="V96" s="1090"/>
      <c r="W96" s="1090"/>
      <c r="X96" s="1090"/>
      <c r="Y96" s="1090"/>
      <c r="Z96" s="1090"/>
      <c r="AA96" s="1090"/>
      <c r="AB96" s="1090"/>
      <c r="AC96" s="1090"/>
    </row>
    <row r="97" spans="1:29" ht="15" thickTop="1">
      <c r="A97" s="542"/>
      <c r="B97" s="579">
        <f>B34</f>
        <v>111</v>
      </c>
      <c r="C97" s="492"/>
      <c r="D97" s="492"/>
      <c r="E97" s="492"/>
      <c r="F97" s="492"/>
      <c r="G97" s="497"/>
      <c r="H97" s="498"/>
      <c r="I97" s="498"/>
      <c r="J97" s="498"/>
      <c r="K97" s="498"/>
      <c r="L97" s="499"/>
      <c r="M97" s="500"/>
      <c r="N97" s="1099"/>
      <c r="O97" s="1099"/>
      <c r="P97" s="1368"/>
      <c r="Q97" s="1369"/>
      <c r="R97" s="1090"/>
      <c r="S97" s="1090"/>
      <c r="T97" s="1090"/>
      <c r="U97" s="1090"/>
      <c r="V97" s="1090"/>
      <c r="W97" s="1090"/>
      <c r="X97" s="1090"/>
      <c r="Y97" s="1090"/>
      <c r="Z97" s="1090"/>
      <c r="AA97" s="1090"/>
      <c r="AB97" s="1090"/>
      <c r="AC97" s="1090"/>
    </row>
    <row r="98" spans="1:29" ht="15.75" thickBot="1">
      <c r="A98" s="477"/>
      <c r="B98" s="486"/>
      <c r="C98" s="503"/>
      <c r="D98" s="479"/>
      <c r="E98" s="479"/>
      <c r="F98" s="479"/>
      <c r="G98" s="503"/>
      <c r="H98" s="505"/>
      <c r="I98" s="505"/>
      <c r="J98" s="505"/>
      <c r="K98" s="505"/>
      <c r="L98" s="505"/>
      <c r="M98" s="506"/>
      <c r="N98" s="1099"/>
      <c r="O98" s="1099"/>
      <c r="P98" s="1361"/>
      <c r="Q98" s="1355"/>
      <c r="R98" s="1090"/>
      <c r="S98" s="1090"/>
      <c r="T98" s="1090"/>
      <c r="U98" s="1090"/>
      <c r="V98" s="1090"/>
      <c r="W98" s="1090"/>
      <c r="X98" s="1090"/>
      <c r="Y98" s="1090"/>
      <c r="Z98" s="1090"/>
      <c r="AA98" s="1090"/>
      <c r="AB98" s="1090"/>
      <c r="AC98" s="1090"/>
    </row>
    <row r="99" spans="1:29" s="414" customFormat="1" ht="15" thickTop="1">
      <c r="A99" s="536"/>
      <c r="B99" s="481">
        <f>B35</f>
        <v>111</v>
      </c>
      <c r="C99" s="492"/>
      <c r="D99" s="492"/>
      <c r="E99" s="492"/>
      <c r="F99" s="492"/>
      <c r="G99" s="497"/>
      <c r="H99" s="498"/>
      <c r="I99" s="498"/>
      <c r="J99" s="498"/>
      <c r="K99" s="498"/>
      <c r="L99" s="499"/>
      <c r="M99" s="500"/>
      <c r="N99" s="1100"/>
      <c r="O99" s="1100"/>
      <c r="P99" s="1362"/>
      <c r="Q99" s="1363"/>
      <c r="R99" s="1364"/>
      <c r="S99" s="1364"/>
      <c r="T99" s="1364"/>
      <c r="U99" s="1364"/>
      <c r="V99" s="1364"/>
      <c r="W99" s="1364"/>
      <c r="X99" s="1364"/>
      <c r="Y99" s="1364"/>
      <c r="Z99" s="1364"/>
      <c r="AA99" s="1364"/>
      <c r="AB99" s="1364"/>
      <c r="AC99" s="1364"/>
    </row>
    <row r="100" spans="1:29" s="414" customFormat="1" ht="15.75" thickBot="1">
      <c r="A100" s="496"/>
      <c r="B100" s="478"/>
      <c r="C100" s="503"/>
      <c r="D100" s="479"/>
      <c r="E100" s="479"/>
      <c r="F100" s="479"/>
      <c r="G100" s="503"/>
      <c r="H100" s="505"/>
      <c r="I100" s="505"/>
      <c r="J100" s="505"/>
      <c r="K100" s="505"/>
      <c r="L100" s="505"/>
      <c r="M100" s="506"/>
      <c r="N100" s="1100"/>
      <c r="O100" s="1100"/>
      <c r="P100" s="1362"/>
      <c r="Q100" s="1363"/>
      <c r="R100" s="1364"/>
      <c r="S100" s="1364"/>
      <c r="T100" s="1364"/>
      <c r="U100" s="1364"/>
      <c r="V100" s="1364"/>
      <c r="W100" s="1364"/>
      <c r="X100" s="1364"/>
      <c r="Y100" s="1364"/>
      <c r="Z100" s="1364"/>
      <c r="AA100" s="1364"/>
      <c r="AB100" s="1364"/>
      <c r="AC100" s="1364"/>
    </row>
    <row r="101" spans="1:29" ht="15" thickTop="1">
      <c r="A101" s="542"/>
      <c r="B101" s="481">
        <f>B36</f>
        <v>111</v>
      </c>
      <c r="C101" s="497"/>
      <c r="D101" s="497"/>
      <c r="E101" s="497"/>
      <c r="F101" s="497"/>
      <c r="G101" s="497"/>
      <c r="H101" s="498"/>
      <c r="I101" s="498"/>
      <c r="J101" s="498"/>
      <c r="K101" s="498"/>
      <c r="L101" s="499"/>
      <c r="M101" s="500"/>
      <c r="N101" s="1098"/>
      <c r="O101" s="1098"/>
      <c r="P101" s="1361"/>
      <c r="Q101" s="1355"/>
      <c r="R101" s="1090"/>
      <c r="S101" s="1090"/>
      <c r="T101" s="1090"/>
      <c r="U101" s="1090"/>
      <c r="V101" s="1090"/>
      <c r="W101" s="1090"/>
      <c r="X101" s="1090"/>
      <c r="Y101" s="1090"/>
      <c r="Z101" s="1090"/>
      <c r="AA101" s="1090"/>
      <c r="AB101" s="1090"/>
      <c r="AC101" s="1090"/>
    </row>
    <row r="102" spans="1:29" ht="15.75" thickBot="1">
      <c r="A102" s="477"/>
      <c r="B102" s="486"/>
      <c r="C102" s="503"/>
      <c r="D102" s="503"/>
      <c r="E102" s="503"/>
      <c r="F102" s="503"/>
      <c r="G102" s="503"/>
      <c r="H102" s="505"/>
      <c r="I102" s="505"/>
      <c r="J102" s="505"/>
      <c r="K102" s="505"/>
      <c r="L102" s="505"/>
      <c r="M102" s="506"/>
      <c r="N102" s="1099"/>
      <c r="O102" s="1099"/>
      <c r="P102" s="1361"/>
      <c r="Q102" s="1355"/>
      <c r="R102" s="1090"/>
      <c r="S102" s="1090"/>
      <c r="T102" s="1090"/>
      <c r="U102" s="1090"/>
      <c r="V102" s="1090"/>
      <c r="W102" s="1090"/>
      <c r="X102" s="1090"/>
      <c r="Y102" s="1090"/>
      <c r="Z102" s="1090"/>
      <c r="AA102" s="1090"/>
      <c r="AB102" s="1090"/>
      <c r="AC102" s="109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9" sqref="C39"/>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9" customFormat="1" ht="28.5" customHeight="1" thickBot="1">
      <c r="A1" s="1548" t="s">
        <v>2578</v>
      </c>
      <c r="B1" s="1549"/>
      <c r="C1" s="1550" t="s">
        <v>2401</v>
      </c>
      <c r="D1" s="1551"/>
      <c r="E1" s="1560"/>
      <c r="F1" s="2449"/>
      <c r="G1" s="1561" t="s">
        <v>2514</v>
      </c>
      <c r="H1" s="1560"/>
      <c r="I1" s="1560"/>
      <c r="J1" s="1560"/>
      <c r="K1" s="1562"/>
      <c r="L1" s="1563"/>
      <c r="M1" s="1564"/>
      <c r="N1" s="1564"/>
      <c r="O1" s="1564"/>
      <c r="P1" s="1550"/>
      <c r="Q1" s="1550"/>
      <c r="R1" s="1550"/>
      <c r="S1" s="1550"/>
      <c r="T1" s="1550"/>
      <c r="U1" s="1550"/>
      <c r="V1" s="1550"/>
      <c r="W1" s="1550"/>
      <c r="X1" s="1550"/>
      <c r="Y1" s="1550"/>
      <c r="Z1" s="1550"/>
      <c r="AA1" s="1550"/>
      <c r="AB1" s="1550"/>
      <c r="AC1" s="1558"/>
    </row>
    <row r="2" spans="1:29" s="341" customFormat="1" ht="28.5" customHeight="1" thickTop="1">
      <c r="A2" s="1547" t="s">
        <v>2201</v>
      </c>
      <c r="B2" s="1350" t="e">
        <f ca="1">IF(C2="——",ROUND(C37*D3/10000,0),ROUND(C37*D3/10000,0)-D2)</f>
        <v>#DIV/0!</v>
      </c>
      <c r="C2" s="2451"/>
      <c r="D2" s="1070" t="e">
        <f ca="1">SUMIF(INDIRECT("'"&amp;F2&amp;"'"&amp;"!A:A"),"承租人权益价值",INDIRECT("'"&amp;F2&amp;"'"&amp;"!c:c"))</f>
        <v>#REF!</v>
      </c>
      <c r="E2" s="2452" t="s">
        <v>2202</v>
      </c>
      <c r="F2" s="2453"/>
      <c r="G2" s="1071"/>
      <c r="H2" s="1071"/>
      <c r="I2" s="1071"/>
      <c r="J2" s="1071"/>
      <c r="K2" s="1073"/>
      <c r="L2" s="1074"/>
      <c r="M2" s="1075"/>
      <c r="N2" s="1075"/>
      <c r="O2" s="1075"/>
      <c r="P2" s="711"/>
      <c r="Q2" s="711"/>
      <c r="R2" s="711"/>
      <c r="S2" s="711"/>
      <c r="T2" s="711"/>
      <c r="U2" s="711"/>
      <c r="V2" s="711"/>
      <c r="W2" s="711"/>
      <c r="X2" s="711"/>
      <c r="Y2" s="711"/>
      <c r="Z2" s="711"/>
      <c r="AA2" s="711"/>
      <c r="AB2" s="711"/>
      <c r="AC2" s="712"/>
    </row>
    <row r="3" spans="1:29" s="341" customFormat="1" ht="28.5" customHeight="1" thickBot="1">
      <c r="A3" s="190" t="s">
        <v>2203</v>
      </c>
      <c r="B3" s="552" t="e">
        <f ca="1">IF(C2="——",C37,ROUND(B2*10000/D3,0))</f>
        <v>#DIV/0!</v>
      </c>
      <c r="C3" s="343" t="s">
        <v>2515</v>
      </c>
      <c r="D3" s="342">
        <f>SUMIF('数据-汇总表'!$C19:$C33,D1,'数据-汇总表'!$E19:$E33)</f>
        <v>0</v>
      </c>
      <c r="E3" s="1071"/>
      <c r="F3" s="1072"/>
      <c r="G3" s="1071"/>
      <c r="H3" s="1071"/>
      <c r="I3" s="1071"/>
      <c r="J3" s="1071"/>
      <c r="K3" s="1073"/>
      <c r="L3" s="1074"/>
      <c r="M3" s="1075"/>
      <c r="N3" s="1075"/>
      <c r="O3" s="1075"/>
      <c r="P3" s="711"/>
      <c r="Q3" s="711"/>
      <c r="R3" s="711"/>
      <c r="S3" s="711"/>
      <c r="T3" s="711"/>
      <c r="U3" s="711"/>
      <c r="V3" s="711"/>
      <c r="W3" s="711"/>
      <c r="X3" s="711"/>
      <c r="Y3" s="711"/>
      <c r="Z3" s="711"/>
      <c r="AA3" s="711"/>
      <c r="AB3" s="729"/>
      <c r="AC3" s="725"/>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275" t="s">
        <v>2519</v>
      </c>
      <c r="AC4" s="3274" t="s">
        <v>2520</v>
      </c>
    </row>
    <row r="5" spans="1:29" ht="15">
      <c r="A5" s="347"/>
      <c r="B5" s="348"/>
      <c r="C5" s="3285" t="s">
        <v>2413</v>
      </c>
      <c r="D5" s="3286"/>
      <c r="E5" s="3283" t="s">
        <v>2414</v>
      </c>
      <c r="F5" s="3284"/>
      <c r="G5" s="3285" t="s">
        <v>2415</v>
      </c>
      <c r="H5" s="3286"/>
      <c r="I5" s="3285" t="s">
        <v>2416</v>
      </c>
      <c r="J5" s="3286"/>
      <c r="K5" s="553"/>
      <c r="L5" s="1076"/>
      <c r="M5" s="1077"/>
      <c r="N5" s="1077"/>
      <c r="O5" s="1077"/>
      <c r="P5" s="3298"/>
      <c r="Q5" s="3299"/>
      <c r="R5" s="3281"/>
      <c r="S5" s="3282"/>
      <c r="T5" s="3281"/>
      <c r="U5" s="3282"/>
      <c r="V5" s="3304"/>
      <c r="W5" s="3304"/>
      <c r="X5" s="1740"/>
      <c r="Y5" s="3281"/>
      <c r="Z5" s="3282"/>
      <c r="AA5" s="3275"/>
      <c r="AB5" s="3275"/>
      <c r="AC5" s="3275"/>
    </row>
    <row r="6" spans="1:29" ht="15.75" thickBot="1">
      <c r="A6" s="349"/>
      <c r="B6" s="350"/>
      <c r="C6" s="3287" t="s">
        <v>2417</v>
      </c>
      <c r="D6" s="3288"/>
      <c r="E6" s="3289" t="s">
        <v>2417</v>
      </c>
      <c r="F6" s="3290"/>
      <c r="G6" s="3287" t="s">
        <v>2417</v>
      </c>
      <c r="H6" s="3288"/>
      <c r="I6" s="3287" t="s">
        <v>2417</v>
      </c>
      <c r="J6" s="3288"/>
      <c r="K6" s="553" t="s">
        <v>2418</v>
      </c>
      <c r="L6" s="1076"/>
      <c r="M6" s="1077"/>
      <c r="N6" s="1077"/>
      <c r="O6" s="1077"/>
      <c r="P6" s="3300"/>
      <c r="Q6" s="3301"/>
      <c r="R6" s="3281"/>
      <c r="S6" s="3282"/>
      <c r="T6" s="3302"/>
      <c r="U6" s="3303"/>
      <c r="V6" s="3304"/>
      <c r="W6" s="3304"/>
      <c r="X6" s="1740"/>
      <c r="Y6" s="3302"/>
      <c r="Z6" s="3303"/>
      <c r="AA6" s="3276"/>
      <c r="AB6" s="3276"/>
      <c r="AC6" s="3276"/>
    </row>
    <row r="7" spans="1:29" s="72" customFormat="1" ht="15.75" thickBot="1">
      <c r="A7" s="351" t="s">
        <v>2419</v>
      </c>
      <c r="B7" s="352"/>
      <c r="C7" s="353">
        <f>'数据-取费表'!B2</f>
        <v>43284</v>
      </c>
      <c r="D7" s="354">
        <v>100</v>
      </c>
      <c r="E7" s="355"/>
      <c r="F7" s="356">
        <f>SUMIF(46:46,YEAR(E7)&amp;"-"&amp;MONTH(E7),47:47)</f>
        <v>0</v>
      </c>
      <c r="G7" s="2559"/>
      <c r="H7" s="354">
        <f>SUMIF(46:46,YEAR(G7)&amp;"-"&amp;MONTH(G7),47:47)</f>
        <v>0</v>
      </c>
      <c r="I7" s="355"/>
      <c r="J7" s="354">
        <f>SUMIF(46:46,YEAR(I7)&amp;"-"&amp;MONTH(I7),47:47)</f>
        <v>0</v>
      </c>
      <c r="K7" s="554"/>
      <c r="L7" s="1078"/>
      <c r="M7" s="1079"/>
      <c r="N7" s="1079"/>
      <c r="O7" s="1079"/>
      <c r="P7" s="3277" t="s">
        <v>2420</v>
      </c>
      <c r="Q7" s="3305"/>
      <c r="R7" s="713" t="s">
        <v>17</v>
      </c>
      <c r="S7" s="714">
        <f t="shared" ref="S7:S14" si="0">F7</f>
        <v>0</v>
      </c>
      <c r="T7" s="713" t="s">
        <v>17</v>
      </c>
      <c r="U7" s="714">
        <f t="shared" ref="U7:U14" si="1">H7</f>
        <v>0</v>
      </c>
      <c r="V7" s="713" t="s">
        <v>17</v>
      </c>
      <c r="W7" s="714">
        <f t="shared" ref="W7:W14" si="2">J7</f>
        <v>0</v>
      </c>
      <c r="X7" s="715"/>
      <c r="Y7" s="3277" t="s">
        <v>2420</v>
      </c>
      <c r="Z7" s="3278"/>
      <c r="AA7" s="716" t="e">
        <f>D7/F7</f>
        <v>#DIV/0!</v>
      </c>
      <c r="AB7" s="716" t="e">
        <f>D7/H7</f>
        <v>#DIV/0!</v>
      </c>
      <c r="AC7" s="716" t="e">
        <f>D7/J7</f>
        <v>#DIV/0!</v>
      </c>
    </row>
    <row r="8" spans="1:29" s="72" customFormat="1" ht="15.75" thickBot="1">
      <c r="A8" s="351" t="s">
        <v>2421</v>
      </c>
      <c r="B8" s="352"/>
      <c r="C8" s="357" t="s">
        <v>2523</v>
      </c>
      <c r="D8" s="354">
        <v>100</v>
      </c>
      <c r="E8" s="357"/>
      <c r="F8" s="356">
        <f>SUMIF(49:49,E8,50:50)-SUMIF(49:49,C8,50:50)+100</f>
        <v>0</v>
      </c>
      <c r="G8" s="357"/>
      <c r="H8" s="354">
        <f>SUMIF(49:49,G8,50:50)-SUMIF(49:49,C8,50:50)+100</f>
        <v>0</v>
      </c>
      <c r="I8" s="357"/>
      <c r="J8" s="354">
        <f>SUMIF(49:49,I8,50:50)-SUMIF(49:49,C8,50:50)+100</f>
        <v>0</v>
      </c>
      <c r="K8" s="554"/>
      <c r="L8" s="1078"/>
      <c r="M8" s="1079"/>
      <c r="N8" s="1079"/>
      <c r="O8" s="1079"/>
      <c r="P8" s="3277" t="s">
        <v>2423</v>
      </c>
      <c r="Q8" s="3278"/>
      <c r="R8" s="713" t="s">
        <v>17</v>
      </c>
      <c r="S8" s="714">
        <f t="shared" si="0"/>
        <v>0</v>
      </c>
      <c r="T8" s="713" t="s">
        <v>17</v>
      </c>
      <c r="U8" s="714">
        <f t="shared" si="1"/>
        <v>0</v>
      </c>
      <c r="V8" s="713" t="s">
        <v>17</v>
      </c>
      <c r="W8" s="714">
        <f t="shared" si="2"/>
        <v>0</v>
      </c>
      <c r="X8" s="715"/>
      <c r="Y8" s="3277" t="s">
        <v>2423</v>
      </c>
      <c r="Z8" s="3278"/>
      <c r="AA8" s="716" t="e">
        <f t="shared" ref="AA8:AA34" si="3">D8/F8</f>
        <v>#DIV/0!</v>
      </c>
      <c r="AB8" s="716" t="e">
        <f t="shared" ref="AB8:AB34" si="4">D8/H8</f>
        <v>#DIV/0!</v>
      </c>
      <c r="AC8" s="716" t="e">
        <f t="shared" ref="AC8:AC34" si="5">D8/J8</f>
        <v>#DIV/0!</v>
      </c>
    </row>
    <row r="9" spans="1:29" s="72" customFormat="1">
      <c r="A9" s="358" t="s">
        <v>2424</v>
      </c>
      <c r="B9" s="70" t="s">
        <v>2425</v>
      </c>
      <c r="C9" s="359"/>
      <c r="D9" s="78">
        <v>100</v>
      </c>
      <c r="E9" s="362"/>
      <c r="F9" s="361">
        <f>SUMIF(51:51,E9,52:52)-SUMIF(51:51,C9,52:52)+100</f>
        <v>100</v>
      </c>
      <c r="G9" s="362"/>
      <c r="H9" s="78">
        <f>SUMIF(51:51,G9,52:52)-SUMIF(51:51,C9,52:52)+100</f>
        <v>100</v>
      </c>
      <c r="I9" s="362"/>
      <c r="J9" s="78">
        <f>SUMIF(51:51,I9,52:52)-SUMIF(51:51,C9,52:52)+100</f>
        <v>100</v>
      </c>
      <c r="K9" s="554"/>
      <c r="L9" s="1078"/>
      <c r="M9" s="1079"/>
      <c r="N9" s="1079"/>
      <c r="O9" s="1080"/>
      <c r="P9" s="3291" t="s">
        <v>2426</v>
      </c>
      <c r="Q9" s="1723" t="str">
        <f t="shared" ref="Q9:Q14" si="6">B9</f>
        <v>用途</v>
      </c>
      <c r="R9" s="713" t="s">
        <v>17</v>
      </c>
      <c r="S9" s="714">
        <f t="shared" si="0"/>
        <v>100</v>
      </c>
      <c r="T9" s="713" t="s">
        <v>17</v>
      </c>
      <c r="U9" s="714">
        <f t="shared" si="1"/>
        <v>100</v>
      </c>
      <c r="V9" s="713" t="s">
        <v>17</v>
      </c>
      <c r="W9" s="714">
        <f t="shared" si="2"/>
        <v>100</v>
      </c>
      <c r="X9" s="715"/>
      <c r="Y9" s="3113" t="s">
        <v>2427</v>
      </c>
      <c r="Z9" s="54" t="str">
        <f t="shared" ref="Z9:Z14" si="7">Q9</f>
        <v>用途</v>
      </c>
      <c r="AA9" s="716">
        <f t="shared" si="3"/>
        <v>1</v>
      </c>
      <c r="AB9" s="716">
        <f t="shared" si="4"/>
        <v>1</v>
      </c>
      <c r="AC9" s="716">
        <f t="shared" si="5"/>
        <v>1</v>
      </c>
    </row>
    <row r="10" spans="1:29" s="370" customFormat="1" ht="27">
      <c r="A10" s="364"/>
      <c r="B10" s="365" t="s">
        <v>2428</v>
      </c>
      <c r="C10" s="366"/>
      <c r="D10" s="79">
        <v>100</v>
      </c>
      <c r="E10" s="366"/>
      <c r="F10" s="368">
        <f>SUMIF(53:53,E10,54:54)-SUMIF(53:53,C10,54:54)+100</f>
        <v>100</v>
      </c>
      <c r="G10" s="366"/>
      <c r="H10" s="79">
        <f>SUMIF(53:53,G10,54:54)-SUMIF(53:53,C10,54:54)+100</f>
        <v>100</v>
      </c>
      <c r="I10" s="366"/>
      <c r="J10" s="79">
        <f>SUMIF(53:53,I10,54:54)-SUMIF(53:53,C10,54:54)+100</f>
        <v>100</v>
      </c>
      <c r="K10" s="555"/>
      <c r="L10" s="1081"/>
      <c r="M10" s="1082"/>
      <c r="N10" s="1082"/>
      <c r="O10" s="1083"/>
      <c r="P10" s="3291"/>
      <c r="Q10" s="1723" t="str">
        <f t="shared" si="6"/>
        <v>土地使用年限（年）</v>
      </c>
      <c r="R10" s="713" t="s">
        <v>17</v>
      </c>
      <c r="S10" s="714">
        <f t="shared" si="0"/>
        <v>100</v>
      </c>
      <c r="T10" s="713" t="s">
        <v>17</v>
      </c>
      <c r="U10" s="714">
        <f t="shared" si="1"/>
        <v>100</v>
      </c>
      <c r="V10" s="713" t="s">
        <v>17</v>
      </c>
      <c r="W10" s="714">
        <f t="shared" si="2"/>
        <v>100</v>
      </c>
      <c r="X10" s="715"/>
      <c r="Y10" s="3113"/>
      <c r="Z10" s="54" t="str">
        <f t="shared" si="7"/>
        <v>土地使用年限（年）</v>
      </c>
      <c r="AA10" s="716">
        <f t="shared" si="3"/>
        <v>1</v>
      </c>
      <c r="AB10" s="716">
        <f t="shared" si="4"/>
        <v>1</v>
      </c>
      <c r="AC10" s="716">
        <f t="shared" si="5"/>
        <v>1</v>
      </c>
    </row>
    <row r="11" spans="1:29" ht="15">
      <c r="A11" s="371"/>
      <c r="B11" s="2465">
        <v>111</v>
      </c>
      <c r="C11" s="375"/>
      <c r="D11" s="79">
        <v>100</v>
      </c>
      <c r="E11" s="412"/>
      <c r="F11" s="368">
        <f>SUMIF(55:55,E11,56:56)-SUMIF(55:55,C11,56:56)+100</f>
        <v>100</v>
      </c>
      <c r="G11" s="412"/>
      <c r="H11" s="79">
        <f>SUMIF(55:55,G11,56:56)-SUMIF(55:55,C11,56:56)+100</f>
        <v>100</v>
      </c>
      <c r="I11" s="412"/>
      <c r="J11" s="79">
        <f>SUMIF(55:55,I11,56:56)-SUMIF(55:55,C11,56:56)+100</f>
        <v>100</v>
      </c>
      <c r="K11" s="556"/>
      <c r="L11" s="1084"/>
      <c r="M11" s="1077"/>
      <c r="N11" s="1077"/>
      <c r="O11" s="1085"/>
      <c r="P11" s="3291"/>
      <c r="Q11" s="1723">
        <f t="shared" si="6"/>
        <v>111</v>
      </c>
      <c r="R11" s="713" t="s">
        <v>17</v>
      </c>
      <c r="S11" s="714">
        <f t="shared" si="0"/>
        <v>100</v>
      </c>
      <c r="T11" s="713" t="s">
        <v>17</v>
      </c>
      <c r="U11" s="714">
        <f t="shared" si="1"/>
        <v>100</v>
      </c>
      <c r="V11" s="713" t="s">
        <v>17</v>
      </c>
      <c r="W11" s="714">
        <f t="shared" si="2"/>
        <v>100</v>
      </c>
      <c r="X11" s="715"/>
      <c r="Y11" s="3113"/>
      <c r="Z11" s="54">
        <f t="shared" si="7"/>
        <v>111</v>
      </c>
      <c r="AA11" s="716">
        <f t="shared" si="3"/>
        <v>1</v>
      </c>
      <c r="AB11" s="716">
        <f t="shared" si="4"/>
        <v>1</v>
      </c>
      <c r="AC11" s="716">
        <f t="shared" si="5"/>
        <v>1</v>
      </c>
    </row>
    <row r="12" spans="1:29" s="72" customFormat="1" ht="15">
      <c r="A12" s="374"/>
      <c r="B12" s="2465">
        <v>111</v>
      </c>
      <c r="C12" s="375"/>
      <c r="D12" s="376">
        <v>100</v>
      </c>
      <c r="E12" s="412"/>
      <c r="F12" s="368">
        <f>SUMIF(57:57,E12,58:58)-SUMIF(57:57,C12,58:58)+100</f>
        <v>100</v>
      </c>
      <c r="G12" s="412"/>
      <c r="H12" s="79">
        <f>SUMIF(57:57,G12,58:58)-SUMIF(57:57,C12,58:58)+100</f>
        <v>100</v>
      </c>
      <c r="I12" s="412"/>
      <c r="J12" s="79">
        <f>SUMIF(57:57,I12,58:58)-SUMIF(57:57,C12,58:58)+100</f>
        <v>100</v>
      </c>
      <c r="K12" s="556"/>
      <c r="L12" s="1078"/>
      <c r="M12" s="1079"/>
      <c r="N12" s="1079"/>
      <c r="O12" s="1080"/>
      <c r="P12" s="3291"/>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716">
        <f>D12/J12</f>
        <v>1</v>
      </c>
    </row>
    <row r="13" spans="1:29" ht="15.75" thickBot="1">
      <c r="A13" s="371"/>
      <c r="B13" s="2465">
        <v>111</v>
      </c>
      <c r="C13" s="377"/>
      <c r="D13" s="378">
        <v>100</v>
      </c>
      <c r="E13" s="412"/>
      <c r="F13" s="368">
        <f>SUMIF(59:59,E13,60:60)-SUMIF(59:59,C13,60:60)+100</f>
        <v>100</v>
      </c>
      <c r="G13" s="2560"/>
      <c r="H13" s="381">
        <f>SUMIF(59:59,G13,60:60)-SUMIF(59:59,C13,60:60)+100</f>
        <v>100</v>
      </c>
      <c r="I13" s="412"/>
      <c r="J13" s="378">
        <f>SUMIF(59:59,I13,60:60)-SUMIF(59:59,C13,60:60)+100</f>
        <v>100</v>
      </c>
      <c r="K13" s="556"/>
      <c r="L13" s="1086"/>
      <c r="M13" s="1077"/>
      <c r="N13" s="1077"/>
      <c r="O13" s="1085"/>
      <c r="P13" s="3291"/>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716">
        <f t="shared" si="5"/>
        <v>1</v>
      </c>
    </row>
    <row r="14" spans="1:29" ht="85.5">
      <c r="A14" s="383" t="s">
        <v>2430</v>
      </c>
      <c r="B14" s="68" t="s">
        <v>2580</v>
      </c>
      <c r="C14" s="2556"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57"/>
      <c r="L14" s="1086"/>
      <c r="M14" s="1077"/>
      <c r="N14" s="1077"/>
      <c r="O14" s="1085"/>
      <c r="P14" s="3306" t="s">
        <v>2431</v>
      </c>
      <c r="Q14" s="1737" t="str">
        <f t="shared" si="6"/>
        <v>交通便捷度</v>
      </c>
      <c r="R14" s="717" t="s">
        <v>17</v>
      </c>
      <c r="S14" s="718">
        <f t="shared" si="0"/>
        <v>100</v>
      </c>
      <c r="T14" s="717" t="s">
        <v>17</v>
      </c>
      <c r="U14" s="718">
        <f t="shared" si="1"/>
        <v>100</v>
      </c>
      <c r="V14" s="717" t="s">
        <v>17</v>
      </c>
      <c r="W14" s="718">
        <f t="shared" si="2"/>
        <v>100</v>
      </c>
      <c r="X14" s="1740"/>
      <c r="Y14" s="3306" t="s">
        <v>2431</v>
      </c>
      <c r="Z14" s="1741" t="str">
        <f t="shared" si="7"/>
        <v>交通便捷度</v>
      </c>
      <c r="AA14" s="1738">
        <f t="shared" si="3"/>
        <v>1</v>
      </c>
      <c r="AB14" s="1738">
        <f t="shared" si="4"/>
        <v>1</v>
      </c>
      <c r="AC14" s="1738">
        <f t="shared" si="5"/>
        <v>1</v>
      </c>
    </row>
    <row r="15" spans="1:29" ht="15">
      <c r="A15" s="371"/>
      <c r="B15" s="389"/>
      <c r="C15" s="390"/>
      <c r="D15" s="391"/>
      <c r="E15" s="390"/>
      <c r="F15" s="392"/>
      <c r="G15" s="390"/>
      <c r="H15" s="393"/>
      <c r="I15" s="390"/>
      <c r="J15" s="391"/>
      <c r="K15" s="558"/>
      <c r="L15" s="1086"/>
      <c r="M15" s="1077"/>
      <c r="N15" s="1077"/>
      <c r="O15" s="1085"/>
      <c r="P15" s="3307"/>
      <c r="Q15" s="1737"/>
      <c r="R15" s="717"/>
      <c r="S15" s="718"/>
      <c r="T15" s="717"/>
      <c r="U15" s="718"/>
      <c r="V15" s="717"/>
      <c r="W15" s="718"/>
      <c r="X15" s="1740"/>
      <c r="Y15" s="3307"/>
      <c r="Z15" s="1741"/>
      <c r="AA15" s="1738">
        <v>1</v>
      </c>
      <c r="AB15" s="1738">
        <v>1</v>
      </c>
      <c r="AC15" s="1738">
        <v>1</v>
      </c>
    </row>
    <row r="16" spans="1:29" ht="15">
      <c r="A16" s="371"/>
      <c r="B16" s="394" t="s">
        <v>2559</v>
      </c>
      <c r="C16" s="2472">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86"/>
      <c r="M16" s="1077"/>
      <c r="N16" s="1077"/>
      <c r="O16" s="1085"/>
      <c r="P16" s="3307"/>
      <c r="Q16" s="1737" t="str">
        <f>B16</f>
        <v>公共配套设施</v>
      </c>
      <c r="R16" s="717" t="s">
        <v>17</v>
      </c>
      <c r="S16" s="718">
        <f>F16</f>
        <v>100</v>
      </c>
      <c r="T16" s="717" t="s">
        <v>17</v>
      </c>
      <c r="U16" s="718">
        <f>H16</f>
        <v>100</v>
      </c>
      <c r="V16" s="717" t="s">
        <v>17</v>
      </c>
      <c r="W16" s="718">
        <f>J16</f>
        <v>100</v>
      </c>
      <c r="X16" s="1740"/>
      <c r="Y16" s="3307"/>
      <c r="Z16" s="1741" t="str">
        <f>Q16</f>
        <v>公共配套设施</v>
      </c>
      <c r="AA16" s="1738">
        <f t="shared" si="3"/>
        <v>1</v>
      </c>
      <c r="AB16" s="1738">
        <f t="shared" si="4"/>
        <v>1</v>
      </c>
      <c r="AC16" s="1738">
        <f t="shared" si="5"/>
        <v>1</v>
      </c>
    </row>
    <row r="17" spans="1:29" ht="15">
      <c r="A17" s="371"/>
      <c r="B17" s="399"/>
      <c r="C17" s="2473"/>
      <c r="D17" s="391"/>
      <c r="E17" s="390"/>
      <c r="F17" s="392"/>
      <c r="G17" s="390"/>
      <c r="H17" s="391"/>
      <c r="I17" s="390"/>
      <c r="J17" s="391"/>
      <c r="K17" s="558"/>
      <c r="L17" s="1086"/>
      <c r="M17" s="1077"/>
      <c r="N17" s="1077"/>
      <c r="O17" s="1085"/>
      <c r="P17" s="3307"/>
      <c r="Q17" s="1737"/>
      <c r="R17" s="717"/>
      <c r="S17" s="718"/>
      <c r="T17" s="717"/>
      <c r="U17" s="718"/>
      <c r="V17" s="717"/>
      <c r="W17" s="718"/>
      <c r="X17" s="1740"/>
      <c r="Y17" s="3307"/>
      <c r="Z17" s="1741"/>
      <c r="AA17" s="1738">
        <v>1</v>
      </c>
      <c r="AB17" s="1738">
        <v>1</v>
      </c>
      <c r="AC17" s="1738">
        <v>1</v>
      </c>
    </row>
    <row r="18" spans="1:29" ht="15">
      <c r="A18" s="371"/>
      <c r="B18" s="1316" t="s">
        <v>2560</v>
      </c>
      <c r="C18" s="2472">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86"/>
      <c r="M18" s="1077"/>
      <c r="N18" s="1077"/>
      <c r="O18" s="1085"/>
      <c r="P18" s="3307"/>
      <c r="Q18" s="1737" t="str">
        <f>B18</f>
        <v>基础设施水平</v>
      </c>
      <c r="R18" s="717" t="s">
        <v>17</v>
      </c>
      <c r="S18" s="718">
        <f>F18</f>
        <v>100</v>
      </c>
      <c r="T18" s="717" t="s">
        <v>17</v>
      </c>
      <c r="U18" s="718">
        <f>H18</f>
        <v>100</v>
      </c>
      <c r="V18" s="717" t="s">
        <v>17</v>
      </c>
      <c r="W18" s="718">
        <f>J18</f>
        <v>100</v>
      </c>
      <c r="X18" s="1740"/>
      <c r="Y18" s="3307"/>
      <c r="Z18" s="1741" t="str">
        <f>Q18</f>
        <v>基础设施水平</v>
      </c>
      <c r="AA18" s="1738">
        <f t="shared" ref="AA18" si="8">D18/F18</f>
        <v>1</v>
      </c>
      <c r="AB18" s="1738">
        <f t="shared" ref="AB18" si="9">D18/H18</f>
        <v>1</v>
      </c>
      <c r="AC18" s="1738">
        <f t="shared" ref="AC18" si="10">D18/J18</f>
        <v>1</v>
      </c>
    </row>
    <row r="19" spans="1:29" ht="15">
      <c r="A19" s="371"/>
      <c r="B19" s="1316"/>
      <c r="C19" s="2473"/>
      <c r="D19" s="393"/>
      <c r="E19" s="2473"/>
      <c r="F19" s="396"/>
      <c r="G19" s="2473"/>
      <c r="H19" s="391"/>
      <c r="I19" s="390"/>
      <c r="J19" s="391"/>
      <c r="K19" s="1315"/>
      <c r="L19" s="1086"/>
      <c r="M19" s="1077"/>
      <c r="N19" s="1077"/>
      <c r="O19" s="1085"/>
      <c r="P19" s="3307"/>
      <c r="Q19" s="1737"/>
      <c r="R19" s="717"/>
      <c r="S19" s="718"/>
      <c r="T19" s="717"/>
      <c r="U19" s="718"/>
      <c r="V19" s="717"/>
      <c r="W19" s="718"/>
      <c r="X19" s="1740"/>
      <c r="Y19" s="3307"/>
      <c r="Z19" s="1741"/>
      <c r="AA19" s="1738">
        <v>1</v>
      </c>
      <c r="AB19" s="1738">
        <v>1</v>
      </c>
      <c r="AC19" s="1738">
        <v>1</v>
      </c>
    </row>
    <row r="20" spans="1:29" ht="15">
      <c r="A20" s="371"/>
      <c r="B20" s="394" t="s">
        <v>2581</v>
      </c>
      <c r="C20" s="2472">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86"/>
      <c r="M20" s="1077"/>
      <c r="N20" s="1077"/>
      <c r="O20" s="1085"/>
      <c r="P20" s="3307"/>
      <c r="Q20" s="1737" t="str">
        <f>B20</f>
        <v>自然及人文环境</v>
      </c>
      <c r="R20" s="717" t="s">
        <v>17</v>
      </c>
      <c r="S20" s="718">
        <f>F20</f>
        <v>100</v>
      </c>
      <c r="T20" s="717" t="s">
        <v>17</v>
      </c>
      <c r="U20" s="718">
        <f>H20</f>
        <v>100</v>
      </c>
      <c r="V20" s="717" t="s">
        <v>17</v>
      </c>
      <c r="W20" s="718">
        <f>J20</f>
        <v>100</v>
      </c>
      <c r="X20" s="1740"/>
      <c r="Y20" s="3307"/>
      <c r="Z20" s="1741" t="str">
        <f>Q20</f>
        <v>自然及人文环境</v>
      </c>
      <c r="AA20" s="1738">
        <f t="shared" si="3"/>
        <v>1</v>
      </c>
      <c r="AB20" s="1738">
        <f t="shared" si="4"/>
        <v>1</v>
      </c>
      <c r="AC20" s="1738">
        <f t="shared" si="5"/>
        <v>1</v>
      </c>
    </row>
    <row r="21" spans="1:29" ht="15">
      <c r="A21" s="371"/>
      <c r="B21" s="399"/>
      <c r="C21" s="390"/>
      <c r="D21" s="391"/>
      <c r="E21" s="390"/>
      <c r="F21" s="392"/>
      <c r="G21" s="390"/>
      <c r="H21" s="391"/>
      <c r="I21" s="390"/>
      <c r="J21" s="391"/>
      <c r="K21" s="558"/>
      <c r="L21" s="1086"/>
      <c r="M21" s="1077"/>
      <c r="N21" s="1077"/>
      <c r="O21" s="1085"/>
      <c r="P21" s="3307"/>
      <c r="Q21" s="1737"/>
      <c r="R21" s="717"/>
      <c r="S21" s="718"/>
      <c r="T21" s="717"/>
      <c r="U21" s="718"/>
      <c r="V21" s="717"/>
      <c r="W21" s="718"/>
      <c r="X21" s="1740"/>
      <c r="Y21" s="3307"/>
      <c r="Z21" s="1741"/>
      <c r="AA21" s="1738">
        <v>1</v>
      </c>
      <c r="AB21" s="1738">
        <v>1</v>
      </c>
      <c r="AC21" s="1738">
        <v>1</v>
      </c>
    </row>
    <row r="22" spans="1:29" ht="15">
      <c r="A22" s="371"/>
      <c r="B22" s="394" t="s">
        <v>2582</v>
      </c>
      <c r="C22" s="559"/>
      <c r="D22" s="393">
        <v>100</v>
      </c>
      <c r="E22" s="559"/>
      <c r="F22" s="404">
        <f>SUMIF(69:69,E22,70:70)-SUMIF(69:69,C22,70:70)+100</f>
        <v>100</v>
      </c>
      <c r="G22" s="559"/>
      <c r="H22" s="378">
        <f>SUMIF(69:69,G22,70:70)-SUMIF(69:69,C22,70:70)+100</f>
        <v>100</v>
      </c>
      <c r="I22" s="559"/>
      <c r="J22" s="378">
        <f>SUMIF(69:69,I22,70:70)-SUMIF(69:69,C22,70:70)+100</f>
        <v>100</v>
      </c>
      <c r="K22" s="555"/>
      <c r="L22" s="1086"/>
      <c r="M22" s="1077"/>
      <c r="N22" s="1077"/>
      <c r="O22" s="1085"/>
      <c r="P22" s="3307"/>
      <c r="Q22" s="1737" t="str">
        <f>B22</f>
        <v>楼层</v>
      </c>
      <c r="R22" s="717" t="s">
        <v>17</v>
      </c>
      <c r="S22" s="718">
        <f>F22</f>
        <v>100</v>
      </c>
      <c r="T22" s="717" t="s">
        <v>17</v>
      </c>
      <c r="U22" s="718">
        <f>H22</f>
        <v>100</v>
      </c>
      <c r="V22" s="717" t="s">
        <v>17</v>
      </c>
      <c r="W22" s="718">
        <f>J22</f>
        <v>100</v>
      </c>
      <c r="X22" s="1740"/>
      <c r="Y22" s="3307"/>
      <c r="Z22" s="1741" t="str">
        <f>Q22</f>
        <v>楼层</v>
      </c>
      <c r="AA22" s="1738">
        <f t="shared" si="3"/>
        <v>1</v>
      </c>
      <c r="AB22" s="1738">
        <f t="shared" si="4"/>
        <v>1</v>
      </c>
      <c r="AC22" s="1738">
        <f t="shared" si="5"/>
        <v>1</v>
      </c>
    </row>
    <row r="23" spans="1:29" ht="15">
      <c r="A23" s="347"/>
      <c r="B23" s="2465">
        <v>111</v>
      </c>
      <c r="C23" s="375"/>
      <c r="D23" s="378">
        <v>100</v>
      </c>
      <c r="E23" s="377"/>
      <c r="F23" s="404">
        <f>SUMIF(71:71,E23,72:72)-SUMIF(71:71,C23,72:72)+100</f>
        <v>100</v>
      </c>
      <c r="G23" s="377"/>
      <c r="H23" s="378">
        <f>SUMIF(71:71,G23,72:72)-SUMIF(71:71,C23,72:72)+100</f>
        <v>100</v>
      </c>
      <c r="I23" s="377"/>
      <c r="J23" s="378">
        <f>SUMIF(71:71,I23,72:72)-SUMIF(71:71,C23,72:72)+100</f>
        <v>100</v>
      </c>
      <c r="K23" s="556"/>
      <c r="L23" s="1086"/>
      <c r="M23" s="1077"/>
      <c r="N23" s="1077"/>
      <c r="O23" s="1085"/>
      <c r="P23" s="3307"/>
      <c r="Q23" s="1737">
        <f>B23</f>
        <v>111</v>
      </c>
      <c r="R23" s="717" t="s">
        <v>17</v>
      </c>
      <c r="S23" s="718">
        <f>F23</f>
        <v>100</v>
      </c>
      <c r="T23" s="717" t="s">
        <v>17</v>
      </c>
      <c r="U23" s="718">
        <f>H23</f>
        <v>100</v>
      </c>
      <c r="V23" s="717" t="s">
        <v>17</v>
      </c>
      <c r="W23" s="718">
        <f>J23</f>
        <v>100</v>
      </c>
      <c r="X23" s="1740"/>
      <c r="Y23" s="3307"/>
      <c r="Z23" s="1741">
        <f>Q23</f>
        <v>111</v>
      </c>
      <c r="AA23" s="1738">
        <f t="shared" si="3"/>
        <v>1</v>
      </c>
      <c r="AB23" s="1738">
        <f t="shared" si="4"/>
        <v>1</v>
      </c>
      <c r="AC23" s="1738">
        <f t="shared" si="5"/>
        <v>1</v>
      </c>
    </row>
    <row r="24" spans="1:29" ht="15">
      <c r="A24" s="371"/>
      <c r="B24" s="2465">
        <v>111</v>
      </c>
      <c r="C24" s="375"/>
      <c r="D24" s="378">
        <v>100</v>
      </c>
      <c r="E24" s="377"/>
      <c r="F24" s="404">
        <f>SUMIF(73:73,E24,74:74)-SUMIF(73:73,C24,74:74)+100</f>
        <v>100</v>
      </c>
      <c r="G24" s="377"/>
      <c r="H24" s="378">
        <f>SUMIF(73:73,G24,74:74)-SUMIF(73:73,C24,74:74)+100</f>
        <v>100</v>
      </c>
      <c r="I24" s="377"/>
      <c r="J24" s="378">
        <f>SUMIF(73:73,I24,74:74)-SUMIF(73:73,C24,74:74)+100</f>
        <v>100</v>
      </c>
      <c r="K24" s="556"/>
      <c r="L24" s="1086"/>
      <c r="M24" s="1077"/>
      <c r="N24" s="1077"/>
      <c r="O24" s="1085"/>
      <c r="P24" s="3307"/>
      <c r="Q24" s="1737">
        <f t="shared" ref="Q24:Q34" si="11">B24</f>
        <v>111</v>
      </c>
      <c r="R24" s="717" t="s">
        <v>17</v>
      </c>
      <c r="S24" s="718">
        <f>F24</f>
        <v>100</v>
      </c>
      <c r="T24" s="717" t="s">
        <v>17</v>
      </c>
      <c r="U24" s="718">
        <f>H24</f>
        <v>100</v>
      </c>
      <c r="V24" s="717" t="s">
        <v>17</v>
      </c>
      <c r="W24" s="718">
        <f>J24</f>
        <v>100</v>
      </c>
      <c r="X24" s="1740"/>
      <c r="Y24" s="3307"/>
      <c r="Z24" s="1741">
        <f>Q24</f>
        <v>111</v>
      </c>
      <c r="AA24" s="1738">
        <f t="shared" si="3"/>
        <v>1</v>
      </c>
      <c r="AB24" s="1738">
        <f t="shared" si="4"/>
        <v>1</v>
      </c>
      <c r="AC24" s="1738">
        <f t="shared" si="5"/>
        <v>1</v>
      </c>
    </row>
    <row r="25" spans="1:29" s="72" customFormat="1" ht="15.75" thickBot="1">
      <c r="A25" s="374"/>
      <c r="B25" s="2465">
        <v>111</v>
      </c>
      <c r="C25" s="2561"/>
      <c r="D25" s="608">
        <v>100</v>
      </c>
      <c r="E25" s="2561"/>
      <c r="F25" s="609">
        <f>SUMIF(75:75,E25,76:76)-SUMIF(75:75,C25,76:76)+100</f>
        <v>100</v>
      </c>
      <c r="G25" s="2561"/>
      <c r="H25" s="608">
        <f>SUMIF(75:75,G25,76:76)-SUMIF(75:75,C25,76:76)+100</f>
        <v>100</v>
      </c>
      <c r="I25" s="2561"/>
      <c r="J25" s="608">
        <f>SUMIF(75:75,I25,76:76)-SUMIF(75:75,C25,76:76)+100</f>
        <v>100</v>
      </c>
      <c r="K25" s="556"/>
      <c r="L25" s="1078"/>
      <c r="M25" s="1079"/>
      <c r="N25" s="1079"/>
      <c r="O25" s="1080"/>
      <c r="P25" s="3307"/>
      <c r="Q25" s="1723">
        <f t="shared" si="11"/>
        <v>111</v>
      </c>
      <c r="R25" s="713" t="s">
        <v>17</v>
      </c>
      <c r="S25" s="714">
        <f>F25</f>
        <v>100</v>
      </c>
      <c r="T25" s="713" t="s">
        <v>17</v>
      </c>
      <c r="U25" s="714">
        <f>H25</f>
        <v>100</v>
      </c>
      <c r="V25" s="713" t="s">
        <v>17</v>
      </c>
      <c r="W25" s="714">
        <f>J25</f>
        <v>100</v>
      </c>
      <c r="X25" s="715"/>
      <c r="Y25" s="3307"/>
      <c r="Z25" s="54">
        <f>Q25</f>
        <v>111</v>
      </c>
      <c r="AA25" s="1738">
        <f>D25/F25</f>
        <v>1</v>
      </c>
      <c r="AB25" s="1738">
        <f>D25/H25</f>
        <v>1</v>
      </c>
      <c r="AC25" s="1738">
        <f>D25/J25</f>
        <v>1</v>
      </c>
    </row>
    <row r="26" spans="1:29" ht="15">
      <c r="A26" s="409" t="s">
        <v>2434</v>
      </c>
      <c r="B26" s="70" t="s">
        <v>2585</v>
      </c>
      <c r="C26" s="2542"/>
      <c r="D26" s="410">
        <v>100</v>
      </c>
      <c r="E26" s="2542"/>
      <c r="F26" s="610">
        <f>SUMIF(77:77,E26,78:78)-SUMIF(77:77,C26,78:78)+100</f>
        <v>100</v>
      </c>
      <c r="G26" s="2542"/>
      <c r="H26" s="410">
        <f>SUMIF(77:77,G26,78:78)-SUMIF(77:77,C26,78:78)+100</f>
        <v>100</v>
      </c>
      <c r="I26" s="2542"/>
      <c r="J26" s="410">
        <f>SUMIF(77:77,I26,78:78)-SUMIF(77:77,C26,78:78)+100</f>
        <v>100</v>
      </c>
      <c r="K26" s="555"/>
      <c r="L26" s="1086"/>
      <c r="M26" s="1077"/>
      <c r="N26" s="1077"/>
      <c r="O26" s="1085"/>
      <c r="P26" s="3308" t="s">
        <v>2436</v>
      </c>
      <c r="Q26" s="1737" t="str">
        <f t="shared" si="11"/>
        <v>公共部分装修</v>
      </c>
      <c r="R26" s="717" t="s">
        <v>17</v>
      </c>
      <c r="S26" s="718">
        <f t="shared" ref="S26:S34" si="12">F26</f>
        <v>100</v>
      </c>
      <c r="T26" s="717" t="s">
        <v>17</v>
      </c>
      <c r="U26" s="718">
        <f t="shared" ref="U26:U34" si="13">H26</f>
        <v>100</v>
      </c>
      <c r="V26" s="717" t="s">
        <v>17</v>
      </c>
      <c r="W26" s="718">
        <f t="shared" ref="W26:W34" si="14">J26</f>
        <v>100</v>
      </c>
      <c r="X26" s="1740"/>
      <c r="Y26" s="3309" t="s">
        <v>2436</v>
      </c>
      <c r="Z26" s="1741" t="str">
        <f t="shared" ref="Z26:Z34" si="15">Q26</f>
        <v>公共部分装修</v>
      </c>
      <c r="AA26" s="1738">
        <f t="shared" si="3"/>
        <v>1</v>
      </c>
      <c r="AB26" s="1738">
        <f t="shared" si="4"/>
        <v>1</v>
      </c>
      <c r="AC26" s="1738">
        <f t="shared" si="5"/>
        <v>1</v>
      </c>
    </row>
    <row r="27" spans="1:29" s="414" customFormat="1" ht="15">
      <c r="A27" s="411"/>
      <c r="B27" s="365" t="s">
        <v>2586</v>
      </c>
      <c r="C27" s="417"/>
      <c r="D27" s="79">
        <v>100</v>
      </c>
      <c r="E27" s="418"/>
      <c r="F27" s="404" t="e">
        <f>LOOKUP(E27,80:80,81:81)-LOOKUP(C27,80:80,81:81)+100</f>
        <v>#N/A</v>
      </c>
      <c r="G27" s="419"/>
      <c r="H27" s="378" t="e">
        <f>LOOKUP(G27,80:80,81:81)-LOOKUP(C27,80:80,81:81)+100</f>
        <v>#N/A</v>
      </c>
      <c r="I27" s="419"/>
      <c r="J27" s="378" t="e">
        <f>LOOKUP(I27,80:80,81:81)-LOOKUP(C27,80:80,81:81)+100</f>
        <v>#N/A</v>
      </c>
      <c r="K27" s="555"/>
      <c r="L27" s="1084"/>
      <c r="M27" s="1087"/>
      <c r="N27" s="1087"/>
      <c r="O27" s="1088"/>
      <c r="P27" s="3309"/>
      <c r="Q27" s="719" t="str">
        <f t="shared" si="11"/>
        <v>成新率</v>
      </c>
      <c r="R27" s="720" t="s">
        <v>17</v>
      </c>
      <c r="S27" s="721" t="e">
        <f t="shared" si="12"/>
        <v>#N/A</v>
      </c>
      <c r="T27" s="720" t="s">
        <v>17</v>
      </c>
      <c r="U27" s="721" t="e">
        <f t="shared" si="13"/>
        <v>#N/A</v>
      </c>
      <c r="V27" s="720" t="s">
        <v>17</v>
      </c>
      <c r="W27" s="721" t="e">
        <f t="shared" si="14"/>
        <v>#N/A</v>
      </c>
      <c r="X27" s="722"/>
      <c r="Y27" s="3309"/>
      <c r="Z27" s="723" t="str">
        <f t="shared" si="15"/>
        <v>成新率</v>
      </c>
      <c r="AA27" s="1738" t="e">
        <f t="shared" si="3"/>
        <v>#N/A</v>
      </c>
      <c r="AB27" s="1738" t="e">
        <f t="shared" si="4"/>
        <v>#N/A</v>
      </c>
      <c r="AC27" s="1738" t="e">
        <f t="shared" si="5"/>
        <v>#N/A</v>
      </c>
    </row>
    <row r="28" spans="1:29" ht="15">
      <c r="A28" s="415"/>
      <c r="B28" s="365" t="s">
        <v>2587</v>
      </c>
      <c r="C28" s="403"/>
      <c r="D28" s="378">
        <v>100</v>
      </c>
      <c r="E28" s="403"/>
      <c r="F28" s="404">
        <f>SUMIF(82:82,E28,83:83)-SUMIF(82:82,C28,83:83)+100</f>
        <v>100</v>
      </c>
      <c r="G28" s="403"/>
      <c r="H28" s="378">
        <f>SUMIF(82:82,G28,83:83)-SUMIF(82:82,C28,83:83)+100</f>
        <v>100</v>
      </c>
      <c r="I28" s="403"/>
      <c r="J28" s="378">
        <f>SUMIF(82:82,I28,83:83)-SUMIF(82:82,C28,83:83)+100</f>
        <v>100</v>
      </c>
      <c r="K28" s="555"/>
      <c r="L28" s="1086"/>
      <c r="M28" s="1077"/>
      <c r="N28" s="1077"/>
      <c r="O28" s="1085"/>
      <c r="P28" s="3309"/>
      <c r="Q28" s="1737" t="str">
        <f t="shared" si="11"/>
        <v>物业等级</v>
      </c>
      <c r="R28" s="717" t="s">
        <v>17</v>
      </c>
      <c r="S28" s="718">
        <f t="shared" si="12"/>
        <v>100</v>
      </c>
      <c r="T28" s="717" t="s">
        <v>17</v>
      </c>
      <c r="U28" s="718">
        <f t="shared" si="13"/>
        <v>100</v>
      </c>
      <c r="V28" s="717" t="s">
        <v>17</v>
      </c>
      <c r="W28" s="718">
        <f t="shared" si="14"/>
        <v>100</v>
      </c>
      <c r="X28" s="1740"/>
      <c r="Y28" s="3309"/>
      <c r="Z28" s="1741" t="str">
        <f t="shared" si="15"/>
        <v>物业等级</v>
      </c>
      <c r="AA28" s="1738">
        <f t="shared" si="3"/>
        <v>1</v>
      </c>
      <c r="AB28" s="1738">
        <f t="shared" si="4"/>
        <v>1</v>
      </c>
      <c r="AC28" s="1738">
        <f t="shared" si="5"/>
        <v>1</v>
      </c>
    </row>
    <row r="29" spans="1:29" ht="15">
      <c r="A29" s="415"/>
      <c r="B29" s="365" t="s">
        <v>2608</v>
      </c>
      <c r="C29" s="600"/>
      <c r="D29" s="378">
        <v>100</v>
      </c>
      <c r="E29" s="600"/>
      <c r="F29" s="404">
        <f>SUMIF(84:84,E29,85:85)-SUMIF(84:84,C29,85:85)+100</f>
        <v>100</v>
      </c>
      <c r="G29" s="600"/>
      <c r="H29" s="378">
        <f>SUMIF(84:84,G29,85:85)-SUMIF(84:84,C29,85:85)+100</f>
        <v>100</v>
      </c>
      <c r="I29" s="600"/>
      <c r="J29" s="378">
        <f>SUMIF(84:84,I29,85:85)-SUMIF(84:84,C29,85:85)+100</f>
        <v>100</v>
      </c>
      <c r="K29" s="555"/>
      <c r="L29" s="1086"/>
      <c r="M29" s="1077"/>
      <c r="N29" s="1077"/>
      <c r="O29" s="1085"/>
      <c r="P29" s="3309"/>
      <c r="Q29" s="1737" t="str">
        <f t="shared" si="11"/>
        <v>有无电梯</v>
      </c>
      <c r="R29" s="717" t="s">
        <v>17</v>
      </c>
      <c r="S29" s="718">
        <f t="shared" si="12"/>
        <v>100</v>
      </c>
      <c r="T29" s="717" t="s">
        <v>17</v>
      </c>
      <c r="U29" s="718">
        <f t="shared" si="13"/>
        <v>100</v>
      </c>
      <c r="V29" s="717" t="s">
        <v>17</v>
      </c>
      <c r="W29" s="718">
        <f t="shared" si="14"/>
        <v>100</v>
      </c>
      <c r="X29" s="1740"/>
      <c r="Y29" s="3309"/>
      <c r="Z29" s="1741" t="str">
        <f t="shared" si="15"/>
        <v>有无电梯</v>
      </c>
      <c r="AA29" s="1738">
        <f t="shared" si="3"/>
        <v>1</v>
      </c>
      <c r="AB29" s="1738">
        <f t="shared" si="4"/>
        <v>1</v>
      </c>
      <c r="AC29" s="1738">
        <f t="shared" si="5"/>
        <v>1</v>
      </c>
    </row>
    <row r="30" spans="1:29" ht="15">
      <c r="A30" s="415"/>
      <c r="B30" s="365" t="s">
        <v>2609</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86"/>
      <c r="M30" s="1077"/>
      <c r="N30" s="1077"/>
      <c r="O30" s="1085"/>
      <c r="P30" s="3309"/>
      <c r="Q30" s="1737" t="str">
        <f t="shared" si="11"/>
        <v>建筑面积</v>
      </c>
      <c r="R30" s="717" t="s">
        <v>17</v>
      </c>
      <c r="S30" s="718" t="e">
        <f t="shared" si="12"/>
        <v>#N/A</v>
      </c>
      <c r="T30" s="717" t="s">
        <v>17</v>
      </c>
      <c r="U30" s="718" t="e">
        <f t="shared" si="13"/>
        <v>#N/A</v>
      </c>
      <c r="V30" s="717" t="s">
        <v>17</v>
      </c>
      <c r="W30" s="718" t="e">
        <f t="shared" si="14"/>
        <v>#N/A</v>
      </c>
      <c r="X30" s="1740"/>
      <c r="Y30" s="3309"/>
      <c r="Z30" s="1741" t="str">
        <f t="shared" si="15"/>
        <v>建筑面积</v>
      </c>
      <c r="AA30" s="1738" t="e">
        <f t="shared" si="3"/>
        <v>#N/A</v>
      </c>
      <c r="AB30" s="1738" t="e">
        <f t="shared" si="4"/>
        <v>#N/A</v>
      </c>
      <c r="AC30" s="1738" t="e">
        <f t="shared" si="5"/>
        <v>#N/A</v>
      </c>
    </row>
    <row r="31" spans="1:29" s="72" customFormat="1" ht="15">
      <c r="A31" s="416"/>
      <c r="B31" s="365" t="s">
        <v>2610</v>
      </c>
      <c r="C31" s="600"/>
      <c r="D31" s="79">
        <v>100</v>
      </c>
      <c r="E31" s="600"/>
      <c r="F31" s="404">
        <f>SUMIF(89:89,E31,90:90)-SUMIF(89:89,C31,90:90)+100</f>
        <v>100</v>
      </c>
      <c r="G31" s="600"/>
      <c r="H31" s="378">
        <f>SUMIF(89:89,G31,90:90)-SUMIF(89:89,C31,90:90)+100</f>
        <v>100</v>
      </c>
      <c r="I31" s="600"/>
      <c r="J31" s="378">
        <f>SUMIF(89:89,I31,90:90)-SUMIF(89:89,C31,90:90)+100</f>
        <v>100</v>
      </c>
      <c r="K31" s="555"/>
      <c r="L31" s="1078"/>
      <c r="M31" s="1079"/>
      <c r="N31" s="1079"/>
      <c r="O31" s="1080"/>
      <c r="P31" s="3309"/>
      <c r="Q31" s="1723" t="str">
        <f t="shared" si="11"/>
        <v>是否封闭</v>
      </c>
      <c r="R31" s="713" t="s">
        <v>17</v>
      </c>
      <c r="S31" s="714">
        <f t="shared" si="12"/>
        <v>100</v>
      </c>
      <c r="T31" s="713" t="s">
        <v>17</v>
      </c>
      <c r="U31" s="714">
        <f t="shared" si="13"/>
        <v>100</v>
      </c>
      <c r="V31" s="713" t="s">
        <v>17</v>
      </c>
      <c r="W31" s="714">
        <f t="shared" si="14"/>
        <v>100</v>
      </c>
      <c r="X31" s="715"/>
      <c r="Y31" s="3309"/>
      <c r="Z31" s="54" t="str">
        <f t="shared" si="15"/>
        <v>是否封闭</v>
      </c>
      <c r="AA31" s="716">
        <f t="shared" si="3"/>
        <v>1</v>
      </c>
      <c r="AB31" s="716">
        <f t="shared" si="4"/>
        <v>1</v>
      </c>
      <c r="AC31" s="716">
        <f t="shared" si="5"/>
        <v>1</v>
      </c>
    </row>
    <row r="32" spans="1:29" ht="15">
      <c r="A32" s="415"/>
      <c r="B32" s="2465">
        <v>111</v>
      </c>
      <c r="C32" s="375"/>
      <c r="D32" s="378">
        <v>100</v>
      </c>
      <c r="E32" s="412"/>
      <c r="F32" s="404">
        <f>SUMIF(91:91,E32,92:92)-SUMIF(91:91,C32,92:92)+100</f>
        <v>100</v>
      </c>
      <c r="G32" s="412"/>
      <c r="H32" s="378">
        <f>SUMIF(91:91,G32,92:92)-SUMIF(91:91,C32,92:92)+100</f>
        <v>100</v>
      </c>
      <c r="I32" s="412"/>
      <c r="J32" s="378">
        <f>SUMIF(91:91,I32,92:92)-SUMIF(91:91,C32,92:92)+100</f>
        <v>100</v>
      </c>
      <c r="K32" s="556"/>
      <c r="L32" s="1086"/>
      <c r="M32" s="1077"/>
      <c r="N32" s="1077"/>
      <c r="O32" s="1085"/>
      <c r="P32" s="3309" t="s">
        <v>2436</v>
      </c>
      <c r="Q32" s="1737">
        <f t="shared" si="11"/>
        <v>111</v>
      </c>
      <c r="R32" s="717" t="s">
        <v>17</v>
      </c>
      <c r="S32" s="718">
        <f t="shared" si="12"/>
        <v>100</v>
      </c>
      <c r="T32" s="717" t="s">
        <v>17</v>
      </c>
      <c r="U32" s="718">
        <f t="shared" si="13"/>
        <v>100</v>
      </c>
      <c r="V32" s="717" t="s">
        <v>17</v>
      </c>
      <c r="W32" s="718">
        <f t="shared" si="14"/>
        <v>100</v>
      </c>
      <c r="X32" s="1740"/>
      <c r="Y32" s="3309" t="s">
        <v>2436</v>
      </c>
      <c r="Z32" s="1741">
        <f t="shared" si="15"/>
        <v>111</v>
      </c>
      <c r="AA32" s="1738">
        <f t="shared" si="3"/>
        <v>1</v>
      </c>
      <c r="AB32" s="1738">
        <f t="shared" si="4"/>
        <v>1</v>
      </c>
      <c r="AC32" s="1738">
        <f t="shared" si="5"/>
        <v>1</v>
      </c>
    </row>
    <row r="33" spans="1:29" ht="15">
      <c r="A33" s="415"/>
      <c r="B33" s="2465">
        <v>111</v>
      </c>
      <c r="C33" s="375"/>
      <c r="D33" s="378">
        <v>100</v>
      </c>
      <c r="E33" s="412"/>
      <c r="F33" s="404">
        <f>SUMIF(93:93,E33,94:94)-SUMIF(93:93,C33,94:94)+100</f>
        <v>100</v>
      </c>
      <c r="G33" s="412"/>
      <c r="H33" s="378">
        <f>SUMIF(93:93,G33,94:94)-SUMIF(93:93,C33,94:94)+100</f>
        <v>100</v>
      </c>
      <c r="I33" s="412"/>
      <c r="J33" s="378">
        <f>SUMIF(93:93,I33,94:94)-SUMIF(93:93,C33,94:94)+100</f>
        <v>100</v>
      </c>
      <c r="K33" s="556"/>
      <c r="L33" s="1086"/>
      <c r="M33" s="1077"/>
      <c r="N33" s="1077"/>
      <c r="O33" s="1085"/>
      <c r="P33" s="3309"/>
      <c r="Q33" s="1737">
        <f t="shared" si="11"/>
        <v>111</v>
      </c>
      <c r="R33" s="717" t="s">
        <v>17</v>
      </c>
      <c r="S33" s="718">
        <f t="shared" si="12"/>
        <v>100</v>
      </c>
      <c r="T33" s="717" t="s">
        <v>17</v>
      </c>
      <c r="U33" s="718">
        <f t="shared" si="13"/>
        <v>100</v>
      </c>
      <c r="V33" s="717" t="s">
        <v>17</v>
      </c>
      <c r="W33" s="718">
        <f t="shared" si="14"/>
        <v>100</v>
      </c>
      <c r="X33" s="1740"/>
      <c r="Y33" s="3309"/>
      <c r="Z33" s="1741">
        <f t="shared" si="15"/>
        <v>111</v>
      </c>
      <c r="AA33" s="1738">
        <f t="shared" si="3"/>
        <v>1</v>
      </c>
      <c r="AB33" s="1738">
        <f t="shared" si="4"/>
        <v>1</v>
      </c>
      <c r="AC33" s="1738">
        <f t="shared" si="5"/>
        <v>1</v>
      </c>
    </row>
    <row r="34" spans="1:29" ht="15.75" thickBot="1">
      <c r="A34" s="421"/>
      <c r="B34" s="2467">
        <v>111</v>
      </c>
      <c r="C34" s="380"/>
      <c r="D34" s="381">
        <v>100</v>
      </c>
      <c r="E34" s="2560"/>
      <c r="F34" s="382">
        <f>SUMIF(95:95,E34,96:96)-SUMIF(95:95,C34,96:96)+100</f>
        <v>100</v>
      </c>
      <c r="G34" s="2560"/>
      <c r="H34" s="381">
        <f>SUMIF(95:95,G34,96:96)-SUMIF(95:95,C34,96:96)+100</f>
        <v>100</v>
      </c>
      <c r="I34" s="2560"/>
      <c r="J34" s="381">
        <f>SUMIF(95:95,I34,96:96)-SUMIF(95:95,C34,96:96)+100</f>
        <v>100</v>
      </c>
      <c r="K34" s="556"/>
      <c r="L34" s="1086"/>
      <c r="M34" s="1077"/>
      <c r="N34" s="1077"/>
      <c r="O34" s="1085"/>
      <c r="P34" s="3309"/>
      <c r="Q34" s="1737">
        <f t="shared" si="11"/>
        <v>111</v>
      </c>
      <c r="R34" s="717" t="s">
        <v>17</v>
      </c>
      <c r="S34" s="718">
        <f t="shared" si="12"/>
        <v>100</v>
      </c>
      <c r="T34" s="717" t="s">
        <v>17</v>
      </c>
      <c r="U34" s="718">
        <f t="shared" si="13"/>
        <v>100</v>
      </c>
      <c r="V34" s="717" t="s">
        <v>17</v>
      </c>
      <c r="W34" s="718">
        <f t="shared" si="14"/>
        <v>100</v>
      </c>
      <c r="X34" s="1740"/>
      <c r="Y34" s="3309"/>
      <c r="Z34" s="1741">
        <f t="shared" si="15"/>
        <v>111</v>
      </c>
      <c r="AA34" s="1738">
        <f t="shared" si="3"/>
        <v>1</v>
      </c>
      <c r="AB34" s="1738">
        <f t="shared" si="4"/>
        <v>1</v>
      </c>
      <c r="AC34" s="1738">
        <f t="shared" si="5"/>
        <v>1</v>
      </c>
    </row>
    <row r="35" spans="1:29" ht="15">
      <c r="A35" s="422" t="s">
        <v>2448</v>
      </c>
      <c r="B35" s="423"/>
      <c r="C35" s="1339" t="s">
        <v>1</v>
      </c>
      <c r="D35" s="1340"/>
      <c r="E35" s="1341"/>
      <c r="F35" s="1342"/>
      <c r="G35" s="1343"/>
      <c r="H35" s="1344"/>
      <c r="I35" s="1341"/>
      <c r="J35" s="1344"/>
      <c r="K35" s="726"/>
      <c r="L35" s="1089"/>
      <c r="M35" s="1090"/>
      <c r="N35" s="1077"/>
      <c r="O35" s="1090"/>
      <c r="P35" s="3291" t="str">
        <f>A35</f>
        <v>成交单价（元/平方米）</v>
      </c>
      <c r="Q35" s="3291"/>
      <c r="R35" s="3350">
        <f>E35</f>
        <v>0</v>
      </c>
      <c r="S35" s="3350"/>
      <c r="T35" s="3350">
        <f>G35</f>
        <v>0</v>
      </c>
      <c r="U35" s="3350"/>
      <c r="V35" s="3350">
        <f>I35</f>
        <v>0</v>
      </c>
      <c r="W35" s="3350"/>
      <c r="X35" s="702"/>
      <c r="Y35" s="724"/>
      <c r="Z35" s="702"/>
      <c r="AA35" s="702"/>
      <c r="AB35" s="702"/>
      <c r="AC35" s="702"/>
    </row>
    <row r="36" spans="1:29" ht="15.75" thickBot="1">
      <c r="A36" s="429" t="s">
        <v>2540</v>
      </c>
      <c r="B36" s="430"/>
      <c r="C36" s="1345" t="e">
        <f>R37</f>
        <v>#DIV/0!</v>
      </c>
      <c r="D36" s="1346"/>
      <c r="E36" s="1347" t="e">
        <f>R36</f>
        <v>#DIV/0!</v>
      </c>
      <c r="F36" s="1347"/>
      <c r="G36" s="1345" t="e">
        <f>T36</f>
        <v>#DIV/0!</v>
      </c>
      <c r="H36" s="1346"/>
      <c r="I36" s="1347" t="e">
        <f>V36</f>
        <v>#DIV/0!</v>
      </c>
      <c r="J36" s="1346"/>
      <c r="K36" s="727"/>
      <c r="L36" s="1089"/>
      <c r="M36" s="1090"/>
      <c r="N36" s="1077"/>
      <c r="O36" s="1090"/>
      <c r="P36" s="3291" t="str">
        <f>A36</f>
        <v>比较价值（元/平方米）</v>
      </c>
      <c r="Q36" s="3291"/>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702"/>
      <c r="Y36" s="702"/>
      <c r="Z36" s="702"/>
      <c r="AA36" s="702"/>
      <c r="AB36" s="702"/>
      <c r="AC36" s="702"/>
    </row>
    <row r="37" spans="1:29" ht="15.75" thickBot="1">
      <c r="A37" s="435" t="s">
        <v>2541</v>
      </c>
      <c r="B37" s="436"/>
      <c r="C37" s="1349" t="e">
        <f>R37</f>
        <v>#DIV/0!</v>
      </c>
      <c r="D37" s="1349"/>
      <c r="E37" s="1349"/>
      <c r="F37" s="1349"/>
      <c r="G37" s="1349"/>
      <c r="H37" s="1349"/>
      <c r="I37" s="1349"/>
      <c r="J37" s="1349"/>
      <c r="K37" s="728"/>
      <c r="L37" s="1089"/>
      <c r="M37" s="1090"/>
      <c r="N37" s="1090"/>
      <c r="O37" s="1090"/>
      <c r="P37" s="3311" t="str">
        <f>A37</f>
        <v>估价对象XX用房的比较价值（楼面单价，元/平方米）</v>
      </c>
      <c r="Q37" s="3312"/>
      <c r="R37" s="3349" t="e">
        <f>IF(F1="售价",ROUND(AVERAGE(R36:V36),0),ROUND(AVERAGE(R36:V36),1))</f>
        <v>#DIV/0!</v>
      </c>
      <c r="S37" s="3349"/>
      <c r="T37" s="3349"/>
      <c r="U37" s="3349"/>
      <c r="V37" s="3349"/>
      <c r="W37" s="3349"/>
      <c r="X37" s="702"/>
      <c r="Y37" s="702"/>
      <c r="Z37" s="702"/>
      <c r="AA37" s="702"/>
      <c r="AB37" s="702"/>
      <c r="AC37" s="702"/>
    </row>
    <row r="38" spans="1:29">
      <c r="A38" s="1090"/>
      <c r="B38" s="1090"/>
      <c r="C38" s="1090"/>
      <c r="D38" s="1090"/>
      <c r="E38" s="1090"/>
      <c r="F38" s="1090"/>
      <c r="G38" s="1093"/>
      <c r="H38" s="1090"/>
      <c r="I38" s="1090"/>
      <c r="J38" s="1090"/>
      <c r="K38" s="1051"/>
      <c r="L38" s="1052"/>
      <c r="M38" s="1090"/>
      <c r="N38" s="1090"/>
      <c r="O38" s="1090"/>
    </row>
    <row r="39" spans="1:29">
      <c r="A39" s="1090"/>
      <c r="B39" s="1090"/>
      <c r="C39" s="1090"/>
      <c r="D39" s="1090"/>
      <c r="E39" s="1090"/>
      <c r="F39" s="1090"/>
      <c r="G39" s="1090"/>
      <c r="H39" s="1090"/>
      <c r="I39" s="1090"/>
      <c r="J39" s="1090"/>
      <c r="K39" s="1051"/>
      <c r="L39" s="1052"/>
      <c r="M39" s="1090"/>
      <c r="N39" s="1090"/>
      <c r="O39" s="1090"/>
    </row>
    <row r="40" spans="1:29" ht="13.5" customHeight="1">
      <c r="A40" s="1090"/>
      <c r="B40" s="1090"/>
      <c r="C40" s="440" t="s">
        <v>2542</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51"/>
      <c r="L40" s="1052"/>
      <c r="M40" s="1090"/>
      <c r="N40" s="1090"/>
      <c r="O40" s="1090"/>
    </row>
    <row r="41" spans="1:29" ht="13.5" customHeight="1">
      <c r="A41" s="1090"/>
      <c r="B41" s="1090"/>
      <c r="C41" s="440" t="s">
        <v>2543</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51"/>
      <c r="L41" s="1052"/>
      <c r="M41" s="1090"/>
      <c r="N41" s="1090"/>
      <c r="O41" s="1090"/>
    </row>
    <row r="42" spans="1:29" s="445" customFormat="1" ht="13.5" customHeight="1">
      <c r="A42" s="1091"/>
      <c r="B42" s="1091"/>
      <c r="C42" s="440" t="s">
        <v>2544</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94"/>
      <c r="L42" s="1095"/>
      <c r="M42" s="1091"/>
      <c r="N42" s="1091"/>
      <c r="O42" s="1091"/>
    </row>
    <row r="43" spans="1:29" s="445" customFormat="1">
      <c r="A43" s="1091"/>
      <c r="B43" s="1092"/>
      <c r="C43" s="1096"/>
      <c r="D43" s="1091"/>
      <c r="E43" s="1091"/>
      <c r="F43" s="1091"/>
      <c r="G43" s="1091"/>
      <c r="H43" s="1091"/>
      <c r="I43" s="1091"/>
      <c r="J43" s="1091"/>
      <c r="K43" s="1094"/>
      <c r="L43" s="1095"/>
      <c r="M43" s="1091"/>
      <c r="N43" s="1091"/>
      <c r="O43" s="1091"/>
    </row>
    <row r="44" spans="1:29">
      <c r="A44" s="1090"/>
      <c r="B44" s="1092"/>
      <c r="C44" s="1096"/>
      <c r="D44" s="1090"/>
      <c r="E44" s="1090"/>
      <c r="F44" s="1090"/>
      <c r="G44" s="1090"/>
      <c r="H44" s="1090"/>
      <c r="I44" s="1090"/>
      <c r="J44" s="1090"/>
      <c r="K44" s="1051"/>
      <c r="L44" s="1052"/>
      <c r="M44" s="1090"/>
      <c r="N44" s="1090"/>
      <c r="O44" s="1090"/>
    </row>
    <row r="45" spans="1:29" ht="21.75" thickBot="1">
      <c r="A45" s="706" t="s">
        <v>2545</v>
      </c>
      <c r="B45" s="702"/>
      <c r="C45" s="707"/>
      <c r="D45" s="707"/>
      <c r="E45" s="707"/>
      <c r="F45" s="708"/>
      <c r="G45" s="708"/>
      <c r="H45" s="707"/>
      <c r="I45" s="707"/>
      <c r="J45" s="707"/>
      <c r="K45" s="709"/>
      <c r="L45" s="710"/>
      <c r="M45" s="707"/>
      <c r="N45" s="707"/>
      <c r="O45" s="707"/>
      <c r="P45" s="446"/>
      <c r="Q45" s="447"/>
    </row>
    <row r="46" spans="1:29" s="451" customFormat="1" ht="15">
      <c r="A46" s="448" t="s">
        <v>2419</v>
      </c>
      <c r="B46" s="449"/>
      <c r="C46" s="1504" t="str">
        <f>YEAR(C7)&amp;"-"&amp;MONTH(C7)</f>
        <v>2018-7</v>
      </c>
      <c r="D46" s="1505">
        <f>EDATE(C46,-1)</f>
        <v>43252</v>
      </c>
      <c r="E46" s="1505">
        <f t="shared" ref="E46:O46" si="16">EDATE(D46,-1)</f>
        <v>43221</v>
      </c>
      <c r="F46" s="1505">
        <f t="shared" si="16"/>
        <v>43191</v>
      </c>
      <c r="G46" s="1505">
        <f t="shared" si="16"/>
        <v>43160</v>
      </c>
      <c r="H46" s="1505">
        <f t="shared" si="16"/>
        <v>43132</v>
      </c>
      <c r="I46" s="1505">
        <f t="shared" si="16"/>
        <v>43101</v>
      </c>
      <c r="J46" s="1505">
        <f t="shared" si="16"/>
        <v>43070</v>
      </c>
      <c r="K46" s="1505">
        <f t="shared" si="16"/>
        <v>43040</v>
      </c>
      <c r="L46" s="1505">
        <f t="shared" si="16"/>
        <v>43009</v>
      </c>
      <c r="M46" s="1505">
        <f t="shared" si="16"/>
        <v>42979</v>
      </c>
      <c r="N46" s="1505">
        <f t="shared" si="16"/>
        <v>42948</v>
      </c>
      <c r="O46" s="1505">
        <f t="shared" si="16"/>
        <v>42917</v>
      </c>
      <c r="P46" s="450"/>
    </row>
    <row r="47" spans="1:29" s="72" customFormat="1" ht="15">
      <c r="A47" s="452"/>
      <c r="B47" s="453"/>
      <c r="C47" s="1503">
        <v>100</v>
      </c>
      <c r="D47" s="455"/>
      <c r="E47" s="455"/>
      <c r="F47" s="455"/>
      <c r="G47" s="455"/>
      <c r="H47" s="455"/>
      <c r="I47" s="455"/>
      <c r="J47" s="455"/>
      <c r="K47" s="455"/>
      <c r="L47" s="455"/>
      <c r="M47" s="456"/>
      <c r="N47" s="455"/>
      <c r="O47" s="457"/>
      <c r="P47" s="447"/>
    </row>
    <row r="48" spans="1:29" s="72" customFormat="1" ht="15.75" thickBot="1">
      <c r="A48" s="458" t="s">
        <v>2456</v>
      </c>
      <c r="B48" s="459"/>
      <c r="C48" s="460"/>
      <c r="D48" s="461"/>
      <c r="E48" s="461"/>
      <c r="F48" s="461"/>
      <c r="G48" s="461"/>
      <c r="H48" s="461"/>
      <c r="I48" s="461"/>
      <c r="J48" s="461"/>
      <c r="K48" s="461"/>
      <c r="L48" s="461"/>
      <c r="M48" s="462"/>
      <c r="N48" s="461"/>
      <c r="O48" s="463"/>
      <c r="P48" s="447"/>
      <c r="Q48" s="447"/>
    </row>
    <row r="49" spans="1:17" s="72" customFormat="1" ht="15">
      <c r="A49" s="464" t="s">
        <v>2421</v>
      </c>
      <c r="B49" s="453"/>
      <c r="C49" s="465" t="s">
        <v>2523</v>
      </c>
      <c r="D49" s="466"/>
      <c r="E49" s="466"/>
      <c r="F49" s="466"/>
      <c r="G49" s="466"/>
      <c r="H49" s="466"/>
      <c r="I49" s="466"/>
      <c r="J49" s="466"/>
      <c r="K49" s="466"/>
      <c r="L49" s="467"/>
      <c r="M49" s="468"/>
      <c r="N49" s="1097"/>
      <c r="O49" s="1097"/>
      <c r="P49" s="469"/>
      <c r="Q49" s="447"/>
    </row>
    <row r="50" spans="1:17" s="72" customFormat="1" ht="15.75" thickBot="1">
      <c r="A50" s="464"/>
      <c r="B50" s="453"/>
      <c r="C50" s="582">
        <v>100</v>
      </c>
      <c r="D50" s="455"/>
      <c r="E50" s="455"/>
      <c r="F50" s="455"/>
      <c r="G50" s="455"/>
      <c r="H50" s="455"/>
      <c r="I50" s="455"/>
      <c r="J50" s="455"/>
      <c r="K50" s="455"/>
      <c r="L50" s="455"/>
      <c r="M50" s="457"/>
      <c r="N50" s="1097"/>
      <c r="O50" s="1097"/>
      <c r="P50" s="447"/>
      <c r="Q50" s="447"/>
    </row>
    <row r="51" spans="1:17">
      <c r="A51" s="470" t="s">
        <v>2459</v>
      </c>
      <c r="B51" s="471" t="s">
        <v>2425</v>
      </c>
      <c r="C51" s="472">
        <f>C9</f>
        <v>0</v>
      </c>
      <c r="D51" s="473"/>
      <c r="E51" s="473"/>
      <c r="F51" s="473"/>
      <c r="G51" s="473"/>
      <c r="H51" s="473"/>
      <c r="I51" s="473"/>
      <c r="J51" s="473"/>
      <c r="K51" s="474"/>
      <c r="L51" s="475"/>
      <c r="M51" s="476"/>
      <c r="N51" s="1098"/>
      <c r="O51" s="1098"/>
      <c r="P51" s="45"/>
      <c r="Q51" s="447"/>
    </row>
    <row r="52" spans="1:17" ht="15.75" thickBot="1">
      <c r="A52" s="477"/>
      <c r="B52" s="478"/>
      <c r="C52" s="479">
        <v>100</v>
      </c>
      <c r="D52" s="479"/>
      <c r="E52" s="479"/>
      <c r="F52" s="479"/>
      <c r="G52" s="479"/>
      <c r="H52" s="479"/>
      <c r="I52" s="479"/>
      <c r="J52" s="479"/>
      <c r="K52" s="479"/>
      <c r="L52" s="479"/>
      <c r="M52" s="480"/>
      <c r="N52" s="1099"/>
      <c r="O52" s="1099"/>
      <c r="P52" s="45"/>
      <c r="Q52" s="447"/>
    </row>
    <row r="53" spans="1:17" ht="27.75" thickTop="1">
      <c r="A53" s="477"/>
      <c r="B53" s="481" t="s">
        <v>2428</v>
      </c>
      <c r="C53" s="482" t="s">
        <v>2460</v>
      </c>
      <c r="D53" s="482" t="s">
        <v>2461</v>
      </c>
      <c r="E53" s="482" t="s">
        <v>2462</v>
      </c>
      <c r="F53" s="482" t="s">
        <v>2463</v>
      </c>
      <c r="G53" s="482" t="s">
        <v>2464</v>
      </c>
      <c r="H53" s="482" t="s">
        <v>2465</v>
      </c>
      <c r="I53" s="482" t="s">
        <v>2466</v>
      </c>
      <c r="J53" s="482"/>
      <c r="K53" s="483"/>
      <c r="L53" s="484"/>
      <c r="M53" s="485"/>
      <c r="N53" s="1098"/>
      <c r="O53" s="1098"/>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9"/>
      <c r="O54" s="1099"/>
      <c r="P54" s="45"/>
      <c r="Q54" s="447"/>
    </row>
    <row r="55" spans="1:17" ht="15.75" thickTop="1">
      <c r="A55" s="477"/>
      <c r="B55" s="603">
        <f>B11</f>
        <v>111</v>
      </c>
      <c r="C55" s="492"/>
      <c r="D55" s="492"/>
      <c r="E55" s="492"/>
      <c r="F55" s="492"/>
      <c r="G55" s="492"/>
      <c r="H55" s="492"/>
      <c r="I55" s="492"/>
      <c r="J55" s="492"/>
      <c r="K55" s="493"/>
      <c r="L55" s="494"/>
      <c r="M55" s="495"/>
      <c r="N55" s="1098"/>
      <c r="O55" s="1098"/>
      <c r="P55" s="45"/>
      <c r="Q55" s="447"/>
    </row>
    <row r="56" spans="1:17" ht="15.75" thickBot="1">
      <c r="A56" s="477"/>
      <c r="B56" s="478"/>
      <c r="C56" s="503"/>
      <c r="D56" s="479"/>
      <c r="E56" s="479"/>
      <c r="F56" s="479"/>
      <c r="G56" s="479"/>
      <c r="H56" s="479"/>
      <c r="I56" s="479"/>
      <c r="J56" s="479"/>
      <c r="K56" s="479"/>
      <c r="L56" s="479"/>
      <c r="M56" s="480"/>
      <c r="N56" s="1099"/>
      <c r="O56" s="1099"/>
      <c r="P56" s="45"/>
      <c r="Q56" s="447"/>
    </row>
    <row r="57" spans="1:17" s="414" customFormat="1" ht="15.75" thickTop="1">
      <c r="A57" s="496"/>
      <c r="B57" s="481">
        <f>B12</f>
        <v>111</v>
      </c>
      <c r="C57" s="492"/>
      <c r="D57" s="492"/>
      <c r="E57" s="492"/>
      <c r="F57" s="492"/>
      <c r="G57" s="497"/>
      <c r="H57" s="498"/>
      <c r="I57" s="498"/>
      <c r="J57" s="498"/>
      <c r="K57" s="498"/>
      <c r="L57" s="499"/>
      <c r="M57" s="500"/>
      <c r="N57" s="1100"/>
      <c r="O57" s="1100"/>
      <c r="P57" s="501"/>
      <c r="Q57" s="502"/>
    </row>
    <row r="58" spans="1:17" s="414" customFormat="1" ht="15.75" thickBot="1">
      <c r="A58" s="496"/>
      <c r="B58" s="486"/>
      <c r="C58" s="503"/>
      <c r="D58" s="479"/>
      <c r="E58" s="479"/>
      <c r="F58" s="479"/>
      <c r="G58" s="479"/>
      <c r="H58" s="479"/>
      <c r="I58" s="479"/>
      <c r="J58" s="479"/>
      <c r="K58" s="479"/>
      <c r="L58" s="479"/>
      <c r="M58" s="480"/>
      <c r="N58" s="1099"/>
      <c r="O58" s="1099"/>
      <c r="P58" s="501"/>
      <c r="Q58" s="502"/>
    </row>
    <row r="59" spans="1:17" s="414" customFormat="1" ht="15.75" thickTop="1">
      <c r="A59" s="496"/>
      <c r="B59" s="481">
        <f>B13</f>
        <v>111</v>
      </c>
      <c r="C59" s="492"/>
      <c r="D59" s="492"/>
      <c r="E59" s="492"/>
      <c r="F59" s="492"/>
      <c r="G59" s="497"/>
      <c r="H59" s="498"/>
      <c r="I59" s="498"/>
      <c r="J59" s="498"/>
      <c r="K59" s="498"/>
      <c r="L59" s="499"/>
      <c r="M59" s="500"/>
      <c r="N59" s="1100"/>
      <c r="O59" s="1100"/>
      <c r="P59" s="413"/>
      <c r="Q59" s="504"/>
    </row>
    <row r="60" spans="1:17" s="414" customFormat="1" ht="15.75" thickBot="1">
      <c r="A60" s="496"/>
      <c r="B60" s="486"/>
      <c r="C60" s="503"/>
      <c r="D60" s="503"/>
      <c r="E60" s="503"/>
      <c r="F60" s="503"/>
      <c r="G60" s="503"/>
      <c r="H60" s="505"/>
      <c r="I60" s="505"/>
      <c r="J60" s="505"/>
      <c r="K60" s="505"/>
      <c r="L60" s="505"/>
      <c r="M60" s="506"/>
      <c r="N60" s="1100"/>
      <c r="O60" s="1100"/>
      <c r="P60" s="501"/>
      <c r="Q60" s="502"/>
    </row>
    <row r="61" spans="1:17" ht="15" thickTop="1">
      <c r="A61" s="470" t="s">
        <v>2430</v>
      </c>
      <c r="B61" s="471" t="s">
        <v>2473</v>
      </c>
      <c r="C61" s="516" t="s">
        <v>2468</v>
      </c>
      <c r="D61" s="516" t="s">
        <v>2469</v>
      </c>
      <c r="E61" s="516" t="s">
        <v>2470</v>
      </c>
      <c r="F61" s="516" t="s">
        <v>2471</v>
      </c>
      <c r="G61" s="516" t="s">
        <v>2472</v>
      </c>
      <c r="H61" s="472"/>
      <c r="I61" s="472"/>
      <c r="J61" s="472"/>
      <c r="K61" s="517"/>
      <c r="L61" s="518"/>
      <c r="M61" s="519"/>
      <c r="N61" s="1098"/>
      <c r="O61" s="1098"/>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9"/>
      <c r="O62" s="1099"/>
      <c r="P62" s="45"/>
      <c r="Q62" s="447"/>
    </row>
    <row r="63" spans="1:17" ht="27.75" thickTop="1">
      <c r="A63" s="477"/>
      <c r="B63" s="481" t="s">
        <v>2611</v>
      </c>
      <c r="C63" s="521" t="s">
        <v>2468</v>
      </c>
      <c r="D63" s="521" t="s">
        <v>2469</v>
      </c>
      <c r="E63" s="521" t="s">
        <v>2470</v>
      </c>
      <c r="F63" s="521" t="s">
        <v>2471</v>
      </c>
      <c r="G63" s="521" t="s">
        <v>2472</v>
      </c>
      <c r="H63" s="482"/>
      <c r="I63" s="482"/>
      <c r="J63" s="482"/>
      <c r="K63" s="483"/>
      <c r="L63" s="484"/>
      <c r="M63" s="485"/>
      <c r="N63" s="1098"/>
      <c r="O63" s="1098"/>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9"/>
      <c r="O64" s="1099"/>
      <c r="P64" s="45"/>
      <c r="Q64" s="447"/>
    </row>
    <row r="65" spans="1:17" ht="15.75" thickTop="1">
      <c r="A65" s="477"/>
      <c r="B65" s="489" t="s">
        <v>2560</v>
      </c>
      <c r="C65" s="603" t="s">
        <v>2546</v>
      </c>
      <c r="D65" s="603" t="s">
        <v>2547</v>
      </c>
      <c r="E65" s="603" t="s">
        <v>2548</v>
      </c>
      <c r="F65" s="603" t="s">
        <v>2549</v>
      </c>
      <c r="G65" s="603" t="s">
        <v>2550</v>
      </c>
      <c r="H65" s="482"/>
      <c r="I65" s="482"/>
      <c r="J65" s="482"/>
      <c r="K65" s="482"/>
      <c r="L65" s="482"/>
      <c r="M65" s="1314"/>
      <c r="N65" s="1099"/>
      <c r="O65" s="1099"/>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9"/>
      <c r="O66" s="1099"/>
      <c r="P66" s="45"/>
      <c r="Q66" s="447"/>
    </row>
    <row r="67" spans="1:17" ht="15.75" thickTop="1">
      <c r="A67" s="477"/>
      <c r="B67" s="481" t="s">
        <v>2480</v>
      </c>
      <c r="C67" s="521" t="s">
        <v>2468</v>
      </c>
      <c r="D67" s="521" t="s">
        <v>2469</v>
      </c>
      <c r="E67" s="521" t="s">
        <v>2470</v>
      </c>
      <c r="F67" s="521" t="s">
        <v>2471</v>
      </c>
      <c r="G67" s="521" t="s">
        <v>2472</v>
      </c>
      <c r="H67" s="482"/>
      <c r="I67" s="482"/>
      <c r="J67" s="482"/>
      <c r="K67" s="483"/>
      <c r="L67" s="484"/>
      <c r="M67" s="485"/>
      <c r="N67" s="1098"/>
      <c r="O67" s="1098"/>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9"/>
      <c r="O68" s="1099"/>
      <c r="P68" s="45"/>
      <c r="Q68" s="447"/>
    </row>
    <row r="69" spans="1:17" ht="15.75" thickTop="1">
      <c r="A69" s="477"/>
      <c r="B69" s="481" t="s">
        <v>2600</v>
      </c>
      <c r="C69" s="497"/>
      <c r="D69" s="497"/>
      <c r="E69" s="497"/>
      <c r="F69" s="497"/>
      <c r="G69" s="497"/>
      <c r="H69" s="526"/>
      <c r="I69" s="526"/>
      <c r="J69" s="526"/>
      <c r="K69" s="527"/>
      <c r="L69" s="528"/>
      <c r="M69" s="529"/>
      <c r="N69" s="1098"/>
      <c r="O69" s="1098"/>
      <c r="P69" s="45"/>
      <c r="Q69" s="447"/>
    </row>
    <row r="70" spans="1:17" ht="15.75" thickBot="1">
      <c r="A70" s="477"/>
      <c r="B70" s="486"/>
      <c r="C70" s="487">
        <v>100</v>
      </c>
      <c r="D70" s="487">
        <f>C70-$K22</f>
        <v>100</v>
      </c>
      <c r="E70" s="487"/>
      <c r="F70" s="487"/>
      <c r="G70" s="487"/>
      <c r="H70" s="487"/>
      <c r="I70" s="487"/>
      <c r="J70" s="487"/>
      <c r="K70" s="487"/>
      <c r="L70" s="487"/>
      <c r="M70" s="488"/>
      <c r="N70" s="1099"/>
      <c r="O70" s="1099"/>
      <c r="P70" s="45"/>
      <c r="Q70" s="447"/>
    </row>
    <row r="71" spans="1:17" s="72" customFormat="1" ht="15.75" thickTop="1">
      <c r="A71" s="522"/>
      <c r="B71" s="481">
        <f>B23</f>
        <v>111</v>
      </c>
      <c r="C71" s="492"/>
      <c r="D71" s="492"/>
      <c r="E71" s="492"/>
      <c r="F71" s="492"/>
      <c r="G71" s="497"/>
      <c r="H71" s="497"/>
      <c r="I71" s="497"/>
      <c r="J71" s="497"/>
      <c r="K71" s="497"/>
      <c r="L71" s="523"/>
      <c r="M71" s="524"/>
      <c r="N71" s="1097"/>
      <c r="O71" s="1097"/>
      <c r="P71" s="45"/>
      <c r="Q71" s="447"/>
    </row>
    <row r="72" spans="1:17" s="72" customFormat="1" ht="15.75" thickBot="1">
      <c r="A72" s="522"/>
      <c r="B72" s="486"/>
      <c r="C72" s="503"/>
      <c r="D72" s="479"/>
      <c r="E72" s="479"/>
      <c r="F72" s="479"/>
      <c r="G72" s="479"/>
      <c r="H72" s="479"/>
      <c r="I72" s="479"/>
      <c r="J72" s="479"/>
      <c r="K72" s="479"/>
      <c r="L72" s="479"/>
      <c r="M72" s="480"/>
      <c r="N72" s="1099"/>
      <c r="O72" s="1099"/>
      <c r="P72" s="45"/>
      <c r="Q72" s="447"/>
    </row>
    <row r="73" spans="1:17" s="72" customFormat="1" ht="15.75" thickTop="1">
      <c r="A73" s="522"/>
      <c r="B73" s="481">
        <f>B24</f>
        <v>111</v>
      </c>
      <c r="C73" s="492"/>
      <c r="D73" s="492"/>
      <c r="E73" s="492"/>
      <c r="F73" s="492"/>
      <c r="G73" s="497"/>
      <c r="H73" s="497"/>
      <c r="I73" s="497"/>
      <c r="J73" s="497"/>
      <c r="K73" s="497"/>
      <c r="L73" s="497"/>
      <c r="M73" s="524"/>
      <c r="N73" s="1097"/>
      <c r="O73" s="1097"/>
      <c r="P73" s="45"/>
      <c r="Q73" s="447"/>
    </row>
    <row r="74" spans="1:17" s="72" customFormat="1" ht="15.75" thickBot="1">
      <c r="A74" s="522"/>
      <c r="B74" s="486"/>
      <c r="C74" s="503"/>
      <c r="D74" s="479"/>
      <c r="E74" s="479"/>
      <c r="F74" s="479"/>
      <c r="G74" s="479"/>
      <c r="H74" s="479"/>
      <c r="I74" s="479"/>
      <c r="J74" s="479"/>
      <c r="K74" s="479"/>
      <c r="L74" s="479"/>
      <c r="M74" s="480"/>
      <c r="N74" s="1099"/>
      <c r="O74" s="1099"/>
      <c r="P74" s="45"/>
      <c r="Q74" s="447"/>
    </row>
    <row r="75" spans="1:17" s="414" customFormat="1" ht="15.75" thickTop="1">
      <c r="A75" s="496"/>
      <c r="B75" s="481">
        <f>B25</f>
        <v>111</v>
      </c>
      <c r="C75" s="492"/>
      <c r="D75" s="492"/>
      <c r="E75" s="492"/>
      <c r="F75" s="492"/>
      <c r="G75" s="497"/>
      <c r="H75" s="498"/>
      <c r="I75" s="498"/>
      <c r="J75" s="498"/>
      <c r="K75" s="498"/>
      <c r="L75" s="499"/>
      <c r="M75" s="500"/>
      <c r="N75" s="1100"/>
      <c r="O75" s="1100"/>
      <c r="P75" s="501"/>
      <c r="Q75" s="502"/>
    </row>
    <row r="76" spans="1:17" s="414" customFormat="1" ht="15.75" thickBot="1">
      <c r="A76" s="496"/>
      <c r="B76" s="486"/>
      <c r="C76" s="503"/>
      <c r="D76" s="503"/>
      <c r="E76" s="503"/>
      <c r="F76" s="503"/>
      <c r="G76" s="479"/>
      <c r="H76" s="479"/>
      <c r="I76" s="479"/>
      <c r="J76" s="479"/>
      <c r="K76" s="479"/>
      <c r="L76" s="479"/>
      <c r="M76" s="480"/>
      <c r="N76" s="1100"/>
      <c r="O76" s="1100"/>
      <c r="P76" s="501"/>
      <c r="Q76" s="502"/>
    </row>
    <row r="77" spans="1:17" ht="15" thickTop="1">
      <c r="A77" s="470" t="s">
        <v>2434</v>
      </c>
      <c r="B77" s="471" t="s">
        <v>2487</v>
      </c>
      <c r="C77" s="497"/>
      <c r="D77" s="497"/>
      <c r="E77" s="473"/>
      <c r="F77" s="473"/>
      <c r="G77" s="473"/>
      <c r="H77" s="473"/>
      <c r="I77" s="473"/>
      <c r="J77" s="473"/>
      <c r="K77" s="474"/>
      <c r="L77" s="475"/>
      <c r="M77" s="476"/>
      <c r="N77" s="1098"/>
      <c r="O77" s="1098"/>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9"/>
      <c r="O78" s="1099"/>
      <c r="P78" s="45"/>
      <c r="Q78" s="447"/>
    </row>
    <row r="79" spans="1:17" ht="15.75" thickTop="1">
      <c r="A79" s="477"/>
      <c r="B79" s="481" t="s">
        <v>2603</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7"/>
      <c r="O79" s="1097"/>
      <c r="P79" s="45"/>
      <c r="Q79" s="447"/>
    </row>
    <row r="80" spans="1:17" ht="15">
      <c r="A80" s="477"/>
      <c r="B80" s="489"/>
      <c r="C80" s="546">
        <v>0.5</v>
      </c>
      <c r="D80" s="546">
        <v>0.6</v>
      </c>
      <c r="E80" s="546">
        <v>0.7</v>
      </c>
      <c r="F80" s="546">
        <v>0.8</v>
      </c>
      <c r="G80" s="546">
        <v>0.9</v>
      </c>
      <c r="H80" s="546">
        <v>1.0001</v>
      </c>
      <c r="I80" s="603"/>
      <c r="J80" s="603"/>
      <c r="K80" s="611"/>
      <c r="L80" s="612"/>
      <c r="M80" s="613"/>
      <c r="N80" s="1097"/>
      <c r="O80" s="1097"/>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9"/>
      <c r="O81" s="1099"/>
      <c r="P81" s="501"/>
      <c r="Q81" s="502"/>
    </row>
    <row r="82" spans="1:17" ht="15" thickTop="1">
      <c r="A82" s="542"/>
      <c r="B82" s="489" t="s">
        <v>2604</v>
      </c>
      <c r="C82" s="497"/>
      <c r="D82" s="497"/>
      <c r="E82" s="526"/>
      <c r="F82" s="526"/>
      <c r="G82" s="526"/>
      <c r="H82" s="526"/>
      <c r="I82" s="526"/>
      <c r="J82" s="526"/>
      <c r="K82" s="527"/>
      <c r="L82" s="528"/>
      <c r="M82" s="529"/>
      <c r="N82" s="1098"/>
      <c r="O82" s="1098"/>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9"/>
      <c r="O83" s="1099"/>
      <c r="P83" s="45"/>
      <c r="Q83" s="447"/>
    </row>
    <row r="84" spans="1:17" ht="15" thickTop="1">
      <c r="A84" s="542"/>
      <c r="B84" s="481" t="s">
        <v>2612</v>
      </c>
      <c r="C84" s="497"/>
      <c r="D84" s="497"/>
      <c r="E84" s="497"/>
      <c r="F84" s="497"/>
      <c r="G84" s="497"/>
      <c r="H84" s="497"/>
      <c r="I84" s="526"/>
      <c r="J84" s="526"/>
      <c r="K84" s="527"/>
      <c r="L84" s="528"/>
      <c r="M84" s="529"/>
      <c r="N84" s="1098"/>
      <c r="O84" s="1098"/>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9"/>
      <c r="O85" s="1099"/>
      <c r="P85" s="45"/>
      <c r="Q85" s="447"/>
    </row>
    <row r="86" spans="1:17" ht="15" thickTop="1">
      <c r="A86" s="542"/>
      <c r="B86" s="489" t="s">
        <v>2613</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8"/>
      <c r="O86" s="1098"/>
      <c r="P86" s="45"/>
      <c r="Q86" s="447"/>
    </row>
    <row r="87" spans="1:17">
      <c r="A87" s="542"/>
      <c r="B87" s="489"/>
      <c r="C87" s="538"/>
      <c r="D87" s="538"/>
      <c r="E87" s="538"/>
      <c r="F87" s="538"/>
      <c r="G87" s="538"/>
      <c r="H87" s="538"/>
      <c r="I87" s="538"/>
      <c r="J87" s="539"/>
      <c r="K87" s="539"/>
      <c r="L87" s="540"/>
      <c r="M87" s="541"/>
      <c r="N87" s="1098"/>
      <c r="O87" s="1098"/>
      <c r="P87" s="45"/>
      <c r="Q87" s="447"/>
    </row>
    <row r="88" spans="1:17" ht="15.75" thickBot="1">
      <c r="A88" s="477"/>
      <c r="B88" s="486"/>
      <c r="C88" s="503"/>
      <c r="D88" s="479"/>
      <c r="E88" s="479"/>
      <c r="F88" s="479"/>
      <c r="G88" s="479"/>
      <c r="H88" s="479"/>
      <c r="I88" s="479"/>
      <c r="J88" s="479"/>
      <c r="K88" s="479"/>
      <c r="L88" s="479"/>
      <c r="M88" s="479"/>
      <c r="N88" s="1099"/>
      <c r="O88" s="1099"/>
      <c r="P88" s="45"/>
      <c r="Q88" s="447"/>
    </row>
    <row r="89" spans="1:17" s="414" customFormat="1" ht="15" thickTop="1">
      <c r="A89" s="536"/>
      <c r="B89" s="481" t="s">
        <v>2614</v>
      </c>
      <c r="C89" s="497"/>
      <c r="D89" s="497"/>
      <c r="E89" s="497"/>
      <c r="F89" s="497"/>
      <c r="G89" s="497"/>
      <c r="H89" s="497"/>
      <c r="I89" s="497"/>
      <c r="J89" s="497"/>
      <c r="K89" s="497"/>
      <c r="L89" s="497"/>
      <c r="M89" s="524"/>
      <c r="N89" s="1100"/>
      <c r="O89" s="1100"/>
      <c r="P89" s="501"/>
      <c r="Q89" s="502"/>
    </row>
    <row r="90" spans="1:17" s="414" customFormat="1" ht="15.75" thickBot="1">
      <c r="A90" s="496"/>
      <c r="B90" s="486"/>
      <c r="C90" s="503"/>
      <c r="D90" s="479"/>
      <c r="E90" s="479"/>
      <c r="F90" s="479"/>
      <c r="G90" s="479"/>
      <c r="H90" s="479"/>
      <c r="I90" s="479"/>
      <c r="J90" s="479"/>
      <c r="K90" s="479"/>
      <c r="L90" s="479"/>
      <c r="M90" s="480"/>
      <c r="N90" s="1100"/>
      <c r="O90" s="1100"/>
      <c r="P90" s="501"/>
      <c r="Q90" s="502"/>
    </row>
    <row r="91" spans="1:17" ht="15" thickTop="1">
      <c r="A91" s="542"/>
      <c r="B91" s="481">
        <f>B32</f>
        <v>111</v>
      </c>
      <c r="C91" s="492"/>
      <c r="D91" s="492"/>
      <c r="E91" s="492"/>
      <c r="F91" s="492"/>
      <c r="G91" s="497"/>
      <c r="H91" s="498"/>
      <c r="I91" s="498"/>
      <c r="J91" s="498"/>
      <c r="K91" s="498"/>
      <c r="L91" s="499"/>
      <c r="M91" s="500"/>
      <c r="N91" s="1098"/>
      <c r="O91" s="1098"/>
      <c r="P91" s="45"/>
      <c r="Q91" s="447"/>
    </row>
    <row r="92" spans="1:17" ht="15.75" thickBot="1">
      <c r="A92" s="477"/>
      <c r="B92" s="486"/>
      <c r="C92" s="503"/>
      <c r="D92" s="479"/>
      <c r="E92" s="479"/>
      <c r="F92" s="479"/>
      <c r="G92" s="503"/>
      <c r="H92" s="505"/>
      <c r="I92" s="505"/>
      <c r="J92" s="505"/>
      <c r="K92" s="505"/>
      <c r="L92" s="505"/>
      <c r="M92" s="506"/>
      <c r="N92" s="1099"/>
      <c r="O92" s="1099"/>
      <c r="P92" s="45"/>
      <c r="Q92" s="447"/>
    </row>
    <row r="93" spans="1:17" ht="15" thickTop="1">
      <c r="A93" s="542"/>
      <c r="B93" s="481">
        <f>B33</f>
        <v>111</v>
      </c>
      <c r="C93" s="492"/>
      <c r="D93" s="492"/>
      <c r="E93" s="492"/>
      <c r="F93" s="492"/>
      <c r="G93" s="497"/>
      <c r="H93" s="498"/>
      <c r="I93" s="498"/>
      <c r="J93" s="498"/>
      <c r="K93" s="498"/>
      <c r="L93" s="499"/>
      <c r="M93" s="500"/>
      <c r="N93" s="1098"/>
      <c r="O93" s="1098"/>
      <c r="P93" s="45"/>
      <c r="Q93" s="447"/>
    </row>
    <row r="94" spans="1:17" ht="15.75" thickBot="1">
      <c r="A94" s="477"/>
      <c r="B94" s="486"/>
      <c r="C94" s="503"/>
      <c r="D94" s="479"/>
      <c r="E94" s="479"/>
      <c r="F94" s="479"/>
      <c r="G94" s="503"/>
      <c r="H94" s="505"/>
      <c r="I94" s="505"/>
      <c r="J94" s="505"/>
      <c r="K94" s="505"/>
      <c r="L94" s="505"/>
      <c r="M94" s="506"/>
      <c r="N94" s="1099"/>
      <c r="O94" s="1099"/>
      <c r="P94" s="45"/>
      <c r="Q94" s="447"/>
    </row>
    <row r="95" spans="1:17" ht="15" thickTop="1">
      <c r="A95" s="542"/>
      <c r="B95" s="579">
        <f>B34</f>
        <v>111</v>
      </c>
      <c r="C95" s="492"/>
      <c r="D95" s="492"/>
      <c r="E95" s="492"/>
      <c r="F95" s="492"/>
      <c r="G95" s="497"/>
      <c r="H95" s="498"/>
      <c r="I95" s="498"/>
      <c r="J95" s="498"/>
      <c r="K95" s="498"/>
      <c r="L95" s="499"/>
      <c r="M95" s="500"/>
      <c r="N95" s="1099"/>
      <c r="O95" s="1099"/>
      <c r="P95" s="580"/>
      <c r="Q95" s="581"/>
    </row>
    <row r="96" spans="1:17" ht="15.75" thickBot="1">
      <c r="A96" s="477"/>
      <c r="B96" s="486"/>
      <c r="C96" s="503"/>
      <c r="D96" s="503"/>
      <c r="E96" s="503"/>
      <c r="F96" s="503"/>
      <c r="G96" s="503"/>
      <c r="H96" s="505"/>
      <c r="I96" s="505"/>
      <c r="J96" s="505"/>
      <c r="K96" s="505"/>
      <c r="L96" s="505"/>
      <c r="M96" s="506"/>
      <c r="N96" s="1099"/>
      <c r="O96" s="1099"/>
      <c r="P96" s="45"/>
      <c r="Q96" s="447"/>
    </row>
    <row r="97" spans="1:20" ht="15" thickTop="1"/>
    <row r="98" spans="1:20">
      <c r="A98" s="1101"/>
      <c r="B98" s="1101"/>
      <c r="C98" s="1101"/>
      <c r="D98" s="1101"/>
      <c r="E98" s="1101"/>
      <c r="F98" s="1101"/>
      <c r="G98" s="1101"/>
      <c r="H98" s="1101"/>
      <c r="I98" s="1101"/>
      <c r="J98" s="1101"/>
      <c r="K98" s="1102"/>
      <c r="L98" s="1103"/>
      <c r="M98" s="1101"/>
      <c r="N98" s="1101"/>
      <c r="O98" s="1101"/>
      <c r="P98" s="1101"/>
      <c r="Q98" s="1101"/>
      <c r="R98" s="1101"/>
      <c r="S98" s="1101"/>
      <c r="T98" s="1101"/>
    </row>
    <row r="99" spans="1:20">
      <c r="A99" s="1101"/>
      <c r="B99" s="1101"/>
      <c r="C99" s="1101"/>
      <c r="D99" s="1101"/>
      <c r="E99" s="1101"/>
      <c r="F99" s="1101"/>
      <c r="G99" s="1101"/>
      <c r="H99" s="1101"/>
      <c r="I99" s="1101"/>
      <c r="J99" s="1101"/>
      <c r="K99" s="1102"/>
      <c r="L99" s="1103"/>
      <c r="M99" s="1101"/>
      <c r="N99" s="1101"/>
      <c r="O99" s="1101"/>
      <c r="P99" s="1101"/>
      <c r="Q99" s="1101"/>
      <c r="R99" s="1101"/>
      <c r="S99" s="1101"/>
      <c r="T99" s="1101"/>
    </row>
    <row r="100" spans="1:20">
      <c r="A100" s="1101"/>
      <c r="B100" s="1101"/>
      <c r="C100" s="1101"/>
      <c r="D100" s="1101"/>
      <c r="E100" s="1101"/>
      <c r="F100" s="1101"/>
      <c r="G100" s="1101"/>
      <c r="H100" s="1101"/>
      <c r="I100" s="1101"/>
      <c r="J100" s="1101"/>
      <c r="K100" s="1102"/>
      <c r="L100" s="1103"/>
      <c r="M100" s="1101"/>
      <c r="N100" s="1101"/>
      <c r="O100" s="1101"/>
      <c r="P100" s="1101"/>
      <c r="Q100" s="1101"/>
      <c r="R100" s="1101"/>
      <c r="S100" s="1101"/>
      <c r="T100" s="1101"/>
    </row>
    <row r="101" spans="1:20">
      <c r="A101" s="1101"/>
      <c r="B101" s="1101"/>
      <c r="C101" s="1101"/>
      <c r="D101" s="1101"/>
      <c r="E101" s="1101"/>
      <c r="F101" s="1101"/>
      <c r="G101" s="1101"/>
      <c r="H101" s="1101"/>
      <c r="I101" s="1101"/>
      <c r="J101" s="1101"/>
      <c r="K101" s="1102"/>
      <c r="L101" s="1103"/>
      <c r="M101" s="1101"/>
      <c r="N101" s="1101"/>
      <c r="O101" s="1101"/>
      <c r="P101" s="1101"/>
      <c r="Q101" s="1101"/>
      <c r="R101" s="1101"/>
      <c r="S101" s="1101"/>
      <c r="T101" s="1101"/>
    </row>
    <row r="102" spans="1:20">
      <c r="A102" s="1101"/>
      <c r="B102" s="1101"/>
      <c r="C102" s="1101"/>
      <c r="D102" s="1101"/>
      <c r="E102" s="1101"/>
      <c r="F102" s="1101"/>
      <c r="G102" s="1101"/>
      <c r="H102" s="1101"/>
      <c r="I102" s="1101"/>
      <c r="J102" s="1101"/>
      <c r="K102" s="1102"/>
      <c r="L102" s="1103"/>
      <c r="M102" s="1101"/>
      <c r="N102" s="1101"/>
      <c r="O102" s="1101"/>
      <c r="P102" s="1101"/>
      <c r="Q102" s="1101"/>
      <c r="R102" s="1101"/>
      <c r="S102" s="1101"/>
      <c r="T102" s="1101"/>
    </row>
    <row r="103" spans="1:20">
      <c r="A103" s="1101"/>
      <c r="B103" s="1101"/>
      <c r="C103" s="1101"/>
      <c r="D103" s="1101"/>
      <c r="E103" s="1101"/>
      <c r="F103" s="1101"/>
      <c r="G103" s="1101"/>
      <c r="H103" s="1101"/>
      <c r="I103" s="1101"/>
      <c r="J103" s="1101"/>
      <c r="K103" s="1102"/>
      <c r="L103" s="1103"/>
      <c r="M103" s="1101"/>
      <c r="N103" s="1101"/>
      <c r="O103" s="1101"/>
      <c r="P103" s="1101"/>
      <c r="Q103" s="1101"/>
      <c r="R103" s="1101"/>
      <c r="S103" s="1101"/>
      <c r="T103" s="1101"/>
    </row>
    <row r="104" spans="1:20">
      <c r="A104" s="1101"/>
      <c r="B104" s="1101"/>
      <c r="C104" s="1101"/>
      <c r="D104" s="1101"/>
      <c r="E104" s="1101"/>
      <c r="F104" s="1101"/>
      <c r="G104" s="1101"/>
      <c r="H104" s="1101"/>
      <c r="I104" s="1101"/>
      <c r="J104" s="1101"/>
      <c r="K104" s="1102"/>
      <c r="L104" s="1103"/>
      <c r="M104" s="1101"/>
      <c r="N104" s="1101"/>
      <c r="O104" s="1101"/>
      <c r="P104" s="1101"/>
      <c r="Q104" s="1101"/>
      <c r="R104" s="1101"/>
      <c r="S104" s="1101"/>
      <c r="T104" s="1101"/>
    </row>
    <row r="105" spans="1:20">
      <c r="A105" s="1101"/>
      <c r="B105" s="1101"/>
      <c r="C105" s="1101"/>
      <c r="D105" s="1101"/>
      <c r="E105" s="1101"/>
      <c r="F105" s="1101"/>
      <c r="G105" s="1101"/>
      <c r="H105" s="1101"/>
      <c r="I105" s="1101"/>
      <c r="J105" s="1101"/>
      <c r="K105" s="1102"/>
      <c r="L105" s="1103"/>
      <c r="M105" s="1101"/>
      <c r="N105" s="1101"/>
      <c r="O105" s="1101"/>
      <c r="P105" s="1101"/>
      <c r="Q105" s="1101"/>
      <c r="R105" s="1101"/>
      <c r="S105" s="1101"/>
      <c r="T105" s="1101"/>
    </row>
    <row r="106" spans="1:20">
      <c r="A106" s="1101"/>
      <c r="B106" s="1101"/>
      <c r="C106" s="1101"/>
      <c r="D106" s="1101"/>
      <c r="E106" s="1101"/>
      <c r="F106" s="1101"/>
      <c r="G106" s="1101"/>
      <c r="H106" s="1101"/>
      <c r="I106" s="1101"/>
      <c r="J106" s="1101"/>
      <c r="K106" s="1102"/>
      <c r="L106" s="1103"/>
      <c r="M106" s="1101"/>
      <c r="N106" s="1101"/>
      <c r="O106" s="1101"/>
      <c r="P106" s="1101"/>
      <c r="Q106" s="1101"/>
      <c r="R106" s="1101"/>
      <c r="S106" s="1101"/>
      <c r="T106" s="1101"/>
    </row>
    <row r="107" spans="1:20">
      <c r="A107" s="1101"/>
      <c r="B107" s="1101"/>
      <c r="C107" s="1101"/>
      <c r="D107" s="1101"/>
      <c r="E107" s="1101"/>
      <c r="F107" s="1101"/>
      <c r="G107" s="1101"/>
      <c r="H107" s="1101"/>
      <c r="I107" s="1101"/>
      <c r="J107" s="1101"/>
      <c r="K107" s="1102"/>
      <c r="L107" s="1103"/>
      <c r="M107" s="1101"/>
      <c r="N107" s="1101"/>
      <c r="O107" s="1101"/>
      <c r="P107" s="1101"/>
      <c r="Q107" s="1101"/>
      <c r="R107" s="1101"/>
      <c r="S107" s="1101"/>
      <c r="T107" s="1101"/>
    </row>
    <row r="108" spans="1:20">
      <c r="A108" s="1101"/>
      <c r="B108" s="1101"/>
      <c r="C108" s="1101"/>
      <c r="D108" s="1101"/>
      <c r="E108" s="1101"/>
      <c r="F108" s="1101"/>
      <c r="G108" s="1101"/>
      <c r="H108" s="1101"/>
      <c r="I108" s="1101"/>
      <c r="J108" s="1101"/>
      <c r="K108" s="1102"/>
      <c r="L108" s="1103"/>
      <c r="M108" s="1101"/>
      <c r="N108" s="1101"/>
      <c r="O108" s="1101"/>
      <c r="P108" s="1101"/>
      <c r="Q108" s="1101"/>
      <c r="R108" s="1101"/>
      <c r="S108" s="1101"/>
      <c r="T108" s="1101"/>
    </row>
    <row r="109" spans="1:20">
      <c r="A109" s="1101"/>
      <c r="B109" s="1101"/>
      <c r="C109" s="1101"/>
      <c r="D109" s="1101"/>
      <c r="E109" s="1101"/>
      <c r="F109" s="1101"/>
      <c r="G109" s="1101"/>
      <c r="H109" s="1101"/>
      <c r="I109" s="1101"/>
      <c r="J109" s="1101"/>
      <c r="K109" s="1102"/>
      <c r="L109" s="1103"/>
      <c r="M109" s="1101"/>
      <c r="N109" s="1101"/>
      <c r="O109" s="1101"/>
      <c r="P109" s="1101"/>
      <c r="Q109" s="1101"/>
      <c r="R109" s="1101"/>
      <c r="S109" s="1101"/>
      <c r="T109" s="1101"/>
    </row>
    <row r="110" spans="1:20">
      <c r="A110" s="1101"/>
      <c r="B110" s="1101"/>
      <c r="C110" s="1101"/>
      <c r="D110" s="1101"/>
      <c r="E110" s="1101"/>
      <c r="F110" s="1101"/>
      <c r="G110" s="1101"/>
      <c r="H110" s="1101"/>
      <c r="I110" s="1101"/>
      <c r="J110" s="1101"/>
      <c r="K110" s="1102"/>
      <c r="L110" s="1103"/>
      <c r="M110" s="1101"/>
      <c r="N110" s="1101"/>
      <c r="O110" s="1101"/>
      <c r="P110" s="1101"/>
      <c r="Q110" s="1101"/>
      <c r="R110" s="1101"/>
      <c r="S110" s="1101"/>
      <c r="T110" s="1101"/>
    </row>
    <row r="111" spans="1:20">
      <c r="A111" s="1101"/>
      <c r="B111" s="1101"/>
      <c r="C111" s="1101"/>
      <c r="D111" s="1101"/>
      <c r="E111" s="1101"/>
      <c r="F111" s="1101"/>
      <c r="G111" s="1101"/>
      <c r="H111" s="1101"/>
      <c r="I111" s="1101"/>
      <c r="J111" s="1101"/>
      <c r="K111" s="1102"/>
      <c r="L111" s="1103"/>
      <c r="M111" s="1101"/>
      <c r="N111" s="1101"/>
      <c r="O111" s="1101"/>
      <c r="P111" s="1101"/>
      <c r="Q111" s="1101"/>
      <c r="R111" s="1101"/>
      <c r="S111" s="1101"/>
      <c r="T111" s="1101"/>
    </row>
    <row r="112" spans="1:20">
      <c r="A112" s="1101"/>
      <c r="B112" s="1101"/>
      <c r="C112" s="1101"/>
      <c r="D112" s="1101"/>
      <c r="E112" s="1101"/>
      <c r="F112" s="1101"/>
      <c r="G112" s="1101"/>
      <c r="H112" s="1101"/>
      <c r="I112" s="1101"/>
      <c r="J112" s="1101"/>
      <c r="K112" s="1102"/>
      <c r="L112" s="1103"/>
      <c r="M112" s="1101"/>
      <c r="N112" s="1101"/>
      <c r="O112" s="1101"/>
      <c r="P112" s="1101"/>
      <c r="Q112" s="1101"/>
      <c r="R112" s="1101"/>
      <c r="S112" s="1101"/>
      <c r="T112" s="1101"/>
    </row>
    <row r="113" spans="1:20">
      <c r="A113" s="1101"/>
      <c r="B113" s="1101"/>
      <c r="C113" s="1101"/>
      <c r="D113" s="1101"/>
      <c r="E113" s="1101"/>
      <c r="F113" s="1101"/>
      <c r="G113" s="1101"/>
      <c r="H113" s="1101"/>
      <c r="I113" s="1101"/>
      <c r="J113" s="1101"/>
      <c r="K113" s="1102"/>
      <c r="L113" s="1103"/>
      <c r="M113" s="1101"/>
      <c r="N113" s="1101"/>
      <c r="O113" s="1101"/>
      <c r="P113" s="1101"/>
      <c r="Q113" s="1101"/>
      <c r="R113" s="1101"/>
      <c r="S113" s="1101"/>
      <c r="T113" s="1101"/>
    </row>
    <row r="114" spans="1:20">
      <c r="A114" s="1101"/>
      <c r="B114" s="1101"/>
      <c r="C114" s="1101"/>
      <c r="D114" s="1101"/>
      <c r="E114" s="1101"/>
      <c r="F114" s="1101"/>
      <c r="G114" s="1101"/>
      <c r="H114" s="1101"/>
      <c r="I114" s="1101"/>
      <c r="J114" s="1101"/>
      <c r="K114" s="1102"/>
      <c r="L114" s="1103"/>
      <c r="M114" s="1101"/>
      <c r="N114" s="1101"/>
      <c r="O114" s="1101"/>
      <c r="P114" s="1101"/>
      <c r="Q114" s="1101"/>
      <c r="R114" s="1101"/>
      <c r="S114" s="1101"/>
      <c r="T114" s="1101"/>
    </row>
    <row r="115" spans="1:20">
      <c r="A115" s="1101"/>
      <c r="B115" s="1101"/>
      <c r="C115" s="1101"/>
      <c r="D115" s="1101"/>
      <c r="E115" s="1101"/>
      <c r="F115" s="1101"/>
      <c r="G115" s="1101"/>
      <c r="H115" s="1101"/>
      <c r="I115" s="1101"/>
      <c r="J115" s="1101"/>
      <c r="K115" s="1102"/>
      <c r="L115" s="1103"/>
      <c r="M115" s="1101"/>
      <c r="N115" s="1101"/>
      <c r="O115" s="1101"/>
      <c r="P115" s="1101"/>
      <c r="Q115" s="1101"/>
      <c r="R115" s="1101"/>
      <c r="S115" s="1101"/>
      <c r="T115" s="1101"/>
    </row>
    <row r="116" spans="1:20">
      <c r="A116" s="1101"/>
      <c r="B116" s="1101"/>
      <c r="C116" s="1101"/>
      <c r="D116" s="1101"/>
      <c r="E116" s="1101"/>
      <c r="F116" s="1101"/>
      <c r="G116" s="1101"/>
      <c r="H116" s="1101"/>
      <c r="I116" s="1101"/>
      <c r="J116" s="1101"/>
      <c r="K116" s="1102"/>
      <c r="L116" s="1103"/>
      <c r="M116" s="1101"/>
      <c r="N116" s="1101"/>
      <c r="O116" s="1101"/>
      <c r="P116" s="1101"/>
      <c r="Q116" s="1101"/>
      <c r="R116" s="1101"/>
      <c r="S116" s="1101"/>
      <c r="T116" s="1101"/>
    </row>
    <row r="117" spans="1:20">
      <c r="A117" s="1101"/>
      <c r="B117" s="1101"/>
      <c r="C117" s="1101"/>
      <c r="D117" s="1101"/>
      <c r="E117" s="1101"/>
      <c r="F117" s="1101"/>
      <c r="G117" s="1101"/>
      <c r="H117" s="1101"/>
      <c r="I117" s="1101"/>
      <c r="J117" s="1101"/>
      <c r="K117" s="1102"/>
      <c r="L117" s="1103"/>
      <c r="M117" s="1101"/>
      <c r="N117" s="1101"/>
      <c r="O117" s="1101"/>
      <c r="P117" s="1101"/>
      <c r="Q117" s="1101"/>
      <c r="R117" s="1101"/>
      <c r="S117" s="1101"/>
      <c r="T117" s="1101"/>
    </row>
    <row r="118" spans="1:20">
      <c r="A118" s="1101"/>
      <c r="B118" s="1101"/>
      <c r="C118" s="1101"/>
      <c r="D118" s="1101"/>
      <c r="E118" s="1101"/>
      <c r="F118" s="1101"/>
      <c r="G118" s="1101"/>
      <c r="H118" s="1101"/>
      <c r="I118" s="1101"/>
      <c r="J118" s="1101"/>
      <c r="K118" s="1102"/>
      <c r="L118" s="1103"/>
      <c r="M118" s="1101"/>
      <c r="N118" s="1101"/>
      <c r="O118" s="1101"/>
      <c r="P118" s="1101"/>
      <c r="Q118" s="1101"/>
      <c r="R118" s="1101"/>
      <c r="S118" s="1101"/>
      <c r="T118" s="1101"/>
    </row>
    <row r="119" spans="1:20">
      <c r="A119" s="1101"/>
      <c r="B119" s="1101"/>
      <c r="C119" s="1101"/>
      <c r="D119" s="1101"/>
      <c r="E119" s="1101"/>
      <c r="F119" s="1101"/>
      <c r="G119" s="1101"/>
      <c r="H119" s="1101"/>
      <c r="I119" s="1101"/>
      <c r="J119" s="1101"/>
      <c r="K119" s="1102"/>
      <c r="L119" s="1103"/>
      <c r="M119" s="1101"/>
      <c r="N119" s="1101"/>
      <c r="O119" s="1101"/>
      <c r="P119" s="1101"/>
      <c r="Q119" s="1101"/>
      <c r="R119" s="1101"/>
      <c r="S119" s="1101"/>
      <c r="T119" s="1101"/>
    </row>
    <row r="120" spans="1:20">
      <c r="A120" s="1101"/>
      <c r="B120" s="1101"/>
      <c r="C120" s="1101"/>
      <c r="D120" s="1101"/>
      <c r="E120" s="1101"/>
      <c r="F120" s="1101"/>
      <c r="G120" s="1101"/>
      <c r="H120" s="1101"/>
      <c r="I120" s="1101"/>
      <c r="J120" s="1101"/>
      <c r="K120" s="1102"/>
      <c r="L120" s="1103"/>
      <c r="M120" s="1101"/>
      <c r="N120" s="1101"/>
      <c r="O120" s="1101"/>
      <c r="P120" s="1101"/>
      <c r="Q120" s="1101"/>
      <c r="R120" s="1101"/>
      <c r="S120" s="1101"/>
      <c r="T120" s="1101"/>
    </row>
    <row r="121" spans="1:20">
      <c r="A121" s="1101"/>
      <c r="B121" s="1101"/>
      <c r="C121" s="1101"/>
      <c r="D121" s="1101"/>
      <c r="E121" s="1101"/>
      <c r="F121" s="1101"/>
      <c r="G121" s="1101"/>
      <c r="H121" s="1101"/>
      <c r="I121" s="1101"/>
      <c r="J121" s="1101"/>
      <c r="K121" s="1102"/>
      <c r="L121" s="1103"/>
      <c r="M121" s="1101"/>
      <c r="N121" s="1101"/>
      <c r="O121" s="1101"/>
      <c r="P121" s="1101"/>
      <c r="Q121" s="1101"/>
      <c r="R121" s="1101"/>
      <c r="S121" s="1101"/>
      <c r="T121" s="1101"/>
    </row>
    <row r="122" spans="1:20">
      <c r="A122" s="1101"/>
      <c r="B122" s="1101"/>
      <c r="C122" s="1101"/>
      <c r="D122" s="1101"/>
      <c r="E122" s="1101"/>
      <c r="F122" s="1101"/>
      <c r="G122" s="1101"/>
      <c r="H122" s="1101"/>
      <c r="I122" s="1101"/>
      <c r="J122" s="1101"/>
      <c r="K122" s="1102"/>
      <c r="L122" s="1103"/>
      <c r="M122" s="1101"/>
      <c r="N122" s="1101"/>
      <c r="O122" s="1101"/>
      <c r="P122" s="1101"/>
      <c r="Q122" s="1101"/>
      <c r="R122" s="1101"/>
      <c r="S122" s="1101"/>
      <c r="T122" s="1101"/>
    </row>
    <row r="123" spans="1:20">
      <c r="A123" s="1101"/>
      <c r="B123" s="1101"/>
      <c r="C123" s="1101"/>
      <c r="D123" s="1101"/>
      <c r="E123" s="1101"/>
      <c r="F123" s="1101"/>
      <c r="G123" s="1101"/>
      <c r="H123" s="1101"/>
      <c r="I123" s="1101"/>
      <c r="J123" s="1101"/>
      <c r="K123" s="1102"/>
      <c r="L123" s="1103"/>
      <c r="M123" s="1101"/>
      <c r="N123" s="1101"/>
      <c r="O123" s="1101"/>
      <c r="P123" s="1101"/>
      <c r="Q123" s="1101"/>
      <c r="R123" s="1101"/>
      <c r="S123" s="1101"/>
      <c r="T123" s="1101"/>
    </row>
    <row r="124" spans="1:20">
      <c r="A124" s="1101"/>
      <c r="B124" s="1101"/>
      <c r="C124" s="1101"/>
      <c r="D124" s="1101"/>
      <c r="E124" s="1101"/>
      <c r="F124" s="1101"/>
      <c r="G124" s="1101"/>
      <c r="H124" s="1101"/>
      <c r="I124" s="1101"/>
      <c r="J124" s="1101"/>
      <c r="K124" s="1102"/>
      <c r="L124" s="1103"/>
      <c r="M124" s="1101"/>
      <c r="N124" s="1101"/>
      <c r="O124" s="1101"/>
      <c r="P124" s="1101"/>
      <c r="Q124" s="1101"/>
      <c r="R124" s="1101"/>
      <c r="S124" s="1101"/>
      <c r="T124" s="1101"/>
    </row>
    <row r="125" spans="1:20">
      <c r="A125" s="1101"/>
      <c r="B125" s="1101"/>
      <c r="C125" s="1101"/>
      <c r="D125" s="1101"/>
      <c r="E125" s="1101"/>
      <c r="F125" s="1101"/>
      <c r="G125" s="1101"/>
      <c r="H125" s="1101"/>
      <c r="I125" s="1101"/>
      <c r="J125" s="1101"/>
      <c r="K125" s="1102"/>
      <c r="L125" s="1103"/>
      <c r="M125" s="1101"/>
      <c r="N125" s="1101"/>
      <c r="O125" s="1101"/>
      <c r="P125" s="1101"/>
      <c r="Q125" s="1101"/>
      <c r="R125" s="1101"/>
      <c r="S125" s="1101"/>
      <c r="T125" s="1101"/>
    </row>
    <row r="126" spans="1:20">
      <c r="A126" s="1101"/>
      <c r="B126" s="1101"/>
      <c r="C126" s="1101"/>
      <c r="D126" s="1101"/>
      <c r="E126" s="1101"/>
      <c r="F126" s="1101"/>
      <c r="G126" s="1101"/>
      <c r="H126" s="1101"/>
      <c r="I126" s="1101"/>
      <c r="J126" s="1101"/>
      <c r="K126" s="1102"/>
      <c r="L126" s="1103"/>
      <c r="M126" s="1101"/>
      <c r="N126" s="1101"/>
      <c r="O126" s="1101"/>
      <c r="P126" s="1101"/>
      <c r="Q126" s="1101"/>
      <c r="R126" s="1101"/>
      <c r="S126" s="1101"/>
      <c r="T126" s="1101"/>
    </row>
    <row r="127" spans="1:20">
      <c r="A127" s="1101"/>
      <c r="B127" s="1101"/>
      <c r="C127" s="1101"/>
      <c r="D127" s="1101"/>
      <c r="E127" s="1101"/>
      <c r="F127" s="1101"/>
      <c r="G127" s="1101"/>
      <c r="H127" s="1101"/>
      <c r="I127" s="1101"/>
      <c r="J127" s="1101"/>
      <c r="K127" s="1102"/>
      <c r="L127" s="1103"/>
      <c r="M127" s="1101"/>
      <c r="N127" s="1101"/>
      <c r="O127" s="1101"/>
      <c r="P127" s="1101"/>
      <c r="Q127" s="1101"/>
      <c r="R127" s="1101"/>
      <c r="S127" s="1101"/>
      <c r="T127" s="1101"/>
    </row>
    <row r="128" spans="1:20">
      <c r="A128" s="1101"/>
      <c r="B128" s="1101"/>
      <c r="C128" s="1101"/>
      <c r="D128" s="1101"/>
      <c r="E128" s="1101"/>
      <c r="F128" s="1101"/>
      <c r="G128" s="1101"/>
      <c r="H128" s="1101"/>
      <c r="I128" s="1101"/>
      <c r="J128" s="1101"/>
      <c r="K128" s="1102"/>
      <c r="L128" s="1103"/>
      <c r="M128" s="1101"/>
      <c r="N128" s="1101"/>
      <c r="O128" s="1101"/>
      <c r="P128" s="1101"/>
      <c r="Q128" s="1101"/>
      <c r="R128" s="1101"/>
      <c r="S128" s="1101"/>
      <c r="T128" s="1101"/>
    </row>
    <row r="129" spans="1:20">
      <c r="A129" s="1101"/>
      <c r="B129" s="1101"/>
      <c r="C129" s="1101"/>
      <c r="D129" s="1101"/>
      <c r="E129" s="1101"/>
      <c r="F129" s="1101"/>
      <c r="G129" s="1101"/>
      <c r="H129" s="1101"/>
      <c r="I129" s="1101"/>
      <c r="J129" s="1101"/>
      <c r="K129" s="1102"/>
      <c r="L129" s="1103"/>
      <c r="M129" s="1101"/>
      <c r="N129" s="1101"/>
      <c r="O129" s="1101"/>
      <c r="P129" s="1101"/>
      <c r="Q129" s="1101"/>
      <c r="R129" s="1101"/>
      <c r="S129" s="1101"/>
      <c r="T129" s="1101"/>
    </row>
    <row r="130" spans="1:20">
      <c r="A130" s="1101"/>
      <c r="B130" s="1101"/>
      <c r="C130" s="1101"/>
      <c r="D130" s="1101"/>
      <c r="E130" s="1101"/>
      <c r="F130" s="1101"/>
      <c r="G130" s="1101"/>
      <c r="H130" s="1101"/>
      <c r="I130" s="1101"/>
      <c r="J130" s="1101"/>
      <c r="K130" s="1102"/>
      <c r="L130" s="1103"/>
      <c r="M130" s="1101"/>
      <c r="N130" s="1101"/>
      <c r="O130" s="1101"/>
      <c r="P130" s="1101"/>
      <c r="Q130" s="1101"/>
      <c r="R130" s="1101"/>
      <c r="S130" s="1101"/>
      <c r="T130" s="1101"/>
    </row>
    <row r="131" spans="1:20">
      <c r="A131" s="1101"/>
      <c r="B131" s="1101"/>
      <c r="C131" s="1101"/>
      <c r="D131" s="1101"/>
      <c r="E131" s="1101"/>
      <c r="F131" s="1101"/>
      <c r="G131" s="1101"/>
      <c r="H131" s="1101"/>
      <c r="I131" s="1101"/>
      <c r="J131" s="1101"/>
      <c r="K131" s="1102"/>
      <c r="L131" s="1103"/>
      <c r="M131" s="1101"/>
      <c r="N131" s="1101"/>
      <c r="O131" s="1101"/>
      <c r="P131" s="1101"/>
      <c r="Q131" s="1101"/>
      <c r="R131" s="1101"/>
      <c r="S131" s="1101"/>
      <c r="T131" s="1101"/>
    </row>
    <row r="132" spans="1:20">
      <c r="A132" s="1101"/>
      <c r="B132" s="1101"/>
      <c r="C132" s="1101"/>
      <c r="D132" s="1101"/>
      <c r="E132" s="1101"/>
      <c r="F132" s="1101"/>
      <c r="G132" s="1101"/>
      <c r="H132" s="1101"/>
      <c r="I132" s="1101"/>
      <c r="J132" s="1101"/>
      <c r="K132" s="1102"/>
      <c r="L132" s="1103"/>
      <c r="M132" s="1101"/>
      <c r="N132" s="1101"/>
      <c r="O132" s="1101"/>
      <c r="P132" s="1101"/>
      <c r="Q132" s="1101"/>
      <c r="R132" s="1101"/>
      <c r="S132" s="1101"/>
      <c r="T132" s="1101"/>
    </row>
    <row r="133" spans="1:20">
      <c r="A133" s="1101"/>
      <c r="B133" s="1101"/>
      <c r="C133" s="1101"/>
      <c r="D133" s="1101"/>
      <c r="E133" s="1101"/>
      <c r="F133" s="1101"/>
      <c r="G133" s="1101"/>
      <c r="H133" s="1101"/>
      <c r="I133" s="1101"/>
      <c r="J133" s="1101"/>
      <c r="K133" s="1102"/>
      <c r="L133" s="1103"/>
      <c r="M133" s="1101"/>
      <c r="N133" s="1101"/>
      <c r="O133" s="1101"/>
      <c r="P133" s="1101"/>
      <c r="Q133" s="1101"/>
      <c r="R133" s="1101"/>
      <c r="S133" s="1101"/>
      <c r="T133" s="1101"/>
    </row>
    <row r="134" spans="1:20">
      <c r="A134" s="1101"/>
      <c r="B134" s="1101"/>
      <c r="C134" s="1101"/>
      <c r="D134" s="1101"/>
      <c r="E134" s="1101"/>
      <c r="F134" s="1101"/>
      <c r="G134" s="1101"/>
      <c r="H134" s="1101"/>
      <c r="I134" s="1101"/>
      <c r="J134" s="1101"/>
      <c r="K134" s="1102"/>
      <c r="L134" s="1103"/>
      <c r="M134" s="1101"/>
      <c r="N134" s="1101"/>
      <c r="O134" s="1101"/>
      <c r="P134" s="1101"/>
      <c r="Q134" s="1101"/>
      <c r="R134" s="1101"/>
      <c r="S134" s="1101"/>
      <c r="T134" s="1101"/>
    </row>
    <row r="135" spans="1:20">
      <c r="A135" s="1101"/>
      <c r="B135" s="1101"/>
      <c r="C135" s="1101"/>
      <c r="D135" s="1101"/>
      <c r="E135" s="1101"/>
      <c r="F135" s="1101"/>
      <c r="G135" s="1101"/>
      <c r="H135" s="1101"/>
      <c r="I135" s="1101"/>
      <c r="J135" s="1101"/>
      <c r="K135" s="1102"/>
      <c r="L135" s="1103"/>
      <c r="M135" s="1101"/>
      <c r="N135" s="1101"/>
      <c r="O135" s="1101"/>
      <c r="P135" s="1101"/>
      <c r="Q135" s="1101"/>
      <c r="R135" s="1101"/>
      <c r="S135" s="1101"/>
      <c r="T135" s="1101"/>
    </row>
    <row r="136" spans="1:20">
      <c r="A136" s="1101"/>
      <c r="B136" s="1101"/>
      <c r="C136" s="1101"/>
      <c r="D136" s="1101"/>
      <c r="E136" s="1101"/>
      <c r="F136" s="1101"/>
      <c r="G136" s="1101"/>
      <c r="H136" s="1101"/>
      <c r="I136" s="1101"/>
      <c r="J136" s="1101"/>
      <c r="K136" s="1102"/>
      <c r="L136" s="1103"/>
      <c r="M136" s="1101"/>
      <c r="N136" s="1101"/>
      <c r="O136" s="1101"/>
      <c r="P136" s="1101"/>
      <c r="Q136" s="1101"/>
      <c r="R136" s="1101"/>
      <c r="S136" s="1101"/>
      <c r="T136" s="1101"/>
    </row>
    <row r="137" spans="1:20">
      <c r="A137" s="1101"/>
      <c r="B137" s="1101"/>
      <c r="C137" s="1101"/>
      <c r="D137" s="1101"/>
      <c r="E137" s="1101"/>
      <c r="F137" s="1101"/>
      <c r="G137" s="1101"/>
      <c r="H137" s="1101"/>
      <c r="I137" s="1101"/>
      <c r="J137" s="1101"/>
      <c r="K137" s="1102"/>
      <c r="L137" s="1103"/>
      <c r="M137" s="1101"/>
      <c r="N137" s="1101"/>
      <c r="O137" s="1101"/>
      <c r="P137" s="1101"/>
      <c r="Q137" s="1101"/>
      <c r="R137" s="1101"/>
      <c r="S137" s="1101"/>
      <c r="T137" s="1101"/>
    </row>
    <row r="138" spans="1:20">
      <c r="A138" s="1101"/>
      <c r="B138" s="1101"/>
      <c r="C138" s="1101"/>
      <c r="D138" s="1101"/>
      <c r="E138" s="1101"/>
      <c r="F138" s="1101"/>
      <c r="G138" s="1101"/>
      <c r="H138" s="1101"/>
      <c r="I138" s="1101"/>
      <c r="J138" s="1101"/>
      <c r="K138" s="1102"/>
      <c r="L138" s="1103"/>
      <c r="M138" s="1101"/>
      <c r="N138" s="1101"/>
      <c r="O138" s="1101"/>
      <c r="P138" s="1101"/>
      <c r="Q138" s="1101"/>
      <c r="R138" s="1101"/>
      <c r="S138" s="1101"/>
      <c r="T138" s="1101"/>
    </row>
    <row r="139" spans="1:20">
      <c r="A139" s="1101"/>
      <c r="B139" s="1101"/>
      <c r="C139" s="1101"/>
      <c r="D139" s="1101"/>
      <c r="E139" s="1101"/>
      <c r="F139" s="1101"/>
      <c r="G139" s="1101"/>
      <c r="H139" s="1101"/>
      <c r="I139" s="1101"/>
      <c r="J139" s="1101"/>
      <c r="K139" s="1102"/>
      <c r="L139" s="1103"/>
      <c r="M139" s="1101"/>
      <c r="N139" s="1101"/>
      <c r="O139" s="1101"/>
      <c r="P139" s="1101"/>
      <c r="Q139" s="1101"/>
      <c r="R139" s="1101"/>
      <c r="S139" s="1101"/>
      <c r="T139" s="1101"/>
    </row>
    <row r="140" spans="1:20">
      <c r="A140" s="1101"/>
      <c r="B140" s="1101"/>
      <c r="C140" s="1101"/>
      <c r="D140" s="1101"/>
      <c r="E140" s="1101"/>
      <c r="F140" s="1101"/>
      <c r="G140" s="1101"/>
      <c r="H140" s="1101"/>
      <c r="I140" s="1101"/>
      <c r="J140" s="1101"/>
      <c r="K140" s="1102"/>
      <c r="L140" s="1103"/>
      <c r="M140" s="1101"/>
      <c r="N140" s="1101"/>
      <c r="O140" s="1101"/>
      <c r="P140" s="1101"/>
      <c r="Q140" s="1101"/>
      <c r="R140" s="1101"/>
      <c r="S140" s="1101"/>
      <c r="T140" s="1101"/>
    </row>
    <row r="141" spans="1:20">
      <c r="A141" s="1101"/>
      <c r="B141" s="1101"/>
      <c r="C141" s="1101"/>
      <c r="D141" s="1101"/>
      <c r="E141" s="1101"/>
      <c r="F141" s="1101"/>
      <c r="G141" s="1101"/>
      <c r="H141" s="1101"/>
      <c r="I141" s="1101"/>
      <c r="J141" s="1101"/>
      <c r="K141" s="1102"/>
      <c r="L141" s="1103"/>
      <c r="M141" s="1101"/>
      <c r="N141" s="1101"/>
      <c r="O141" s="1101"/>
      <c r="P141" s="1101"/>
      <c r="Q141" s="1101"/>
      <c r="R141" s="1101"/>
      <c r="S141" s="1101"/>
      <c r="T141" s="1101"/>
    </row>
    <row r="142" spans="1:20">
      <c r="A142" s="1101"/>
      <c r="B142" s="1101"/>
      <c r="C142" s="1101"/>
      <c r="D142" s="1101"/>
      <c r="E142" s="1101"/>
      <c r="F142" s="1101"/>
      <c r="G142" s="1101"/>
      <c r="H142" s="1101"/>
      <c r="I142" s="1101"/>
      <c r="J142" s="1101"/>
      <c r="K142" s="1102"/>
      <c r="L142" s="1103"/>
      <c r="M142" s="1101"/>
      <c r="N142" s="1101"/>
      <c r="O142" s="1101"/>
      <c r="P142" s="1101"/>
      <c r="Q142" s="1101"/>
      <c r="R142" s="1101"/>
      <c r="S142" s="1101"/>
      <c r="T142" s="1101"/>
    </row>
    <row r="143" spans="1:20">
      <c r="A143" s="1101"/>
      <c r="B143" s="1101"/>
      <c r="C143" s="1101"/>
      <c r="D143" s="1101"/>
      <c r="E143" s="1101"/>
      <c r="F143" s="1101"/>
      <c r="G143" s="1101"/>
      <c r="H143" s="1101"/>
      <c r="I143" s="1101"/>
      <c r="J143" s="1101"/>
      <c r="K143" s="1102"/>
      <c r="L143" s="1103"/>
      <c r="M143" s="1101"/>
      <c r="N143" s="1101"/>
      <c r="O143" s="1101"/>
      <c r="P143" s="1101"/>
      <c r="Q143" s="1101"/>
      <c r="R143" s="1101"/>
      <c r="S143" s="1101"/>
      <c r="T143" s="1101"/>
    </row>
    <row r="144" spans="1:20">
      <c r="A144" s="1101"/>
      <c r="B144" s="1101"/>
      <c r="C144" s="1101"/>
      <c r="D144" s="1101"/>
      <c r="E144" s="1101"/>
      <c r="F144" s="1101"/>
      <c r="G144" s="1101"/>
      <c r="H144" s="1101"/>
      <c r="I144" s="1101"/>
      <c r="J144" s="1101"/>
      <c r="K144" s="1102"/>
      <c r="L144" s="1103"/>
      <c r="M144" s="1101"/>
      <c r="N144" s="1101"/>
      <c r="O144" s="1101"/>
      <c r="P144" s="1101"/>
      <c r="Q144" s="1101"/>
      <c r="R144" s="1101"/>
      <c r="S144" s="1101"/>
      <c r="T144" s="1101"/>
    </row>
    <row r="145" spans="1:20">
      <c r="A145" s="1101"/>
      <c r="B145" s="1101"/>
      <c r="C145" s="1101"/>
      <c r="D145" s="1101"/>
      <c r="E145" s="1101"/>
      <c r="F145" s="1101"/>
      <c r="G145" s="1101"/>
      <c r="H145" s="1101"/>
      <c r="I145" s="1101"/>
      <c r="J145" s="1101"/>
      <c r="K145" s="1102"/>
      <c r="L145" s="1103"/>
      <c r="M145" s="1101"/>
      <c r="N145" s="1101"/>
      <c r="O145" s="1101"/>
      <c r="P145" s="1101"/>
      <c r="Q145" s="1101"/>
      <c r="R145" s="1101"/>
      <c r="S145" s="1101"/>
      <c r="T145" s="1101"/>
    </row>
    <row r="146" spans="1:20">
      <c r="A146" s="1101"/>
      <c r="B146" s="1101"/>
      <c r="C146" s="1101"/>
      <c r="D146" s="1101"/>
      <c r="E146" s="1101"/>
      <c r="F146" s="1101"/>
      <c r="G146" s="1101"/>
      <c r="H146" s="1101"/>
      <c r="I146" s="1101"/>
      <c r="J146" s="1101"/>
      <c r="K146" s="1102"/>
      <c r="L146" s="1103"/>
      <c r="M146" s="1101"/>
      <c r="N146" s="1101"/>
      <c r="O146" s="1101"/>
      <c r="P146" s="1101"/>
      <c r="Q146" s="1101"/>
      <c r="R146" s="1101"/>
      <c r="S146" s="1101"/>
      <c r="T146" s="1101"/>
    </row>
    <row r="147" spans="1:20">
      <c r="A147" s="1101"/>
      <c r="B147" s="1101"/>
      <c r="C147" s="1101"/>
      <c r="D147" s="1101"/>
      <c r="E147" s="1101"/>
      <c r="F147" s="1101"/>
      <c r="G147" s="1101"/>
      <c r="H147" s="1101"/>
      <c r="I147" s="1101"/>
      <c r="J147" s="1101"/>
      <c r="K147" s="1102"/>
      <c r="L147" s="1103"/>
      <c r="M147" s="1101"/>
      <c r="N147" s="1101"/>
      <c r="O147" s="1101"/>
      <c r="P147" s="1101"/>
      <c r="Q147" s="1101"/>
      <c r="R147" s="1101"/>
      <c r="S147" s="1101"/>
      <c r="T147" s="1101"/>
    </row>
    <row r="148" spans="1:20">
      <c r="A148" s="1101"/>
      <c r="B148" s="1101"/>
      <c r="C148" s="1101"/>
      <c r="D148" s="1101"/>
      <c r="E148" s="1101"/>
      <c r="F148" s="1101"/>
      <c r="G148" s="1101"/>
      <c r="H148" s="1101"/>
      <c r="I148" s="1101"/>
      <c r="J148" s="1101"/>
      <c r="K148" s="1102"/>
      <c r="L148" s="1103"/>
      <c r="M148" s="1101"/>
      <c r="N148" s="1101"/>
      <c r="O148" s="1101"/>
      <c r="P148" s="1101"/>
      <c r="Q148" s="1101"/>
      <c r="R148" s="1101"/>
      <c r="S148" s="1101"/>
      <c r="T148" s="1101"/>
    </row>
    <row r="149" spans="1:20">
      <c r="A149" s="1101"/>
      <c r="B149" s="1101"/>
      <c r="C149" s="1101"/>
      <c r="D149" s="1101"/>
      <c r="E149" s="1101"/>
      <c r="F149" s="1101"/>
      <c r="G149" s="1101"/>
      <c r="H149" s="1101"/>
      <c r="I149" s="1101"/>
      <c r="J149" s="1101"/>
      <c r="K149" s="1102"/>
      <c r="L149" s="1103"/>
      <c r="M149" s="1101"/>
      <c r="N149" s="1101"/>
      <c r="O149" s="1101"/>
      <c r="P149" s="1101"/>
      <c r="Q149" s="1101"/>
      <c r="R149" s="1101"/>
      <c r="S149" s="1101"/>
      <c r="T149" s="1101"/>
    </row>
    <row r="150" spans="1:20">
      <c r="A150" s="1101"/>
      <c r="B150" s="1101"/>
      <c r="C150" s="1101"/>
      <c r="D150" s="1101"/>
      <c r="E150" s="1101"/>
      <c r="F150" s="1101"/>
      <c r="G150" s="1101"/>
      <c r="H150" s="1101"/>
      <c r="I150" s="1101"/>
      <c r="J150" s="1101"/>
      <c r="K150" s="1102"/>
      <c r="L150" s="1103"/>
      <c r="M150" s="1101"/>
      <c r="N150" s="1101"/>
      <c r="O150" s="1101"/>
      <c r="P150" s="1101"/>
      <c r="Q150" s="1101"/>
      <c r="R150" s="1101"/>
      <c r="S150" s="1101"/>
      <c r="T150" s="1101"/>
    </row>
    <row r="151" spans="1:20">
      <c r="A151" s="1101"/>
      <c r="B151" s="1101"/>
      <c r="C151" s="1101"/>
      <c r="D151" s="1101"/>
      <c r="E151" s="1101"/>
      <c r="F151" s="1101"/>
      <c r="G151" s="1101"/>
      <c r="H151" s="1101"/>
      <c r="I151" s="1101"/>
      <c r="J151" s="1101"/>
      <c r="K151" s="1102"/>
      <c r="L151" s="1103"/>
      <c r="M151" s="1101"/>
      <c r="N151" s="1101"/>
      <c r="O151" s="1101"/>
      <c r="P151" s="1101"/>
      <c r="Q151" s="1101"/>
      <c r="R151" s="1101"/>
      <c r="S151" s="1101"/>
      <c r="T151" s="1101"/>
    </row>
    <row r="152" spans="1:20">
      <c r="A152" s="1101"/>
      <c r="B152" s="1101"/>
      <c r="C152" s="1101"/>
      <c r="D152" s="1101"/>
      <c r="E152" s="1101"/>
      <c r="F152" s="1101"/>
      <c r="G152" s="1101"/>
      <c r="H152" s="1101"/>
      <c r="I152" s="1101"/>
      <c r="J152" s="1101"/>
      <c r="K152" s="1102"/>
      <c r="L152" s="1103"/>
      <c r="M152" s="1101"/>
      <c r="N152" s="1101"/>
      <c r="O152" s="1101"/>
      <c r="P152" s="1101"/>
      <c r="Q152" s="1101"/>
      <c r="R152" s="1101"/>
      <c r="S152" s="1101"/>
      <c r="T152" s="1101"/>
    </row>
    <row r="153" spans="1:20">
      <c r="A153" s="1101"/>
      <c r="B153" s="1101"/>
      <c r="C153" s="1101"/>
      <c r="D153" s="1101"/>
      <c r="E153" s="1101"/>
      <c r="F153" s="1101"/>
      <c r="G153" s="1101"/>
      <c r="H153" s="1101"/>
      <c r="I153" s="1101"/>
      <c r="J153" s="1101"/>
      <c r="K153" s="1102"/>
      <c r="L153" s="1103"/>
      <c r="M153" s="1101"/>
      <c r="N153" s="1101"/>
      <c r="O153" s="1101"/>
      <c r="P153" s="1101"/>
      <c r="Q153" s="1101"/>
      <c r="R153" s="1101"/>
      <c r="S153" s="1101"/>
      <c r="T153" s="1101"/>
    </row>
    <row r="154" spans="1:20">
      <c r="A154" s="1101"/>
      <c r="B154" s="1101"/>
      <c r="C154" s="1101"/>
      <c r="D154" s="1101"/>
      <c r="E154" s="1101"/>
      <c r="F154" s="1101"/>
      <c r="G154" s="1101"/>
      <c r="H154" s="1101"/>
      <c r="I154" s="1101"/>
      <c r="J154" s="1101"/>
      <c r="K154" s="1102"/>
      <c r="L154" s="1103"/>
      <c r="M154" s="1101"/>
      <c r="N154" s="1101"/>
      <c r="O154" s="1101"/>
      <c r="P154" s="1101"/>
      <c r="Q154" s="1101"/>
      <c r="R154" s="1101"/>
      <c r="S154" s="1101"/>
      <c r="T154" s="1101"/>
    </row>
    <row r="155" spans="1:20">
      <c r="A155" s="1101"/>
      <c r="B155" s="1101"/>
      <c r="C155" s="1101"/>
      <c r="D155" s="1101"/>
      <c r="E155" s="1101"/>
      <c r="F155" s="1101"/>
      <c r="G155" s="1101"/>
      <c r="H155" s="1101"/>
      <c r="I155" s="1101"/>
      <c r="J155" s="1101"/>
      <c r="K155" s="1102"/>
      <c r="L155" s="1103"/>
      <c r="M155" s="1101"/>
      <c r="N155" s="1101"/>
      <c r="O155" s="1101"/>
      <c r="P155" s="1101"/>
      <c r="Q155" s="1101"/>
      <c r="R155" s="1101"/>
      <c r="S155" s="1101"/>
      <c r="T155" s="1101"/>
    </row>
    <row r="156" spans="1:20">
      <c r="A156" s="1101"/>
      <c r="B156" s="1101"/>
      <c r="C156" s="1101"/>
      <c r="D156" s="1101"/>
      <c r="E156" s="1101"/>
      <c r="F156" s="1101"/>
      <c r="G156" s="1101"/>
      <c r="H156" s="1101"/>
      <c r="I156" s="1101"/>
      <c r="J156" s="1101"/>
      <c r="K156" s="1102"/>
      <c r="L156" s="1103"/>
      <c r="M156" s="1101"/>
      <c r="N156" s="1101"/>
      <c r="O156" s="1101"/>
      <c r="P156" s="1101"/>
      <c r="Q156" s="1101"/>
      <c r="R156" s="1101"/>
      <c r="S156" s="1101"/>
      <c r="T156" s="1101"/>
    </row>
    <row r="157" spans="1:20">
      <c r="A157" s="1101"/>
      <c r="B157" s="1101"/>
      <c r="C157" s="1101"/>
      <c r="D157" s="1101"/>
      <c r="E157" s="1101"/>
      <c r="F157" s="1101"/>
      <c r="G157" s="1101"/>
      <c r="H157" s="1101"/>
      <c r="I157" s="1101"/>
      <c r="J157" s="1101"/>
      <c r="K157" s="1102"/>
      <c r="L157" s="1103"/>
      <c r="M157" s="1101"/>
      <c r="N157" s="1101"/>
      <c r="O157" s="1101"/>
      <c r="P157" s="1101"/>
      <c r="Q157" s="1101"/>
      <c r="R157" s="1101"/>
      <c r="S157" s="1101"/>
      <c r="T157" s="1101"/>
    </row>
    <row r="158" spans="1:20">
      <c r="A158" s="1101"/>
      <c r="B158" s="1101"/>
      <c r="C158" s="1101"/>
      <c r="D158" s="1101"/>
      <c r="E158" s="1101"/>
      <c r="F158" s="1101"/>
      <c r="G158" s="1101"/>
      <c r="H158" s="1101"/>
      <c r="I158" s="1101"/>
      <c r="J158" s="1101"/>
      <c r="K158" s="1102"/>
      <c r="L158" s="1103"/>
      <c r="M158" s="1101"/>
      <c r="N158" s="1101"/>
      <c r="O158" s="1101"/>
      <c r="P158" s="1101"/>
      <c r="Q158" s="1101"/>
      <c r="R158" s="1101"/>
      <c r="S158" s="1101"/>
      <c r="T158" s="1101"/>
    </row>
    <row r="159" spans="1:20">
      <c r="A159" s="1101"/>
      <c r="B159" s="1101"/>
      <c r="C159" s="1101"/>
      <c r="D159" s="1101"/>
      <c r="E159" s="1101"/>
      <c r="F159" s="1101"/>
      <c r="G159" s="1101"/>
      <c r="H159" s="1101"/>
      <c r="I159" s="1101"/>
      <c r="J159" s="1101"/>
      <c r="K159" s="1102"/>
      <c r="L159" s="1103"/>
      <c r="M159" s="1101"/>
      <c r="N159" s="1101"/>
      <c r="O159" s="1101"/>
      <c r="P159" s="1101"/>
      <c r="Q159" s="1101"/>
      <c r="R159" s="1101"/>
      <c r="S159" s="1101"/>
      <c r="T159" s="1101"/>
    </row>
    <row r="160" spans="1:20">
      <c r="A160" s="1101"/>
      <c r="B160" s="1101"/>
      <c r="C160" s="1101"/>
      <c r="D160" s="1101"/>
      <c r="E160" s="1101"/>
      <c r="F160" s="1101"/>
      <c r="G160" s="1101"/>
      <c r="H160" s="1101"/>
      <c r="I160" s="1101"/>
      <c r="J160" s="1101"/>
      <c r="K160" s="1102"/>
      <c r="L160" s="1103"/>
      <c r="M160" s="1101"/>
      <c r="N160" s="1101"/>
      <c r="O160" s="1101"/>
      <c r="P160" s="1101"/>
      <c r="Q160" s="1101"/>
      <c r="R160" s="1101"/>
      <c r="S160" s="1101"/>
      <c r="T160" s="1101"/>
    </row>
    <row r="161" spans="1:20">
      <c r="A161" s="1101"/>
      <c r="B161" s="1101"/>
      <c r="C161" s="1101"/>
      <c r="D161" s="1101"/>
      <c r="E161" s="1101"/>
      <c r="F161" s="1101"/>
      <c r="G161" s="1101"/>
      <c r="H161" s="1101"/>
      <c r="I161" s="1101"/>
      <c r="J161" s="1101"/>
      <c r="K161" s="1102"/>
      <c r="L161" s="1103"/>
      <c r="M161" s="1101"/>
      <c r="N161" s="1101"/>
      <c r="O161" s="1101"/>
      <c r="P161" s="1101"/>
      <c r="Q161" s="1101"/>
      <c r="R161" s="1101"/>
      <c r="S161" s="1101"/>
      <c r="T161" s="1101"/>
    </row>
    <row r="162" spans="1:20">
      <c r="A162" s="1101"/>
      <c r="B162" s="1101"/>
      <c r="C162" s="1101"/>
      <c r="D162" s="1101"/>
      <c r="E162" s="1101"/>
      <c r="F162" s="1101"/>
      <c r="G162" s="1101"/>
      <c r="H162" s="1101"/>
      <c r="I162" s="1101"/>
      <c r="J162" s="1101"/>
      <c r="K162" s="1102"/>
      <c r="L162" s="1103"/>
      <c r="M162" s="1101"/>
      <c r="N162" s="1101"/>
      <c r="O162" s="1101"/>
      <c r="P162" s="1101"/>
      <c r="Q162" s="1101"/>
      <c r="R162" s="1101"/>
      <c r="S162" s="1101"/>
      <c r="T162" s="1101"/>
    </row>
    <row r="163" spans="1:20">
      <c r="A163" s="1101"/>
      <c r="B163" s="1101"/>
      <c r="C163" s="1101"/>
      <c r="D163" s="1101"/>
      <c r="E163" s="1101"/>
      <c r="F163" s="1101"/>
      <c r="G163" s="1101"/>
      <c r="H163" s="1101"/>
      <c r="I163" s="1101"/>
      <c r="J163" s="1101"/>
      <c r="K163" s="1102"/>
      <c r="L163" s="1103"/>
      <c r="M163" s="1101"/>
      <c r="N163" s="1101"/>
      <c r="O163" s="1101"/>
      <c r="P163" s="1101"/>
      <c r="Q163" s="1101"/>
      <c r="R163" s="1101"/>
      <c r="S163" s="1101"/>
      <c r="T163" s="1101"/>
    </row>
    <row r="164" spans="1:20">
      <c r="A164" s="1101"/>
      <c r="B164" s="1101"/>
      <c r="C164" s="1101"/>
      <c r="D164" s="1101"/>
      <c r="E164" s="1101"/>
      <c r="F164" s="1101"/>
      <c r="G164" s="1101"/>
      <c r="H164" s="1101"/>
      <c r="I164" s="1101"/>
      <c r="J164" s="1101"/>
      <c r="K164" s="1102"/>
      <c r="L164" s="1103"/>
      <c r="M164" s="1101"/>
      <c r="N164" s="1101"/>
      <c r="O164" s="1101"/>
      <c r="P164" s="1101"/>
      <c r="Q164" s="1101"/>
      <c r="R164" s="1101"/>
      <c r="S164" s="1101"/>
      <c r="T164" s="1101"/>
    </row>
    <row r="165" spans="1:20">
      <c r="A165" s="1101"/>
      <c r="B165" s="1101"/>
      <c r="C165" s="1101"/>
      <c r="D165" s="1101"/>
      <c r="E165" s="1101"/>
      <c r="F165" s="1101"/>
      <c r="G165" s="1101"/>
      <c r="H165" s="1101"/>
      <c r="I165" s="1101"/>
      <c r="J165" s="1101"/>
      <c r="K165" s="1102"/>
      <c r="L165" s="1103"/>
      <c r="M165" s="1101"/>
      <c r="N165" s="1101"/>
      <c r="O165" s="1101"/>
      <c r="P165" s="1101"/>
      <c r="Q165" s="1101"/>
      <c r="R165" s="1101"/>
      <c r="S165" s="1101"/>
      <c r="T165" s="1101"/>
    </row>
    <row r="166" spans="1:20">
      <c r="A166" s="1101"/>
      <c r="B166" s="1101"/>
      <c r="C166" s="1101"/>
      <c r="D166" s="1101"/>
      <c r="E166" s="1101"/>
      <c r="F166" s="1101"/>
      <c r="G166" s="1101"/>
      <c r="H166" s="1101"/>
      <c r="I166" s="1101"/>
      <c r="J166" s="1101"/>
      <c r="K166" s="1102"/>
      <c r="L166" s="1103"/>
      <c r="M166" s="1101"/>
      <c r="N166" s="1101"/>
      <c r="O166" s="1101"/>
      <c r="P166" s="1101"/>
      <c r="Q166" s="1101"/>
      <c r="R166" s="1101"/>
      <c r="S166" s="1101"/>
      <c r="T166" s="1101"/>
    </row>
    <row r="167" spans="1:20">
      <c r="A167" s="1101"/>
      <c r="B167" s="1101"/>
      <c r="C167" s="1101"/>
      <c r="D167" s="1101"/>
      <c r="E167" s="1101"/>
      <c r="F167" s="1101"/>
      <c r="G167" s="1101"/>
      <c r="H167" s="1101"/>
      <c r="I167" s="1101"/>
      <c r="J167" s="1101"/>
      <c r="K167" s="1102"/>
      <c r="L167" s="1103"/>
      <c r="M167" s="1101"/>
      <c r="N167" s="1101"/>
      <c r="O167" s="1101"/>
      <c r="P167" s="1101"/>
      <c r="Q167" s="1101"/>
      <c r="R167" s="1101"/>
      <c r="S167" s="1101"/>
      <c r="T167" s="1101"/>
    </row>
    <row r="168" spans="1:20">
      <c r="A168" s="1101"/>
      <c r="B168" s="1101"/>
      <c r="C168" s="1101"/>
      <c r="D168" s="1101"/>
      <c r="E168" s="1101"/>
      <c r="F168" s="1101"/>
      <c r="G168" s="1101"/>
      <c r="H168" s="1101"/>
      <c r="I168" s="1101"/>
      <c r="J168" s="1101"/>
      <c r="K168" s="1102"/>
      <c r="L168" s="1103"/>
      <c r="M168" s="1101"/>
      <c r="N168" s="1101"/>
      <c r="O168" s="1101"/>
      <c r="P168" s="1101"/>
      <c r="Q168" s="1101"/>
      <c r="R168" s="1101"/>
      <c r="S168" s="1101"/>
      <c r="T168" s="1101"/>
    </row>
    <row r="169" spans="1:20">
      <c r="A169" s="1101"/>
      <c r="B169" s="1101"/>
      <c r="C169" s="1101"/>
      <c r="D169" s="1101"/>
      <c r="E169" s="1101"/>
      <c r="F169" s="1101"/>
      <c r="G169" s="1101"/>
      <c r="H169" s="1101"/>
      <c r="I169" s="1101"/>
      <c r="J169" s="1101"/>
      <c r="K169" s="1102"/>
      <c r="L169" s="1103"/>
      <c r="M169" s="1101"/>
      <c r="N169" s="1101"/>
      <c r="O169" s="1101"/>
      <c r="P169" s="1101"/>
      <c r="Q169" s="1101"/>
      <c r="R169" s="1101"/>
      <c r="S169" s="1101"/>
      <c r="T169" s="1101"/>
    </row>
    <row r="170" spans="1:20">
      <c r="A170" s="1101"/>
      <c r="B170" s="1101"/>
      <c r="C170" s="1101"/>
      <c r="D170" s="1101"/>
      <c r="E170" s="1101"/>
      <c r="F170" s="1101"/>
      <c r="G170" s="1101"/>
      <c r="H170" s="1101"/>
      <c r="I170" s="1101"/>
      <c r="J170" s="1101"/>
      <c r="K170" s="1102"/>
      <c r="L170" s="1103"/>
      <c r="M170" s="1101"/>
      <c r="N170" s="1101"/>
      <c r="O170" s="1101"/>
      <c r="P170" s="1101"/>
      <c r="Q170" s="1101"/>
      <c r="R170" s="1101"/>
      <c r="S170" s="1101"/>
      <c r="T170" s="1101"/>
    </row>
    <row r="171" spans="1:20">
      <c r="A171" s="1101"/>
      <c r="B171" s="1101"/>
      <c r="C171" s="1101"/>
      <c r="D171" s="1101"/>
      <c r="E171" s="1101"/>
      <c r="F171" s="1101"/>
      <c r="G171" s="1101"/>
      <c r="H171" s="1101"/>
      <c r="I171" s="1101"/>
      <c r="J171" s="1101"/>
      <c r="K171" s="1102"/>
      <c r="L171" s="1103"/>
      <c r="M171" s="1101"/>
      <c r="N171" s="1101"/>
      <c r="O171" s="1101"/>
      <c r="P171" s="1101"/>
      <c r="Q171" s="1101"/>
      <c r="R171" s="1101"/>
      <c r="S171" s="1101"/>
      <c r="T171" s="1101"/>
    </row>
    <row r="172" spans="1:20">
      <c r="A172" s="1101"/>
      <c r="B172" s="1101"/>
      <c r="C172" s="1101"/>
      <c r="D172" s="1101"/>
      <c r="E172" s="1101"/>
      <c r="F172" s="1101"/>
      <c r="G172" s="1101"/>
      <c r="H172" s="1101"/>
      <c r="I172" s="1101"/>
      <c r="J172" s="1101"/>
      <c r="K172" s="1102"/>
      <c r="L172" s="1103"/>
      <c r="M172" s="1101"/>
      <c r="N172" s="1101"/>
      <c r="O172" s="1101"/>
      <c r="P172" s="1101"/>
      <c r="Q172" s="1101"/>
      <c r="R172" s="1101"/>
      <c r="S172" s="1101"/>
      <c r="T172" s="1101"/>
    </row>
    <row r="173" spans="1:20">
      <c r="A173" s="1101"/>
      <c r="B173" s="1101"/>
      <c r="C173" s="1101"/>
      <c r="D173" s="1101"/>
      <c r="E173" s="1101"/>
      <c r="F173" s="1101"/>
      <c r="G173" s="1101"/>
      <c r="H173" s="1101"/>
      <c r="I173" s="1101"/>
      <c r="J173" s="1101"/>
      <c r="K173" s="1102"/>
      <c r="L173" s="1103"/>
      <c r="M173" s="1101"/>
      <c r="N173" s="1101"/>
      <c r="O173" s="1101"/>
      <c r="P173" s="1101"/>
      <c r="Q173" s="1101"/>
      <c r="R173" s="1101"/>
      <c r="S173" s="1101"/>
      <c r="T173" s="1101"/>
    </row>
    <row r="174" spans="1:20">
      <c r="A174" s="1101"/>
      <c r="B174" s="1101"/>
      <c r="C174" s="1101"/>
      <c r="D174" s="1101"/>
      <c r="E174" s="1101"/>
      <c r="F174" s="1101"/>
      <c r="G174" s="1101"/>
      <c r="H174" s="1101"/>
      <c r="I174" s="1101"/>
      <c r="J174" s="1101"/>
      <c r="K174" s="1102"/>
      <c r="L174" s="1103"/>
      <c r="M174" s="1101"/>
      <c r="N174" s="1101"/>
      <c r="O174" s="1101"/>
      <c r="P174" s="1101"/>
      <c r="Q174" s="1101"/>
      <c r="R174" s="1101"/>
      <c r="S174" s="1101"/>
      <c r="T174" s="1101"/>
    </row>
    <row r="175" spans="1:20">
      <c r="A175" s="1101"/>
      <c r="B175" s="1101"/>
      <c r="C175" s="1101"/>
      <c r="D175" s="1101"/>
      <c r="E175" s="1101"/>
      <c r="F175" s="1101"/>
      <c r="G175" s="1101"/>
      <c r="H175" s="1101"/>
      <c r="I175" s="1101"/>
      <c r="J175" s="1101"/>
      <c r="K175" s="1102"/>
      <c r="L175" s="1103"/>
      <c r="M175" s="1101"/>
      <c r="N175" s="1101"/>
      <c r="O175" s="1101"/>
      <c r="P175" s="1101"/>
      <c r="Q175" s="1101"/>
      <c r="R175" s="1101"/>
      <c r="S175" s="1101"/>
      <c r="T175" s="1101"/>
    </row>
    <row r="176" spans="1:20">
      <c r="A176" s="1101"/>
      <c r="B176" s="1101"/>
      <c r="C176" s="1101"/>
      <c r="D176" s="1101"/>
      <c r="E176" s="1101"/>
      <c r="F176" s="1101"/>
      <c r="G176" s="1101"/>
      <c r="H176" s="1101"/>
      <c r="I176" s="1101"/>
      <c r="J176" s="1101"/>
      <c r="K176" s="1102"/>
      <c r="L176" s="1103"/>
      <c r="M176" s="1101"/>
      <c r="N176" s="1101"/>
      <c r="O176" s="1101"/>
      <c r="P176" s="1101"/>
      <c r="Q176" s="1101"/>
      <c r="R176" s="1101"/>
      <c r="S176" s="1101"/>
      <c r="T176" s="1101"/>
    </row>
    <row r="177" spans="1:20">
      <c r="A177" s="1101"/>
      <c r="B177" s="1101"/>
      <c r="C177" s="1101"/>
      <c r="D177" s="1101"/>
      <c r="E177" s="1101"/>
      <c r="F177" s="1101"/>
      <c r="G177" s="1101"/>
      <c r="H177" s="1101"/>
      <c r="I177" s="1101"/>
      <c r="J177" s="1101"/>
      <c r="K177" s="1102"/>
      <c r="L177" s="1103"/>
      <c r="M177" s="1101"/>
      <c r="N177" s="1101"/>
      <c r="O177" s="1101"/>
      <c r="P177" s="1101"/>
      <c r="Q177" s="1101"/>
      <c r="R177" s="1101"/>
      <c r="S177" s="1101"/>
      <c r="T177" s="1101"/>
    </row>
    <row r="178" spans="1:20">
      <c r="A178" s="1101"/>
      <c r="B178" s="1101"/>
      <c r="C178" s="1101"/>
      <c r="D178" s="1101"/>
      <c r="E178" s="1101"/>
      <c r="F178" s="1101"/>
      <c r="G178" s="1101"/>
      <c r="H178" s="1101"/>
      <c r="I178" s="1101"/>
      <c r="J178" s="1101"/>
      <c r="K178" s="1102"/>
      <c r="L178" s="1103"/>
      <c r="M178" s="1101"/>
      <c r="N178" s="1101"/>
      <c r="O178" s="1101"/>
      <c r="P178" s="1101"/>
      <c r="Q178" s="1101"/>
      <c r="R178" s="1101"/>
      <c r="S178" s="1101"/>
      <c r="T178" s="1101"/>
    </row>
    <row r="179" spans="1:20">
      <c r="A179" s="1101"/>
      <c r="B179" s="1101"/>
      <c r="C179" s="1101"/>
      <c r="D179" s="1101"/>
      <c r="E179" s="1101"/>
      <c r="F179" s="1101"/>
      <c r="G179" s="1101"/>
      <c r="H179" s="1101"/>
      <c r="I179" s="1101"/>
      <c r="J179" s="1101"/>
      <c r="K179" s="1102"/>
      <c r="L179" s="1103"/>
      <c r="M179" s="1101"/>
      <c r="N179" s="1101"/>
      <c r="O179" s="1101"/>
      <c r="P179" s="1101"/>
      <c r="Q179" s="1101"/>
      <c r="R179" s="1101"/>
      <c r="S179" s="1101"/>
      <c r="T179" s="1101"/>
    </row>
    <row r="180" spans="1:20">
      <c r="A180" s="1101"/>
      <c r="B180" s="1101"/>
      <c r="C180" s="1101"/>
      <c r="D180" s="1101"/>
      <c r="E180" s="1101"/>
      <c r="F180" s="1101"/>
      <c r="G180" s="1101"/>
      <c r="H180" s="1101"/>
      <c r="I180" s="1101"/>
      <c r="J180" s="1101"/>
      <c r="K180" s="1102"/>
      <c r="L180" s="1103"/>
      <c r="M180" s="1101"/>
      <c r="N180" s="1101"/>
      <c r="O180" s="1101"/>
      <c r="P180" s="1101"/>
      <c r="Q180" s="1101"/>
      <c r="R180" s="1101"/>
      <c r="S180" s="1101"/>
      <c r="T180" s="1101"/>
    </row>
    <row r="181" spans="1:20">
      <c r="A181" s="1101"/>
      <c r="B181" s="1101"/>
      <c r="C181" s="1101"/>
      <c r="D181" s="1101"/>
      <c r="E181" s="1101"/>
      <c r="F181" s="1101"/>
      <c r="G181" s="1101"/>
      <c r="H181" s="1101"/>
      <c r="I181" s="1101"/>
      <c r="J181" s="1101"/>
      <c r="K181" s="1102"/>
      <c r="L181" s="1103"/>
      <c r="M181" s="1101"/>
      <c r="N181" s="1101"/>
      <c r="O181" s="1101"/>
      <c r="P181" s="1101"/>
      <c r="Q181" s="1101"/>
      <c r="R181" s="1101"/>
      <c r="S181" s="1101"/>
      <c r="T181" s="1101"/>
    </row>
    <row r="182" spans="1:20">
      <c r="A182" s="1101"/>
      <c r="B182" s="1101"/>
      <c r="C182" s="1101"/>
      <c r="D182" s="1101"/>
      <c r="E182" s="1101"/>
      <c r="F182" s="1101"/>
      <c r="G182" s="1101"/>
      <c r="H182" s="1101"/>
      <c r="I182" s="1101"/>
      <c r="J182" s="1101"/>
      <c r="K182" s="1102"/>
      <c r="L182" s="1103"/>
      <c r="M182" s="1101"/>
      <c r="N182" s="1101"/>
      <c r="O182" s="1101"/>
      <c r="P182" s="1101"/>
      <c r="Q182" s="1101"/>
      <c r="R182" s="1101"/>
      <c r="S182" s="1101"/>
      <c r="T182" s="1101"/>
    </row>
    <row r="183" spans="1:20">
      <c r="A183" s="1101"/>
      <c r="B183" s="1101"/>
      <c r="C183" s="1101"/>
      <c r="D183" s="1101"/>
      <c r="E183" s="1101"/>
      <c r="F183" s="1101"/>
      <c r="G183" s="1101"/>
      <c r="H183" s="1101"/>
      <c r="I183" s="1101"/>
      <c r="J183" s="1101"/>
      <c r="K183" s="1102"/>
      <c r="L183" s="1103"/>
      <c r="M183" s="1101"/>
      <c r="N183" s="1101"/>
      <c r="O183" s="1101"/>
      <c r="P183" s="1101"/>
      <c r="Q183" s="1101"/>
      <c r="R183" s="1101"/>
      <c r="S183" s="1101"/>
      <c r="T183" s="1101"/>
    </row>
    <row r="184" spans="1:20">
      <c r="A184" s="1101"/>
      <c r="B184" s="1101"/>
      <c r="C184" s="1101"/>
      <c r="D184" s="1101"/>
      <c r="E184" s="1101"/>
      <c r="F184" s="1101"/>
      <c r="G184" s="1101"/>
      <c r="H184" s="1101"/>
      <c r="I184" s="1101"/>
      <c r="J184" s="1101"/>
      <c r="K184" s="1102"/>
      <c r="L184" s="1103"/>
      <c r="M184" s="1101"/>
      <c r="N184" s="1101"/>
      <c r="O184" s="1101"/>
      <c r="P184" s="1101"/>
      <c r="Q184" s="1101"/>
      <c r="R184" s="1101"/>
      <c r="S184" s="1101"/>
      <c r="T184" s="1101"/>
    </row>
    <row r="185" spans="1:20">
      <c r="A185" s="1101"/>
      <c r="B185" s="1101"/>
      <c r="C185" s="1101"/>
      <c r="D185" s="1101"/>
      <c r="E185" s="1101"/>
      <c r="F185" s="1101"/>
      <c r="G185" s="1101"/>
      <c r="H185" s="1101"/>
      <c r="I185" s="1101"/>
      <c r="J185" s="1101"/>
      <c r="K185" s="1102"/>
      <c r="L185" s="1103"/>
      <c r="M185" s="1101"/>
      <c r="N185" s="1101"/>
      <c r="O185" s="1101"/>
      <c r="P185" s="1101"/>
      <c r="Q185" s="1101"/>
      <c r="R185" s="1101"/>
      <c r="S185" s="1101"/>
      <c r="T185" s="1101"/>
    </row>
    <row r="186" spans="1:20">
      <c r="A186" s="1101"/>
      <c r="B186" s="1101"/>
      <c r="C186" s="1101"/>
      <c r="D186" s="1101"/>
      <c r="E186" s="1101"/>
      <c r="F186" s="1101"/>
      <c r="G186" s="1101"/>
      <c r="H186" s="1101"/>
      <c r="I186" s="1101"/>
      <c r="J186" s="1101"/>
      <c r="K186" s="1102"/>
      <c r="L186" s="1103"/>
      <c r="M186" s="1101"/>
      <c r="N186" s="1101"/>
      <c r="O186" s="1101"/>
      <c r="P186" s="1101"/>
      <c r="Q186" s="1101"/>
      <c r="R186" s="1101"/>
      <c r="S186" s="1101"/>
      <c r="T186" s="1101"/>
    </row>
    <row r="187" spans="1:20">
      <c r="A187" s="1101"/>
      <c r="B187" s="1101"/>
      <c r="C187" s="1101"/>
      <c r="D187" s="1101"/>
      <c r="E187" s="1101"/>
      <c r="F187" s="1101"/>
      <c r="G187" s="1101"/>
      <c r="H187" s="1101"/>
      <c r="I187" s="1101"/>
      <c r="J187" s="1101"/>
      <c r="K187" s="1102"/>
      <c r="L187" s="1103"/>
      <c r="M187" s="1101"/>
      <c r="N187" s="1101"/>
      <c r="O187" s="1101"/>
      <c r="P187" s="1101"/>
      <c r="Q187" s="1101"/>
      <c r="R187" s="1101"/>
      <c r="S187" s="1101"/>
      <c r="T187" s="1101"/>
    </row>
    <row r="188" spans="1:20">
      <c r="A188" s="1101"/>
      <c r="B188" s="1101"/>
      <c r="C188" s="1101"/>
      <c r="D188" s="1101"/>
      <c r="E188" s="1101"/>
      <c r="F188" s="1101"/>
      <c r="G188" s="1101"/>
      <c r="H188" s="1101"/>
      <c r="I188" s="1101"/>
      <c r="J188" s="1101"/>
      <c r="K188" s="1102"/>
      <c r="L188" s="1103"/>
      <c r="M188" s="1101"/>
      <c r="N188" s="1101"/>
      <c r="O188" s="1101"/>
      <c r="P188" s="1101"/>
      <c r="Q188" s="1101"/>
      <c r="R188" s="1101"/>
      <c r="S188" s="1101"/>
      <c r="T188" s="1101"/>
    </row>
    <row r="189" spans="1:20">
      <c r="A189" s="1101"/>
      <c r="B189" s="1101"/>
      <c r="C189" s="1101"/>
      <c r="D189" s="1101"/>
      <c r="E189" s="1101"/>
      <c r="F189" s="1101"/>
      <c r="G189" s="1101"/>
      <c r="H189" s="1101"/>
      <c r="I189" s="1101"/>
      <c r="J189" s="1101"/>
      <c r="K189" s="1102"/>
      <c r="L189" s="1103"/>
      <c r="M189" s="1101"/>
      <c r="N189" s="1101"/>
      <c r="O189" s="1101"/>
      <c r="P189" s="1101"/>
      <c r="Q189" s="1101"/>
      <c r="R189" s="1101"/>
      <c r="S189" s="1101"/>
      <c r="T189" s="1101"/>
    </row>
    <row r="190" spans="1:20">
      <c r="A190" s="1101"/>
      <c r="B190" s="1101"/>
      <c r="C190" s="1101"/>
      <c r="D190" s="1101"/>
      <c r="E190" s="1101"/>
      <c r="F190" s="1101"/>
      <c r="G190" s="1101"/>
      <c r="H190" s="1101"/>
      <c r="I190" s="1101"/>
      <c r="J190" s="1101"/>
      <c r="K190" s="1102"/>
      <c r="L190" s="1103"/>
      <c r="M190" s="1101"/>
      <c r="N190" s="1101"/>
      <c r="O190" s="1101"/>
      <c r="P190" s="1101"/>
      <c r="Q190" s="1101"/>
      <c r="R190" s="1101"/>
      <c r="S190" s="1101"/>
      <c r="T190" s="1101"/>
    </row>
    <row r="191" spans="1:20">
      <c r="A191" s="1101"/>
      <c r="B191" s="1101"/>
      <c r="C191" s="1101"/>
      <c r="D191" s="1101"/>
      <c r="E191" s="1101"/>
      <c r="F191" s="1101"/>
      <c r="G191" s="1101"/>
      <c r="H191" s="1101"/>
      <c r="I191" s="1101"/>
      <c r="J191" s="1101"/>
      <c r="K191" s="1102"/>
      <c r="L191" s="1103"/>
      <c r="M191" s="1101"/>
      <c r="N191" s="1101"/>
      <c r="O191" s="1101"/>
      <c r="P191" s="1101"/>
      <c r="Q191" s="1101"/>
      <c r="R191" s="1101"/>
      <c r="S191" s="1101"/>
      <c r="T191" s="1101"/>
    </row>
    <row r="192" spans="1:20">
      <c r="A192" s="1101"/>
      <c r="B192" s="1101"/>
      <c r="C192" s="1101"/>
      <c r="D192" s="1101"/>
      <c r="E192" s="1101"/>
      <c r="F192" s="1101"/>
      <c r="G192" s="1101"/>
      <c r="H192" s="1101"/>
      <c r="I192" s="1101"/>
      <c r="J192" s="1101"/>
      <c r="K192" s="1102"/>
      <c r="L192" s="1103"/>
      <c r="M192" s="1101"/>
      <c r="N192" s="1101"/>
      <c r="O192" s="1101"/>
      <c r="P192" s="1101"/>
      <c r="Q192" s="1101"/>
      <c r="R192" s="1101"/>
      <c r="S192" s="1101"/>
      <c r="T192" s="1101"/>
    </row>
    <row r="193" spans="1:20">
      <c r="A193" s="1101"/>
      <c r="B193" s="1101"/>
      <c r="C193" s="1101"/>
      <c r="D193" s="1101"/>
      <c r="E193" s="1101"/>
      <c r="F193" s="1101"/>
      <c r="G193" s="1101"/>
      <c r="H193" s="1101"/>
      <c r="I193" s="1101"/>
      <c r="J193" s="1101"/>
      <c r="K193" s="1102"/>
      <c r="L193" s="1103"/>
      <c r="M193" s="1101"/>
      <c r="N193" s="1101"/>
      <c r="O193" s="1101"/>
      <c r="P193" s="1101"/>
      <c r="Q193" s="1101"/>
      <c r="R193" s="1101"/>
      <c r="S193" s="1101"/>
      <c r="T193" s="1101"/>
    </row>
    <row r="194" spans="1:20">
      <c r="A194" s="1101"/>
      <c r="B194" s="1101"/>
      <c r="C194" s="1101"/>
      <c r="D194" s="1101"/>
      <c r="E194" s="1101"/>
      <c r="F194" s="1101"/>
      <c r="G194" s="1101"/>
      <c r="H194" s="1101"/>
      <c r="I194" s="1101"/>
      <c r="J194" s="1101"/>
      <c r="K194" s="1102"/>
      <c r="L194" s="1103"/>
      <c r="M194" s="1101"/>
      <c r="N194" s="1101"/>
      <c r="O194" s="1101"/>
      <c r="P194" s="1101"/>
      <c r="Q194" s="1101"/>
      <c r="R194" s="1101"/>
      <c r="S194" s="1101"/>
      <c r="T194" s="1101"/>
    </row>
    <row r="195" spans="1:20">
      <c r="A195" s="1101"/>
      <c r="B195" s="1101"/>
      <c r="C195" s="1101"/>
      <c r="D195" s="1101"/>
      <c r="E195" s="1101"/>
      <c r="F195" s="1101"/>
      <c r="G195" s="1101"/>
      <c r="H195" s="1101"/>
      <c r="I195" s="1101"/>
      <c r="J195" s="1101"/>
      <c r="K195" s="1102"/>
      <c r="L195" s="1103"/>
      <c r="M195" s="1101"/>
      <c r="N195" s="1101"/>
      <c r="O195" s="1101"/>
      <c r="P195" s="1101"/>
      <c r="Q195" s="1101"/>
      <c r="R195" s="1101"/>
      <c r="S195" s="1101"/>
      <c r="T195" s="1101"/>
    </row>
    <row r="196" spans="1:20">
      <c r="A196" s="1101"/>
      <c r="B196" s="1101"/>
      <c r="C196" s="1101"/>
      <c r="D196" s="1101"/>
      <c r="E196" s="1101"/>
      <c r="F196" s="1101"/>
      <c r="G196" s="1101"/>
      <c r="H196" s="1101"/>
      <c r="I196" s="1101"/>
      <c r="J196" s="1101"/>
      <c r="K196" s="1102"/>
      <c r="L196" s="1103"/>
      <c r="M196" s="1101"/>
      <c r="N196" s="1101"/>
      <c r="O196" s="1101"/>
      <c r="P196" s="1101"/>
      <c r="Q196" s="1101"/>
      <c r="R196" s="1101"/>
      <c r="S196" s="1101"/>
      <c r="T196" s="1101"/>
    </row>
    <row r="197" spans="1:20">
      <c r="A197" s="1101"/>
      <c r="B197" s="1101"/>
      <c r="C197" s="1101"/>
      <c r="D197" s="1101"/>
      <c r="E197" s="1101"/>
      <c r="F197" s="1101"/>
      <c r="G197" s="1101"/>
      <c r="H197" s="1101"/>
      <c r="I197" s="1101"/>
      <c r="J197" s="1101"/>
      <c r="K197" s="1102"/>
      <c r="L197" s="1103"/>
      <c r="M197" s="1101"/>
      <c r="N197" s="1101"/>
      <c r="O197" s="1101"/>
      <c r="P197" s="1101"/>
      <c r="Q197" s="1101"/>
      <c r="R197" s="1101"/>
      <c r="S197" s="1101"/>
      <c r="T197" s="1101"/>
    </row>
    <row r="198" spans="1:20">
      <c r="A198" s="1101"/>
      <c r="B198" s="1101"/>
      <c r="C198" s="1101"/>
      <c r="D198" s="1101"/>
      <c r="E198" s="1101"/>
      <c r="F198" s="1101"/>
      <c r="G198" s="1101"/>
      <c r="H198" s="1101"/>
      <c r="I198" s="1101"/>
      <c r="J198" s="1101"/>
      <c r="K198" s="1102"/>
      <c r="L198" s="1103"/>
      <c r="M198" s="1101"/>
      <c r="N198" s="1101"/>
      <c r="O198" s="1101"/>
      <c r="P198" s="1101"/>
      <c r="Q198" s="1101"/>
      <c r="R198" s="1101"/>
      <c r="S198" s="1101"/>
      <c r="T198" s="1101"/>
    </row>
    <row r="199" spans="1:20">
      <c r="A199" s="1101"/>
      <c r="B199" s="1101"/>
      <c r="C199" s="1101"/>
      <c r="D199" s="1101"/>
      <c r="E199" s="1101"/>
      <c r="F199" s="1101"/>
      <c r="G199" s="1101"/>
      <c r="H199" s="1101"/>
      <c r="I199" s="1101"/>
      <c r="J199" s="1101"/>
      <c r="K199" s="1102"/>
      <c r="L199" s="1103"/>
      <c r="M199" s="1101"/>
      <c r="N199" s="1101"/>
      <c r="O199" s="1101"/>
      <c r="P199" s="1101"/>
      <c r="Q199" s="1101"/>
      <c r="R199" s="1101"/>
      <c r="S199" s="1101"/>
      <c r="T199" s="1101"/>
    </row>
    <row r="200" spans="1:20">
      <c r="A200" s="1101"/>
      <c r="B200" s="1101"/>
      <c r="C200" s="1101"/>
      <c r="D200" s="1101"/>
      <c r="E200" s="1101"/>
      <c r="F200" s="1101"/>
      <c r="G200" s="1101"/>
      <c r="H200" s="1101"/>
      <c r="I200" s="1101"/>
      <c r="J200" s="1101"/>
      <c r="K200" s="1102"/>
      <c r="L200" s="1103"/>
      <c r="M200" s="1101"/>
      <c r="N200" s="1101"/>
      <c r="O200" s="1101"/>
      <c r="P200" s="1101"/>
      <c r="Q200" s="1101"/>
      <c r="R200" s="1101"/>
      <c r="S200" s="1101"/>
      <c r="T200" s="1101"/>
    </row>
    <row r="201" spans="1:20">
      <c r="A201" s="1101"/>
      <c r="B201" s="1101"/>
      <c r="C201" s="1101"/>
      <c r="D201" s="1101"/>
      <c r="E201" s="1101"/>
      <c r="F201" s="1101"/>
      <c r="G201" s="1101"/>
      <c r="H201" s="1101"/>
      <c r="I201" s="1101"/>
      <c r="J201" s="1101"/>
      <c r="K201" s="1102"/>
      <c r="L201" s="1103"/>
      <c r="M201" s="1101"/>
      <c r="N201" s="1101"/>
      <c r="O201" s="1101"/>
      <c r="P201" s="1101"/>
      <c r="Q201" s="1101"/>
      <c r="R201" s="1101"/>
      <c r="S201" s="1101"/>
      <c r="T201" s="1101"/>
    </row>
    <row r="202" spans="1:20">
      <c r="A202" s="1101"/>
      <c r="B202" s="1101"/>
      <c r="C202" s="1101"/>
      <c r="D202" s="1101"/>
      <c r="E202" s="1101"/>
      <c r="F202" s="1101"/>
      <c r="G202" s="1101"/>
      <c r="H202" s="1101"/>
      <c r="I202" s="1101"/>
      <c r="J202" s="1101"/>
      <c r="K202" s="1102"/>
      <c r="L202" s="1103"/>
      <c r="M202" s="1101"/>
      <c r="N202" s="1101"/>
      <c r="O202" s="1101"/>
      <c r="P202" s="1101"/>
      <c r="Q202" s="1101"/>
      <c r="R202" s="1101"/>
      <c r="S202" s="1101"/>
      <c r="T202" s="1101"/>
    </row>
    <row r="203" spans="1:20">
      <c r="A203" s="1101"/>
      <c r="B203" s="1101"/>
      <c r="C203" s="1101"/>
      <c r="D203" s="1101"/>
      <c r="E203" s="1101"/>
      <c r="F203" s="1101"/>
      <c r="G203" s="1101"/>
      <c r="H203" s="1101"/>
      <c r="I203" s="1101"/>
      <c r="J203" s="1101"/>
      <c r="K203" s="1102"/>
      <c r="L203" s="1103"/>
      <c r="M203" s="1101"/>
      <c r="N203" s="1101"/>
      <c r="O203" s="1101"/>
      <c r="P203" s="1101"/>
      <c r="Q203" s="1101"/>
      <c r="R203" s="1101"/>
      <c r="S203" s="1101"/>
      <c r="T203" s="1101"/>
    </row>
    <row r="204" spans="1:20">
      <c r="A204" s="1101"/>
      <c r="B204" s="1101"/>
      <c r="C204" s="1101"/>
      <c r="D204" s="1101"/>
      <c r="E204" s="1101"/>
      <c r="F204" s="1101"/>
      <c r="G204" s="1101"/>
      <c r="H204" s="1101"/>
      <c r="I204" s="1101"/>
      <c r="J204" s="1101"/>
      <c r="K204" s="1102"/>
      <c r="L204" s="1103"/>
      <c r="M204" s="1101"/>
      <c r="N204" s="1101"/>
      <c r="O204" s="1101"/>
      <c r="P204" s="1101"/>
      <c r="Q204" s="1101"/>
      <c r="R204" s="1101"/>
      <c r="S204" s="1101"/>
      <c r="T204" s="1101"/>
    </row>
    <row r="205" spans="1:20">
      <c r="A205" s="1101"/>
      <c r="B205" s="1101"/>
      <c r="C205" s="1101"/>
      <c r="D205" s="1101"/>
      <c r="E205" s="1101"/>
      <c r="F205" s="1101"/>
      <c r="G205" s="1101"/>
      <c r="H205" s="1101"/>
      <c r="I205" s="1101"/>
      <c r="J205" s="1101"/>
      <c r="K205" s="1102"/>
      <c r="L205" s="1103"/>
      <c r="M205" s="1101"/>
      <c r="N205" s="1101"/>
      <c r="O205" s="1101"/>
      <c r="P205" s="1101"/>
      <c r="Q205" s="1101"/>
      <c r="R205" s="1101"/>
      <c r="S205" s="1101"/>
      <c r="T205" s="1101"/>
    </row>
    <row r="206" spans="1:20">
      <c r="A206" s="1101"/>
      <c r="B206" s="1101"/>
      <c r="C206" s="1101"/>
      <c r="D206" s="1101"/>
      <c r="E206" s="1101"/>
      <c r="F206" s="1101"/>
      <c r="G206" s="1101"/>
      <c r="H206" s="1101"/>
      <c r="I206" s="1101"/>
      <c r="J206" s="1101"/>
      <c r="K206" s="1102"/>
      <c r="L206" s="1103"/>
      <c r="M206" s="1101"/>
      <c r="N206" s="1101"/>
      <c r="O206" s="1101"/>
      <c r="P206" s="1101"/>
      <c r="Q206" s="1101"/>
      <c r="R206" s="1101"/>
      <c r="S206" s="1101"/>
      <c r="T206" s="1101"/>
    </row>
    <row r="207" spans="1:20">
      <c r="A207" s="1101"/>
      <c r="B207" s="1101"/>
      <c r="C207" s="1101"/>
      <c r="D207" s="1101"/>
      <c r="E207" s="1101"/>
      <c r="F207" s="1101"/>
      <c r="G207" s="1101"/>
      <c r="H207" s="1101"/>
      <c r="I207" s="1101"/>
      <c r="J207" s="1101"/>
      <c r="K207" s="1102"/>
      <c r="L207" s="1103"/>
      <c r="M207" s="1101"/>
      <c r="N207" s="1101"/>
      <c r="O207" s="1101"/>
      <c r="P207" s="1101"/>
      <c r="Q207" s="1101"/>
      <c r="R207" s="1101"/>
      <c r="S207" s="1101"/>
      <c r="T207" s="1101"/>
    </row>
    <row r="208" spans="1:20">
      <c r="A208" s="1101"/>
      <c r="B208" s="1101"/>
      <c r="C208" s="1101"/>
      <c r="D208" s="1101"/>
      <c r="E208" s="1101"/>
      <c r="F208" s="1101"/>
      <c r="G208" s="1101"/>
      <c r="H208" s="1101"/>
      <c r="I208" s="1101"/>
      <c r="J208" s="1101"/>
      <c r="K208" s="1102"/>
      <c r="L208" s="1103"/>
      <c r="M208" s="1101"/>
      <c r="N208" s="1101"/>
      <c r="O208" s="1101"/>
      <c r="P208" s="1101"/>
      <c r="Q208" s="1101"/>
      <c r="R208" s="1101"/>
      <c r="S208" s="1101"/>
      <c r="T208" s="1101"/>
    </row>
    <row r="209" spans="1:20">
      <c r="A209" s="1101"/>
      <c r="B209" s="1101"/>
      <c r="C209" s="1101"/>
      <c r="D209" s="1101"/>
      <c r="E209" s="1101"/>
      <c r="F209" s="1101"/>
      <c r="G209" s="1101"/>
      <c r="H209" s="1101"/>
      <c r="I209" s="1101"/>
      <c r="J209" s="1101"/>
      <c r="K209" s="1102"/>
      <c r="L209" s="1103"/>
      <c r="M209" s="1101"/>
      <c r="N209" s="1101"/>
      <c r="O209" s="1101"/>
      <c r="P209" s="1101"/>
      <c r="Q209" s="1101"/>
      <c r="R209" s="1101"/>
      <c r="S209" s="1101"/>
      <c r="T209" s="1101"/>
    </row>
    <row r="210" spans="1:20">
      <c r="A210" s="1101"/>
      <c r="B210" s="1101"/>
      <c r="C210" s="1101"/>
      <c r="D210" s="1101"/>
      <c r="E210" s="1101"/>
      <c r="F210" s="1101"/>
      <c r="G210" s="1101"/>
      <c r="H210" s="1101"/>
      <c r="I210" s="1101"/>
      <c r="J210" s="1101"/>
      <c r="K210" s="1102"/>
      <c r="L210" s="1103"/>
      <c r="M210" s="1101"/>
      <c r="N210" s="1101"/>
      <c r="O210" s="1101"/>
      <c r="P210" s="1101"/>
      <c r="Q210" s="1101"/>
      <c r="R210" s="1101"/>
      <c r="S210" s="1101"/>
      <c r="T210" s="1101"/>
    </row>
    <row r="211" spans="1:20">
      <c r="A211" s="1101"/>
      <c r="B211" s="1101"/>
      <c r="C211" s="1101"/>
      <c r="D211" s="1101"/>
      <c r="E211" s="1101"/>
      <c r="F211" s="1101"/>
      <c r="G211" s="1101"/>
      <c r="H211" s="1101"/>
      <c r="I211" s="1101"/>
      <c r="J211" s="1101"/>
      <c r="K211" s="1102"/>
      <c r="L211" s="1103"/>
      <c r="M211" s="1101"/>
      <c r="N211" s="1101"/>
      <c r="O211" s="1101"/>
      <c r="P211" s="1101"/>
      <c r="Q211" s="1101"/>
      <c r="R211" s="1101"/>
      <c r="S211" s="1101"/>
      <c r="T211" s="1101"/>
    </row>
    <row r="212" spans="1:20">
      <c r="A212" s="1101"/>
      <c r="B212" s="1101"/>
      <c r="C212" s="1101"/>
      <c r="D212" s="1101"/>
      <c r="E212" s="1101"/>
      <c r="F212" s="1101"/>
      <c r="G212" s="1101"/>
      <c r="H212" s="1101"/>
      <c r="I212" s="1101"/>
      <c r="J212" s="1101"/>
      <c r="K212" s="1102"/>
      <c r="L212" s="1103"/>
      <c r="M212" s="1101"/>
      <c r="N212" s="1101"/>
      <c r="O212" s="1101"/>
      <c r="P212" s="1101"/>
      <c r="Q212" s="1101"/>
      <c r="R212" s="1101"/>
      <c r="S212" s="1101"/>
      <c r="T212" s="1101"/>
    </row>
    <row r="213" spans="1:20">
      <c r="A213" s="1101"/>
      <c r="B213" s="1101"/>
      <c r="C213" s="1101"/>
      <c r="D213" s="1101"/>
      <c r="E213" s="1101"/>
      <c r="F213" s="1101"/>
      <c r="G213" s="1101"/>
      <c r="H213" s="1101"/>
      <c r="I213" s="1101"/>
      <c r="J213" s="1101"/>
      <c r="K213" s="1102"/>
      <c r="L213" s="1103"/>
      <c r="M213" s="1101"/>
      <c r="N213" s="1101"/>
      <c r="O213" s="1101"/>
      <c r="P213" s="1101"/>
      <c r="Q213" s="1101"/>
      <c r="R213" s="1101"/>
      <c r="S213" s="1101"/>
      <c r="T213" s="1101"/>
    </row>
    <row r="214" spans="1:20">
      <c r="A214" s="1101"/>
      <c r="B214" s="1101"/>
      <c r="C214" s="1101"/>
      <c r="D214" s="1101"/>
      <c r="E214" s="1101"/>
      <c r="F214" s="1101"/>
      <c r="G214" s="1101"/>
      <c r="H214" s="1101"/>
      <c r="I214" s="1101"/>
      <c r="J214" s="1101"/>
      <c r="K214" s="1102"/>
      <c r="L214" s="1103"/>
      <c r="M214" s="1101"/>
      <c r="N214" s="1101"/>
      <c r="O214" s="1101"/>
      <c r="P214" s="1101"/>
      <c r="Q214" s="1101"/>
      <c r="R214" s="1101"/>
      <c r="S214" s="1101"/>
      <c r="T214" s="1101"/>
    </row>
    <row r="215" spans="1:20">
      <c r="A215" s="1101"/>
      <c r="B215" s="1101"/>
      <c r="C215" s="1101"/>
      <c r="D215" s="1101"/>
      <c r="E215" s="1101"/>
      <c r="F215" s="1101"/>
      <c r="G215" s="1101"/>
      <c r="H215" s="1101"/>
      <c r="I215" s="1101"/>
      <c r="J215" s="1101"/>
      <c r="K215" s="1102"/>
      <c r="L215" s="1103"/>
      <c r="M215" s="1101"/>
      <c r="N215" s="1101"/>
      <c r="O215" s="1101"/>
      <c r="P215" s="1101"/>
      <c r="Q215" s="1101"/>
      <c r="R215" s="1101"/>
      <c r="S215" s="1101"/>
      <c r="T215" s="1101"/>
    </row>
    <row r="216" spans="1:20">
      <c r="A216" s="1101"/>
      <c r="B216" s="1101"/>
      <c r="C216" s="1101"/>
      <c r="D216" s="1101"/>
      <c r="E216" s="1101"/>
      <c r="F216" s="1101"/>
      <c r="G216" s="1101"/>
      <c r="H216" s="1101"/>
      <c r="I216" s="1101"/>
      <c r="J216" s="1101"/>
      <c r="K216" s="1102"/>
      <c r="L216" s="1103"/>
      <c r="M216" s="1101"/>
      <c r="N216" s="1101"/>
      <c r="O216" s="1101"/>
      <c r="P216" s="1101"/>
      <c r="Q216" s="1101"/>
      <c r="R216" s="1101"/>
      <c r="S216" s="1101"/>
      <c r="T216" s="1101"/>
    </row>
    <row r="217" spans="1:20">
      <c r="A217" s="1101"/>
      <c r="B217" s="1101"/>
      <c r="C217" s="1101"/>
      <c r="D217" s="1101"/>
      <c r="E217" s="1101"/>
      <c r="F217" s="1101"/>
      <c r="G217" s="1101"/>
      <c r="H217" s="1101"/>
      <c r="I217" s="1101"/>
      <c r="J217" s="1101"/>
      <c r="K217" s="1102"/>
      <c r="L217" s="1103"/>
      <c r="M217" s="1101"/>
      <c r="N217" s="1101"/>
      <c r="O217" s="1101"/>
      <c r="P217" s="1101"/>
      <c r="Q217" s="1101"/>
      <c r="R217" s="1101"/>
      <c r="S217" s="1101"/>
      <c r="T217" s="1101"/>
    </row>
    <row r="218" spans="1:20">
      <c r="A218" s="1101"/>
      <c r="B218" s="1101"/>
      <c r="C218" s="1101"/>
      <c r="D218" s="1101"/>
      <c r="E218" s="1101"/>
      <c r="F218" s="1101"/>
      <c r="G218" s="1101"/>
      <c r="H218" s="1101"/>
      <c r="I218" s="1101"/>
      <c r="J218" s="1101"/>
      <c r="K218" s="1102"/>
      <c r="L218" s="1103"/>
      <c r="M218" s="1101"/>
      <c r="N218" s="1101"/>
      <c r="O218" s="1101"/>
      <c r="P218" s="1101"/>
      <c r="Q218" s="1101"/>
      <c r="R218" s="1101"/>
      <c r="S218" s="1101"/>
      <c r="T218" s="1101"/>
    </row>
    <row r="219" spans="1:20">
      <c r="A219" s="1101"/>
      <c r="B219" s="1101"/>
      <c r="C219" s="1101"/>
      <c r="D219" s="1101"/>
      <c r="E219" s="1101"/>
      <c r="F219" s="1101"/>
      <c r="G219" s="1101"/>
      <c r="H219" s="1101"/>
      <c r="I219" s="1101"/>
      <c r="J219" s="1101"/>
      <c r="K219" s="1102"/>
      <c r="L219" s="1103"/>
      <c r="M219" s="1101"/>
      <c r="N219" s="1101"/>
      <c r="O219" s="1101"/>
      <c r="P219" s="1101"/>
      <c r="Q219" s="1101"/>
      <c r="R219" s="1101"/>
      <c r="S219" s="1101"/>
      <c r="T219" s="1101"/>
    </row>
    <row r="220" spans="1:20">
      <c r="A220" s="1101"/>
      <c r="B220" s="1101"/>
      <c r="C220" s="1101"/>
      <c r="D220" s="1101"/>
      <c r="E220" s="1101"/>
      <c r="F220" s="1101"/>
      <c r="G220" s="1101"/>
      <c r="H220" s="1101"/>
      <c r="I220" s="1101"/>
      <c r="J220" s="1101"/>
      <c r="K220" s="1102"/>
      <c r="L220" s="1103"/>
      <c r="M220" s="1101"/>
      <c r="N220" s="1101"/>
      <c r="O220" s="1101"/>
      <c r="P220" s="1101"/>
      <c r="Q220" s="1101"/>
      <c r="R220" s="1101"/>
      <c r="S220" s="1101"/>
      <c r="T220" s="1101"/>
    </row>
    <row r="221" spans="1:20">
      <c r="A221" s="1101"/>
      <c r="B221" s="1101"/>
      <c r="C221" s="1101"/>
      <c r="D221" s="1101"/>
      <c r="E221" s="1101"/>
      <c r="F221" s="1101"/>
      <c r="G221" s="1101"/>
      <c r="H221" s="1101"/>
      <c r="I221" s="1101"/>
      <c r="J221" s="1101"/>
      <c r="K221" s="1102"/>
      <c r="L221" s="1103"/>
      <c r="M221" s="1101"/>
      <c r="N221" s="1101"/>
      <c r="O221" s="1101"/>
      <c r="P221" s="1101"/>
      <c r="Q221" s="1101"/>
      <c r="R221" s="1101"/>
      <c r="S221" s="1101"/>
      <c r="T221" s="1101"/>
    </row>
    <row r="222" spans="1:20">
      <c r="A222" s="1101"/>
      <c r="B222" s="1101"/>
      <c r="C222" s="1101"/>
      <c r="D222" s="1101"/>
      <c r="E222" s="1101"/>
      <c r="F222" s="1101"/>
      <c r="G222" s="1101"/>
      <c r="H222" s="1101"/>
      <c r="I222" s="1101"/>
      <c r="J222" s="1101"/>
      <c r="K222" s="1102"/>
      <c r="L222" s="1103"/>
      <c r="M222" s="1101"/>
      <c r="N222" s="1101"/>
      <c r="O222" s="1101"/>
      <c r="P222" s="1101"/>
      <c r="Q222" s="1101"/>
      <c r="R222" s="1101"/>
      <c r="S222" s="1101"/>
      <c r="T222" s="1101"/>
    </row>
    <row r="223" spans="1:20">
      <c r="A223" s="1101"/>
      <c r="B223" s="1101"/>
      <c r="C223" s="1101"/>
      <c r="D223" s="1101"/>
      <c r="E223" s="1101"/>
      <c r="F223" s="1101"/>
      <c r="G223" s="1101"/>
      <c r="H223" s="1101"/>
      <c r="I223" s="1101"/>
      <c r="J223" s="1101"/>
      <c r="K223" s="1102"/>
      <c r="L223" s="1103"/>
      <c r="M223" s="1101"/>
      <c r="N223" s="1101"/>
      <c r="O223" s="1101"/>
      <c r="P223" s="1101"/>
      <c r="Q223" s="1101"/>
      <c r="R223" s="1101"/>
      <c r="S223" s="1101"/>
      <c r="T223" s="1101"/>
    </row>
    <row r="224" spans="1:20">
      <c r="A224" s="1101"/>
      <c r="B224" s="1101"/>
      <c r="C224" s="1101"/>
      <c r="D224" s="1101"/>
      <c r="E224" s="1101"/>
      <c r="F224" s="1101"/>
      <c r="G224" s="1101"/>
      <c r="H224" s="1101"/>
      <c r="I224" s="1101"/>
      <c r="J224" s="1101"/>
      <c r="K224" s="1102"/>
      <c r="L224" s="1103"/>
      <c r="M224" s="1101"/>
      <c r="N224" s="1101"/>
      <c r="O224" s="1101"/>
      <c r="P224" s="1101"/>
      <c r="Q224" s="1101"/>
      <c r="R224" s="1101"/>
      <c r="S224" s="1101"/>
      <c r="T224" s="1101"/>
    </row>
    <row r="225" spans="1:20">
      <c r="A225" s="1101"/>
      <c r="B225" s="1101"/>
      <c r="C225" s="1101"/>
      <c r="D225" s="1101"/>
      <c r="E225" s="1101"/>
      <c r="F225" s="1101"/>
      <c r="G225" s="1101"/>
      <c r="H225" s="1101"/>
      <c r="I225" s="1101"/>
      <c r="J225" s="1101"/>
      <c r="K225" s="1102"/>
      <c r="L225" s="1103"/>
      <c r="M225" s="1101"/>
      <c r="N225" s="1101"/>
      <c r="O225" s="1101"/>
      <c r="P225" s="1101"/>
      <c r="Q225" s="1101"/>
      <c r="R225" s="1101"/>
      <c r="S225" s="1101"/>
      <c r="T225" s="1101"/>
    </row>
    <row r="226" spans="1:20">
      <c r="A226" s="1101"/>
      <c r="B226" s="1101"/>
      <c r="C226" s="1101"/>
      <c r="D226" s="1101"/>
      <c r="E226" s="1101"/>
      <c r="F226" s="1101"/>
      <c r="G226" s="1101"/>
      <c r="H226" s="1101"/>
      <c r="I226" s="1101"/>
      <c r="J226" s="1101"/>
      <c r="K226" s="1102"/>
      <c r="L226" s="1103"/>
      <c r="M226" s="1101"/>
      <c r="N226" s="1101"/>
      <c r="O226" s="1101"/>
      <c r="P226" s="1101"/>
      <c r="Q226" s="1101"/>
      <c r="R226" s="1101"/>
      <c r="S226" s="1101"/>
      <c r="T226" s="1101"/>
    </row>
    <row r="227" spans="1:20">
      <c r="A227" s="1101"/>
      <c r="B227" s="1101"/>
      <c r="C227" s="1101"/>
      <c r="D227" s="1101"/>
      <c r="E227" s="1101"/>
      <c r="F227" s="1101"/>
      <c r="G227" s="1101"/>
      <c r="H227" s="1101"/>
      <c r="I227" s="1101"/>
      <c r="J227" s="1101"/>
      <c r="K227" s="1102"/>
      <c r="L227" s="1103"/>
      <c r="M227" s="1101"/>
      <c r="N227" s="1101"/>
      <c r="O227" s="1101"/>
      <c r="P227" s="1101"/>
      <c r="Q227" s="1101"/>
      <c r="R227" s="1101"/>
      <c r="S227" s="1101"/>
      <c r="T227" s="1101"/>
    </row>
    <row r="228" spans="1:20">
      <c r="A228" s="1101"/>
      <c r="B228" s="1101"/>
      <c r="C228" s="1101"/>
      <c r="D228" s="1101"/>
      <c r="E228" s="1101"/>
      <c r="F228" s="1101"/>
      <c r="G228" s="1101"/>
      <c r="H228" s="1101"/>
      <c r="I228" s="1101"/>
      <c r="J228" s="1101"/>
      <c r="K228" s="1102"/>
      <c r="L228" s="1103"/>
      <c r="M228" s="1101"/>
      <c r="N228" s="1101"/>
      <c r="O228" s="1101"/>
      <c r="P228" s="1101"/>
      <c r="Q228" s="1101"/>
      <c r="R228" s="1101"/>
      <c r="S228" s="1101"/>
      <c r="T228" s="1101"/>
    </row>
    <row r="229" spans="1:20">
      <c r="A229" s="1101"/>
      <c r="B229" s="1101"/>
      <c r="C229" s="1101"/>
      <c r="D229" s="1101"/>
      <c r="E229" s="1101"/>
      <c r="F229" s="1101"/>
      <c r="G229" s="1101"/>
      <c r="H229" s="1101"/>
      <c r="I229" s="1101"/>
      <c r="J229" s="1101"/>
      <c r="K229" s="1102"/>
      <c r="L229" s="1103"/>
      <c r="M229" s="1101"/>
      <c r="N229" s="1101"/>
      <c r="O229" s="1101"/>
      <c r="P229" s="1101"/>
      <c r="Q229" s="1101"/>
      <c r="R229" s="1101"/>
      <c r="S229" s="1101"/>
      <c r="T229" s="1101"/>
    </row>
    <row r="230" spans="1:20">
      <c r="A230" s="1101"/>
      <c r="B230" s="1101"/>
      <c r="C230" s="1101"/>
      <c r="D230" s="1101"/>
      <c r="E230" s="1101"/>
      <c r="F230" s="1101"/>
      <c r="G230" s="1101"/>
      <c r="H230" s="1101"/>
      <c r="I230" s="1101"/>
      <c r="J230" s="1101"/>
      <c r="K230" s="1102"/>
      <c r="L230" s="1103"/>
      <c r="M230" s="1101"/>
      <c r="N230" s="1101"/>
      <c r="O230" s="1101"/>
      <c r="P230" s="1101"/>
      <c r="Q230" s="1101"/>
      <c r="R230" s="1101"/>
      <c r="S230" s="1101"/>
      <c r="T230" s="1101"/>
    </row>
    <row r="231" spans="1:20">
      <c r="A231" s="1101"/>
      <c r="B231" s="1101"/>
      <c r="C231" s="1101"/>
      <c r="D231" s="1101"/>
      <c r="E231" s="1101"/>
      <c r="F231" s="1101"/>
      <c r="G231" s="1101"/>
      <c r="H231" s="1101"/>
      <c r="I231" s="1101"/>
      <c r="J231" s="1101"/>
      <c r="K231" s="1102"/>
      <c r="L231" s="1103"/>
      <c r="M231" s="1101"/>
      <c r="N231" s="1101"/>
      <c r="O231" s="1101"/>
      <c r="P231" s="1101"/>
      <c r="Q231" s="1101"/>
      <c r="R231" s="1101"/>
      <c r="S231" s="1101"/>
      <c r="T231" s="1101"/>
    </row>
    <row r="232" spans="1:20">
      <c r="A232" s="1101"/>
      <c r="B232" s="1101"/>
      <c r="C232" s="1101"/>
      <c r="D232" s="1101"/>
      <c r="E232" s="1101"/>
      <c r="F232" s="1101"/>
      <c r="G232" s="1101"/>
      <c r="H232" s="1101"/>
      <c r="I232" s="1101"/>
      <c r="J232" s="1101"/>
      <c r="K232" s="1102"/>
      <c r="L232" s="1103"/>
      <c r="M232" s="1101"/>
      <c r="N232" s="1101"/>
      <c r="O232" s="1101"/>
      <c r="P232" s="1101"/>
      <c r="Q232" s="1101"/>
      <c r="R232" s="1101"/>
      <c r="S232" s="1101"/>
      <c r="T232" s="1101"/>
    </row>
    <row r="233" spans="1:20">
      <c r="A233" s="1101"/>
      <c r="B233" s="1101"/>
      <c r="C233" s="1101"/>
      <c r="D233" s="1101"/>
      <c r="E233" s="1101"/>
      <c r="F233" s="1101"/>
      <c r="G233" s="1101"/>
      <c r="H233" s="1101"/>
      <c r="I233" s="1101"/>
      <c r="J233" s="1101"/>
      <c r="K233" s="1102"/>
      <c r="L233" s="1103"/>
      <c r="M233" s="1101"/>
      <c r="N233" s="1101"/>
      <c r="O233" s="1101"/>
      <c r="P233" s="1101"/>
      <c r="Q233" s="1101"/>
      <c r="R233" s="1101"/>
      <c r="S233" s="1101"/>
      <c r="T233" s="1101"/>
    </row>
    <row r="234" spans="1:20">
      <c r="A234" s="1101"/>
      <c r="B234" s="1101"/>
      <c r="C234" s="1101"/>
      <c r="D234" s="1101"/>
      <c r="E234" s="1101"/>
      <c r="F234" s="1101"/>
      <c r="G234" s="1101"/>
      <c r="H234" s="1101"/>
      <c r="I234" s="1101"/>
      <c r="J234" s="1101"/>
      <c r="K234" s="1102"/>
      <c r="L234" s="1103"/>
      <c r="M234" s="1101"/>
      <c r="N234" s="1101"/>
      <c r="O234" s="1101"/>
      <c r="P234" s="1101"/>
      <c r="Q234" s="1101"/>
      <c r="R234" s="1101"/>
      <c r="S234" s="1101"/>
      <c r="T234" s="1101"/>
    </row>
    <row r="235" spans="1:20">
      <c r="A235" s="1101"/>
      <c r="B235" s="1101"/>
      <c r="C235" s="1101"/>
      <c r="D235" s="1101"/>
      <c r="E235" s="1101"/>
      <c r="F235" s="1101"/>
      <c r="G235" s="1101"/>
      <c r="H235" s="1101"/>
      <c r="I235" s="1101"/>
      <c r="J235" s="1101"/>
      <c r="K235" s="1102"/>
      <c r="L235" s="1103"/>
      <c r="M235" s="1101"/>
      <c r="N235" s="1101"/>
      <c r="O235" s="1101"/>
      <c r="P235" s="1101"/>
      <c r="Q235" s="1101"/>
      <c r="R235" s="1101"/>
      <c r="S235" s="1101"/>
      <c r="T235" s="1101"/>
    </row>
    <row r="236" spans="1:20">
      <c r="A236" s="1101"/>
      <c r="B236" s="1101"/>
      <c r="C236" s="1101"/>
      <c r="D236" s="1101"/>
      <c r="E236" s="1101"/>
      <c r="F236" s="1101"/>
      <c r="G236" s="1101"/>
      <c r="H236" s="1101"/>
      <c r="I236" s="1101"/>
      <c r="J236" s="1101"/>
      <c r="K236" s="1102"/>
      <c r="L236" s="1103"/>
      <c r="M236" s="1101"/>
      <c r="N236" s="1101"/>
      <c r="O236" s="1101"/>
      <c r="P236" s="1101"/>
      <c r="Q236" s="1101"/>
      <c r="R236" s="1101"/>
      <c r="S236" s="1101"/>
      <c r="T236" s="1101"/>
    </row>
    <row r="237" spans="1:20">
      <c r="A237" s="1101"/>
      <c r="B237" s="1101"/>
      <c r="C237" s="1101"/>
      <c r="D237" s="1101"/>
      <c r="E237" s="1101"/>
      <c r="F237" s="1101"/>
      <c r="G237" s="1101"/>
      <c r="H237" s="1101"/>
      <c r="I237" s="1101"/>
      <c r="J237" s="1101"/>
      <c r="K237" s="1102"/>
      <c r="L237" s="1103"/>
      <c r="M237" s="1101"/>
      <c r="N237" s="1101"/>
      <c r="O237" s="1101"/>
      <c r="P237" s="1101"/>
      <c r="Q237" s="1101"/>
      <c r="R237" s="1101"/>
      <c r="S237" s="1101"/>
      <c r="T237" s="1101"/>
    </row>
    <row r="238" spans="1:20">
      <c r="A238" s="1101"/>
      <c r="B238" s="1101"/>
      <c r="C238" s="1101"/>
      <c r="D238" s="1101"/>
      <c r="E238" s="1101"/>
      <c r="F238" s="1101"/>
      <c r="G238" s="1101"/>
      <c r="H238" s="1101"/>
      <c r="I238" s="1101"/>
      <c r="J238" s="1101"/>
      <c r="K238" s="1102"/>
      <c r="L238" s="1103"/>
      <c r="M238" s="1101"/>
      <c r="N238" s="1101"/>
      <c r="O238" s="1101"/>
      <c r="P238" s="1101"/>
      <c r="Q238" s="1101"/>
      <c r="R238" s="1101"/>
      <c r="S238" s="1101"/>
      <c r="T238" s="1101"/>
    </row>
    <row r="239" spans="1:20">
      <c r="A239" s="1101"/>
      <c r="B239" s="1101"/>
      <c r="C239" s="1101"/>
      <c r="D239" s="1101"/>
      <c r="E239" s="1101"/>
      <c r="F239" s="1101"/>
      <c r="G239" s="1101"/>
      <c r="H239" s="1101"/>
      <c r="I239" s="1101"/>
      <c r="J239" s="1101"/>
      <c r="K239" s="1102"/>
      <c r="L239" s="1103"/>
      <c r="M239" s="1101"/>
      <c r="N239" s="1101"/>
      <c r="O239" s="1101"/>
      <c r="P239" s="1101"/>
      <c r="Q239" s="1101"/>
      <c r="R239" s="1101"/>
      <c r="S239" s="1101"/>
      <c r="T239" s="1101"/>
    </row>
    <row r="240" spans="1:20">
      <c r="A240" s="1101"/>
      <c r="B240" s="1101"/>
      <c r="C240" s="1101"/>
      <c r="D240" s="1101"/>
      <c r="E240" s="1101"/>
      <c r="F240" s="1101"/>
      <c r="G240" s="1101"/>
      <c r="H240" s="1101"/>
      <c r="I240" s="1101"/>
      <c r="J240" s="1101"/>
      <c r="K240" s="1102"/>
      <c r="L240" s="1103"/>
      <c r="M240" s="1101"/>
      <c r="N240" s="1101"/>
      <c r="O240" s="1101"/>
      <c r="P240" s="1101"/>
      <c r="Q240" s="1101"/>
      <c r="R240" s="1101"/>
      <c r="S240" s="1101"/>
      <c r="T240" s="1101"/>
    </row>
    <row r="241" spans="1:20">
      <c r="A241" s="1101"/>
      <c r="B241" s="1101"/>
      <c r="C241" s="1101"/>
      <c r="D241" s="1101"/>
      <c r="E241" s="1101"/>
      <c r="F241" s="1101"/>
      <c r="G241" s="1101"/>
      <c r="H241" s="1101"/>
      <c r="I241" s="1101"/>
      <c r="J241" s="1101"/>
      <c r="K241" s="1102"/>
      <c r="L241" s="1103"/>
      <c r="M241" s="1101"/>
      <c r="N241" s="1101"/>
      <c r="O241" s="1101"/>
      <c r="P241" s="1101"/>
      <c r="Q241" s="1101"/>
      <c r="R241" s="1101"/>
      <c r="S241" s="1101"/>
      <c r="T241" s="110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9" sqref="C39"/>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7" t="s">
        <v>2615</v>
      </c>
      <c r="B1" s="338"/>
      <c r="C1" s="339" t="s">
        <v>2666</v>
      </c>
      <c r="D1" s="698"/>
      <c r="E1" s="698"/>
      <c r="F1" s="697" t="s">
        <v>2514</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41" customFormat="1" ht="28.5" customHeight="1">
      <c r="A2" s="188" t="s">
        <v>2201</v>
      </c>
      <c r="B2" s="614" t="e">
        <f>F61</f>
        <v>#DIV/0!</v>
      </c>
      <c r="C2" s="1071"/>
      <c r="D2" s="1071"/>
      <c r="E2" s="1071"/>
      <c r="F2" s="1072"/>
      <c r="G2" s="1071"/>
      <c r="H2" s="1071"/>
      <c r="I2" s="1071"/>
      <c r="J2" s="1071"/>
      <c r="K2" s="1073"/>
      <c r="L2" s="1074"/>
      <c r="M2" s="1075"/>
      <c r="N2" s="1075"/>
      <c r="O2" s="1075"/>
      <c r="P2" s="711"/>
      <c r="Q2" s="711"/>
      <c r="R2" s="711"/>
      <c r="S2" s="711"/>
      <c r="T2" s="711"/>
      <c r="U2" s="711"/>
      <c r="V2" s="711"/>
      <c r="W2" s="711"/>
      <c r="X2" s="711"/>
      <c r="Y2" s="711"/>
      <c r="Z2" s="711"/>
      <c r="AA2" s="711"/>
      <c r="AB2" s="711"/>
      <c r="AC2" s="712"/>
    </row>
    <row r="3" spans="1:29" s="341" customFormat="1" ht="28.5" customHeight="1" thickBot="1">
      <c r="A3" s="190" t="s">
        <v>2203</v>
      </c>
      <c r="B3" s="552" t="e">
        <f>ROUND(IF(D3="",B2*10000/'数据-汇总表'!E3,B2*10000/D3),0)</f>
        <v>#DIV/0!</v>
      </c>
      <c r="C3" s="190" t="s">
        <v>2617</v>
      </c>
      <c r="D3" s="1513"/>
      <c r="E3" s="1071"/>
      <c r="F3" s="1072"/>
      <c r="G3" s="1071"/>
      <c r="H3" s="1071"/>
      <c r="I3" s="1071"/>
      <c r="J3" s="1071"/>
      <c r="K3" s="1073"/>
      <c r="L3" s="1074"/>
      <c r="M3" s="1075"/>
      <c r="N3" s="1075"/>
      <c r="O3" s="1075"/>
      <c r="P3" s="711"/>
      <c r="Q3" s="711"/>
      <c r="R3" s="711"/>
      <c r="S3" s="711"/>
      <c r="T3" s="711"/>
      <c r="U3" s="711"/>
      <c r="V3" s="711"/>
      <c r="W3" s="711"/>
      <c r="X3" s="711"/>
      <c r="Y3" s="711"/>
      <c r="Z3" s="711"/>
      <c r="AA3" s="711"/>
      <c r="AB3" s="729"/>
      <c r="AC3" s="725"/>
    </row>
    <row r="4" spans="1:29" ht="15">
      <c r="A4" s="344" t="s">
        <v>2516</v>
      </c>
      <c r="B4" s="345"/>
      <c r="C4" s="3292" t="s">
        <v>2517</v>
      </c>
      <c r="D4" s="3293"/>
      <c r="E4" s="3294" t="s">
        <v>2518</v>
      </c>
      <c r="F4" s="3295"/>
      <c r="G4" s="3292" t="s">
        <v>2519</v>
      </c>
      <c r="H4" s="3293"/>
      <c r="I4" s="3292" t="s">
        <v>2520</v>
      </c>
      <c r="J4" s="3293"/>
      <c r="K4" s="553" t="s">
        <v>2521</v>
      </c>
      <c r="L4" s="1076"/>
      <c r="M4" s="1077"/>
      <c r="N4" s="1077"/>
      <c r="O4" s="1077"/>
      <c r="P4" s="3296" t="s">
        <v>2522</v>
      </c>
      <c r="Q4" s="3297"/>
      <c r="R4" s="3279" t="s">
        <v>2518</v>
      </c>
      <c r="S4" s="3280"/>
      <c r="T4" s="3279" t="s">
        <v>2519</v>
      </c>
      <c r="U4" s="3280"/>
      <c r="V4" s="3304" t="s">
        <v>2520</v>
      </c>
      <c r="W4" s="3304"/>
      <c r="X4" s="1740"/>
      <c r="Y4" s="3279" t="s">
        <v>2522</v>
      </c>
      <c r="Z4" s="3280"/>
      <c r="AA4" s="3274" t="s">
        <v>2518</v>
      </c>
      <c r="AB4" s="3275" t="s">
        <v>2519</v>
      </c>
      <c r="AC4" s="3274" t="s">
        <v>2520</v>
      </c>
    </row>
    <row r="5" spans="1:29" ht="15">
      <c r="A5" s="347"/>
      <c r="B5" s="348"/>
      <c r="C5" s="3285" t="s">
        <v>2413</v>
      </c>
      <c r="D5" s="3286"/>
      <c r="E5" s="3283" t="s">
        <v>2414</v>
      </c>
      <c r="F5" s="3284"/>
      <c r="G5" s="3285" t="s">
        <v>2415</v>
      </c>
      <c r="H5" s="3286"/>
      <c r="I5" s="3285" t="s">
        <v>2416</v>
      </c>
      <c r="J5" s="3286"/>
      <c r="K5" s="553"/>
      <c r="L5" s="1076"/>
      <c r="M5" s="1077"/>
      <c r="N5" s="1077"/>
      <c r="O5" s="1077"/>
      <c r="P5" s="3298"/>
      <c r="Q5" s="3299"/>
      <c r="R5" s="3281"/>
      <c r="S5" s="3282"/>
      <c r="T5" s="3281"/>
      <c r="U5" s="3282"/>
      <c r="V5" s="3304"/>
      <c r="W5" s="3304"/>
      <c r="X5" s="1740"/>
      <c r="Y5" s="3281"/>
      <c r="Z5" s="3282"/>
      <c r="AA5" s="3275"/>
      <c r="AB5" s="3275"/>
      <c r="AC5" s="3275"/>
    </row>
    <row r="6" spans="1:29" ht="15.75" thickBot="1">
      <c r="A6" s="349"/>
      <c r="B6" s="350"/>
      <c r="C6" s="3372" t="s">
        <v>2667</v>
      </c>
      <c r="D6" s="3373"/>
      <c r="E6" s="3374" t="s">
        <v>2667</v>
      </c>
      <c r="F6" s="3375"/>
      <c r="G6" s="3372" t="s">
        <v>2667</v>
      </c>
      <c r="H6" s="3373"/>
      <c r="I6" s="3372" t="s">
        <v>2667</v>
      </c>
      <c r="J6" s="3373"/>
      <c r="K6" s="553" t="s">
        <v>2418</v>
      </c>
      <c r="L6" s="1076"/>
      <c r="M6" s="1077"/>
      <c r="N6" s="1077"/>
      <c r="O6" s="1077"/>
      <c r="P6" s="3300"/>
      <c r="Q6" s="3301"/>
      <c r="R6" s="3281"/>
      <c r="S6" s="3282"/>
      <c r="T6" s="3302"/>
      <c r="U6" s="3303"/>
      <c r="V6" s="3304"/>
      <c r="W6" s="3304"/>
      <c r="X6" s="1740"/>
      <c r="Y6" s="3302"/>
      <c r="Z6" s="3303"/>
      <c r="AA6" s="3276"/>
      <c r="AB6" s="3276"/>
      <c r="AC6" s="3276"/>
    </row>
    <row r="7" spans="1:29" s="72" customFormat="1" ht="15.75" thickBot="1">
      <c r="A7" s="351" t="s">
        <v>2419</v>
      </c>
      <c r="B7" s="352"/>
      <c r="C7" s="353">
        <f>'数据-取费表'!B2</f>
        <v>43284</v>
      </c>
      <c r="D7" s="354">
        <v>100</v>
      </c>
      <c r="E7" s="355"/>
      <c r="F7" s="356">
        <f>SUMIF(65:65,YEAR(E7)&amp;"-"&amp;INT((MONTH(E7)+2)/3),66:66)</f>
        <v>0</v>
      </c>
      <c r="G7" s="2559"/>
      <c r="H7" s="354">
        <f>SUMIF(65:65,YEAR(G7)&amp;"-"&amp;INT((MONTH(G7)+2)/3),66:66)</f>
        <v>0</v>
      </c>
      <c r="I7" s="2559"/>
      <c r="J7" s="354">
        <f>SUMIF(65:65,YEAR(I7)&amp;"-"&amp;INT((MONTH(I7)+2)/3),66:66)</f>
        <v>0</v>
      </c>
      <c r="K7" s="554"/>
      <c r="L7" s="1078"/>
      <c r="M7" s="1079"/>
      <c r="N7" s="1079"/>
      <c r="O7" s="1079"/>
      <c r="P7" s="3277" t="s">
        <v>2420</v>
      </c>
      <c r="Q7" s="3305"/>
      <c r="R7" s="713" t="s">
        <v>17</v>
      </c>
      <c r="S7" s="714">
        <f t="shared" ref="S7:S15" si="0">F7</f>
        <v>0</v>
      </c>
      <c r="T7" s="713" t="s">
        <v>17</v>
      </c>
      <c r="U7" s="714">
        <f t="shared" ref="U7:U15" si="1">H7</f>
        <v>0</v>
      </c>
      <c r="V7" s="713" t="s">
        <v>17</v>
      </c>
      <c r="W7" s="714">
        <f t="shared" ref="W7:W15" si="2">J7</f>
        <v>0</v>
      </c>
      <c r="X7" s="715"/>
      <c r="Y7" s="3277" t="s">
        <v>2420</v>
      </c>
      <c r="Z7" s="3278"/>
      <c r="AA7" s="716" t="e">
        <f>D7/F7</f>
        <v>#DIV/0!</v>
      </c>
      <c r="AB7" s="716" t="e">
        <f>D7/H7</f>
        <v>#DIV/0!</v>
      </c>
      <c r="AC7" s="716" t="e">
        <f>D7/J7</f>
        <v>#DIV/0!</v>
      </c>
    </row>
    <row r="8" spans="1:29" s="72" customFormat="1" ht="15.75" thickBot="1">
      <c r="A8" s="351" t="s">
        <v>2421</v>
      </c>
      <c r="B8" s="352"/>
      <c r="C8" s="357" t="s">
        <v>2422</v>
      </c>
      <c r="D8" s="354">
        <v>100</v>
      </c>
      <c r="E8" s="357"/>
      <c r="F8" s="356">
        <f>SUMIF(68:68,E8,69:69)-SUMIF(68:68,C8,69:69)+100</f>
        <v>0</v>
      </c>
      <c r="G8" s="357"/>
      <c r="H8" s="354">
        <f>SUMIF(68:68,G8,69:69)-SUMIF(68:68,C8,69:69)+100</f>
        <v>0</v>
      </c>
      <c r="I8" s="357"/>
      <c r="J8" s="354">
        <f>SUMIF(68:68,I8,69:69)-SUMIF(68:68,C8,69:69)+100</f>
        <v>0</v>
      </c>
      <c r="K8" s="554"/>
      <c r="L8" s="1078"/>
      <c r="M8" s="1079"/>
      <c r="N8" s="1079"/>
      <c r="O8" s="1079"/>
      <c r="P8" s="3277" t="s">
        <v>2423</v>
      </c>
      <c r="Q8" s="3278"/>
      <c r="R8" s="713" t="s">
        <v>17</v>
      </c>
      <c r="S8" s="714">
        <f t="shared" si="0"/>
        <v>0</v>
      </c>
      <c r="T8" s="713" t="s">
        <v>17</v>
      </c>
      <c r="U8" s="714">
        <f t="shared" si="1"/>
        <v>0</v>
      </c>
      <c r="V8" s="713" t="s">
        <v>17</v>
      </c>
      <c r="W8" s="714">
        <f t="shared" si="2"/>
        <v>0</v>
      </c>
      <c r="X8" s="715"/>
      <c r="Y8" s="3277" t="s">
        <v>2423</v>
      </c>
      <c r="Z8" s="3278"/>
      <c r="AA8" s="716" t="e">
        <f t="shared" ref="AA8:AA40" si="3">D8/F8</f>
        <v>#DIV/0!</v>
      </c>
      <c r="AB8" s="716" t="e">
        <f t="shared" ref="AB8:AB40" si="4">D8/H8</f>
        <v>#DIV/0!</v>
      </c>
      <c r="AC8" s="716" t="e">
        <f t="shared" ref="AC8:AC40" si="5">D8/J8</f>
        <v>#DIV/0!</v>
      </c>
    </row>
    <row r="9" spans="1:29" s="72" customFormat="1">
      <c r="A9" s="358" t="s">
        <v>2424</v>
      </c>
      <c r="B9" s="70" t="s">
        <v>2425</v>
      </c>
      <c r="C9" s="2562"/>
      <c r="D9" s="78">
        <v>100</v>
      </c>
      <c r="E9" s="2562"/>
      <c r="F9" s="78">
        <f>SUMIF(70:70,E9,71:71)-SUMIF(70:70,C9,71:71)+100</f>
        <v>100</v>
      </c>
      <c r="G9" s="2562"/>
      <c r="H9" s="78">
        <f>SUMIF(70:70,G9,71:71)-SUMIF(70:70,C9,71:71)+100</f>
        <v>100</v>
      </c>
      <c r="I9" s="2562"/>
      <c r="J9" s="78">
        <f>SUMIF(70:70,I9,71:71)-SUMIF(70:70,C9,71:71)+100</f>
        <v>100</v>
      </c>
      <c r="K9" s="554"/>
      <c r="L9" s="1078"/>
      <c r="M9" s="1079"/>
      <c r="N9" s="1079"/>
      <c r="O9" s="1080"/>
      <c r="P9" s="3291" t="s">
        <v>2426</v>
      </c>
      <c r="Q9" s="1723" t="str">
        <f t="shared" ref="Q9:Q15" si="6">B9</f>
        <v>用途</v>
      </c>
      <c r="R9" s="713" t="s">
        <v>17</v>
      </c>
      <c r="S9" s="714">
        <f t="shared" si="0"/>
        <v>100</v>
      </c>
      <c r="T9" s="713" t="s">
        <v>17</v>
      </c>
      <c r="U9" s="714">
        <f t="shared" si="1"/>
        <v>100</v>
      </c>
      <c r="V9" s="713" t="s">
        <v>17</v>
      </c>
      <c r="W9" s="714">
        <f t="shared" si="2"/>
        <v>100</v>
      </c>
      <c r="X9" s="715"/>
      <c r="Y9" s="3113" t="s">
        <v>2427</v>
      </c>
      <c r="Z9" s="54" t="str">
        <f t="shared" ref="Z9:Z15" si="7">Q9</f>
        <v>用途</v>
      </c>
      <c r="AA9" s="716">
        <f t="shared" si="3"/>
        <v>1</v>
      </c>
      <c r="AB9" s="716">
        <f t="shared" si="4"/>
        <v>1</v>
      </c>
      <c r="AC9" s="716">
        <f t="shared" si="5"/>
        <v>1</v>
      </c>
    </row>
    <row r="10" spans="1:29" s="370" customFormat="1" ht="27">
      <c r="A10" s="364"/>
      <c r="B10" s="365" t="s">
        <v>2428</v>
      </c>
      <c r="C10" s="375"/>
      <c r="D10" s="79">
        <v>100</v>
      </c>
      <c r="E10" s="375"/>
      <c r="F10" s="79">
        <f>ROUND(100/'数据-取费表'!G16,0)</f>
        <v>101</v>
      </c>
      <c r="G10" s="375"/>
      <c r="H10" s="79">
        <f>ROUND(100/'数据-取费表'!G16,0)</f>
        <v>101</v>
      </c>
      <c r="I10" s="375"/>
      <c r="J10" s="79">
        <f>ROUND(100/'数据-取费表'!G16,0)</f>
        <v>101</v>
      </c>
      <c r="K10" s="615"/>
      <c r="L10" s="1081"/>
      <c r="M10" s="1082"/>
      <c r="N10" s="1082"/>
      <c r="O10" s="1083"/>
      <c r="P10" s="3291"/>
      <c r="Q10" s="1723" t="str">
        <f t="shared" si="6"/>
        <v>土地使用年限（年）</v>
      </c>
      <c r="R10" s="713" t="s">
        <v>17</v>
      </c>
      <c r="S10" s="714">
        <f t="shared" si="0"/>
        <v>101</v>
      </c>
      <c r="T10" s="713" t="s">
        <v>17</v>
      </c>
      <c r="U10" s="714">
        <f t="shared" si="1"/>
        <v>101</v>
      </c>
      <c r="V10" s="713" t="s">
        <v>17</v>
      </c>
      <c r="W10" s="714">
        <f t="shared" si="2"/>
        <v>101</v>
      </c>
      <c r="X10" s="715"/>
      <c r="Y10" s="3113"/>
      <c r="Z10" s="54" t="str">
        <f t="shared" si="7"/>
        <v>土地使用年限（年）</v>
      </c>
      <c r="AA10" s="716">
        <f t="shared" si="3"/>
        <v>0.99009900990099009</v>
      </c>
      <c r="AB10" s="716">
        <f t="shared" si="4"/>
        <v>0.99009900990099009</v>
      </c>
      <c r="AC10" s="716">
        <f t="shared" si="5"/>
        <v>0.99009900990099009</v>
      </c>
    </row>
    <row r="11" spans="1:29" ht="15">
      <c r="A11" s="371"/>
      <c r="B11" s="365" t="s">
        <v>2429</v>
      </c>
      <c r="C11" s="372"/>
      <c r="D11" s="79">
        <v>100</v>
      </c>
      <c r="E11" s="372"/>
      <c r="F11" s="79" t="e">
        <f>LOOKUP(E11,75:75,76:76)-LOOKUP(C11,75:75,76:76)+100</f>
        <v>#N/A</v>
      </c>
      <c r="G11" s="373"/>
      <c r="H11" s="79" t="e">
        <f>LOOKUP(G11,75:75,76:76)-LOOKUP(C11,75:75,76:76)+100</f>
        <v>#N/A</v>
      </c>
      <c r="I11" s="372"/>
      <c r="J11" s="79" t="e">
        <f>LOOKUP(I11,75:75,76:76)-LOOKUP(C11,75:75,76:76)+100</f>
        <v>#N/A</v>
      </c>
      <c r="K11" s="616"/>
      <c r="L11" s="1084"/>
      <c r="M11" s="1077"/>
      <c r="N11" s="1077"/>
      <c r="O11" s="1085"/>
      <c r="P11" s="3291"/>
      <c r="Q11" s="1723" t="str">
        <f t="shared" si="6"/>
        <v>容积率</v>
      </c>
      <c r="R11" s="713" t="s">
        <v>17</v>
      </c>
      <c r="S11" s="714" t="e">
        <f t="shared" si="0"/>
        <v>#N/A</v>
      </c>
      <c r="T11" s="713" t="s">
        <v>17</v>
      </c>
      <c r="U11" s="714" t="e">
        <f t="shared" si="1"/>
        <v>#N/A</v>
      </c>
      <c r="V11" s="713" t="s">
        <v>17</v>
      </c>
      <c r="W11" s="714" t="e">
        <f t="shared" si="2"/>
        <v>#N/A</v>
      </c>
      <c r="X11" s="715"/>
      <c r="Y11" s="3113"/>
      <c r="Z11" s="54" t="str">
        <f t="shared" si="7"/>
        <v>容积率</v>
      </c>
      <c r="AA11" s="716" t="e">
        <f t="shared" si="3"/>
        <v>#N/A</v>
      </c>
      <c r="AB11" s="716" t="e">
        <f t="shared" si="4"/>
        <v>#N/A</v>
      </c>
      <c r="AC11" s="716" t="e">
        <f t="shared" si="5"/>
        <v>#N/A</v>
      </c>
    </row>
    <row r="12" spans="1:29" s="72" customFormat="1" ht="15">
      <c r="A12" s="374"/>
      <c r="B12" s="2465">
        <v>111</v>
      </c>
      <c r="C12" s="375"/>
      <c r="D12" s="376">
        <v>100</v>
      </c>
      <c r="E12" s="492"/>
      <c r="F12" s="79">
        <f>SUMIF(77:77,E12,78:78)-SUMIF(77:77,C12,78:78)+100</f>
        <v>100</v>
      </c>
      <c r="G12" s="617"/>
      <c r="H12" s="79">
        <f>SUMIF(77:77,G12,78:78)-SUMIF(77:77,C12,78:78)+100</f>
        <v>100</v>
      </c>
      <c r="I12" s="492"/>
      <c r="J12" s="79">
        <f>SUMIF(77:77,I12,78:78)-SUMIF(77:77,C12,78:78)+100</f>
        <v>100</v>
      </c>
      <c r="K12" s="615"/>
      <c r="L12" s="1078"/>
      <c r="M12" s="1079"/>
      <c r="N12" s="1079"/>
      <c r="O12" s="1080"/>
      <c r="P12" s="3291"/>
      <c r="Q12" s="1723">
        <f t="shared" si="6"/>
        <v>111</v>
      </c>
      <c r="R12" s="713" t="s">
        <v>17</v>
      </c>
      <c r="S12" s="714">
        <f t="shared" si="0"/>
        <v>100</v>
      </c>
      <c r="T12" s="713" t="s">
        <v>17</v>
      </c>
      <c r="U12" s="714">
        <f t="shared" si="1"/>
        <v>100</v>
      </c>
      <c r="V12" s="713" t="s">
        <v>17</v>
      </c>
      <c r="W12" s="714">
        <f t="shared" si="2"/>
        <v>100</v>
      </c>
      <c r="X12" s="715"/>
      <c r="Y12" s="3113"/>
      <c r="Z12" s="54">
        <f t="shared" si="7"/>
        <v>111</v>
      </c>
      <c r="AA12" s="716">
        <f>D12/F12</f>
        <v>1</v>
      </c>
      <c r="AB12" s="716">
        <f>D12/H12</f>
        <v>1</v>
      </c>
      <c r="AC12" s="716">
        <f>D12/J12</f>
        <v>1</v>
      </c>
    </row>
    <row r="13" spans="1:29" ht="15">
      <c r="A13" s="371"/>
      <c r="B13" s="2465">
        <v>111</v>
      </c>
      <c r="C13" s="377"/>
      <c r="D13" s="378">
        <v>100</v>
      </c>
      <c r="E13" s="492"/>
      <c r="F13" s="79">
        <f>SUMIF(79:79,E13,80:80)-SUMIF(79:79,C13,80:80)+100</f>
        <v>100</v>
      </c>
      <c r="G13" s="617"/>
      <c r="H13" s="378">
        <f>SUMIF(79:79,G13,80:80)-SUMIF(79:79,C13,80:80)+100</f>
        <v>100</v>
      </c>
      <c r="I13" s="492"/>
      <c r="J13" s="378">
        <f>SUMIF(79:79,I13,80:80)-SUMIF(79:79,C13,80:80)+100</f>
        <v>100</v>
      </c>
      <c r="K13" s="615"/>
      <c r="L13" s="1086"/>
      <c r="M13" s="1077"/>
      <c r="N13" s="1077"/>
      <c r="O13" s="1085"/>
      <c r="P13" s="3291"/>
      <c r="Q13" s="1723">
        <f t="shared" si="6"/>
        <v>111</v>
      </c>
      <c r="R13" s="713" t="s">
        <v>17</v>
      </c>
      <c r="S13" s="714">
        <f t="shared" si="0"/>
        <v>100</v>
      </c>
      <c r="T13" s="713" t="s">
        <v>17</v>
      </c>
      <c r="U13" s="714">
        <f t="shared" si="1"/>
        <v>100</v>
      </c>
      <c r="V13" s="713" t="s">
        <v>17</v>
      </c>
      <c r="W13" s="714">
        <f t="shared" si="2"/>
        <v>100</v>
      </c>
      <c r="X13" s="715"/>
      <c r="Y13" s="3113"/>
      <c r="Z13" s="54">
        <f t="shared" si="7"/>
        <v>111</v>
      </c>
      <c r="AA13" s="716">
        <f t="shared" si="3"/>
        <v>1</v>
      </c>
      <c r="AB13" s="716">
        <f t="shared" si="4"/>
        <v>1</v>
      </c>
      <c r="AC13" s="716">
        <f t="shared" si="5"/>
        <v>1</v>
      </c>
    </row>
    <row r="14" spans="1:29" ht="15.75" thickBot="1">
      <c r="A14" s="379"/>
      <c r="B14" s="2467">
        <v>111</v>
      </c>
      <c r="C14" s="380"/>
      <c r="D14" s="381">
        <v>100</v>
      </c>
      <c r="E14" s="492"/>
      <c r="F14" s="381">
        <f>SUMIF(81:81,E14,82:82)-SUMIF(81:81,C14,82:82)+100</f>
        <v>100</v>
      </c>
      <c r="G14" s="617"/>
      <c r="H14" s="381">
        <f>SUMIF(81:81,G14,82:82)-SUMIF(81:81,C14,82:82)+100</f>
        <v>100</v>
      </c>
      <c r="I14" s="492"/>
      <c r="J14" s="381">
        <f>SUMIF(81:81,I14,82:82)-SUMIF(81:81,C14,82:82)+100</f>
        <v>100</v>
      </c>
      <c r="K14" s="615"/>
      <c r="L14" s="1086"/>
      <c r="M14" s="1077"/>
      <c r="N14" s="1077"/>
      <c r="O14" s="1085"/>
      <c r="P14" s="3291"/>
      <c r="Q14" s="1723">
        <f t="shared" si="6"/>
        <v>111</v>
      </c>
      <c r="R14" s="713" t="s">
        <v>17</v>
      </c>
      <c r="S14" s="714">
        <f t="shared" si="0"/>
        <v>100</v>
      </c>
      <c r="T14" s="713" t="s">
        <v>17</v>
      </c>
      <c r="U14" s="714">
        <f t="shared" si="1"/>
        <v>100</v>
      </c>
      <c r="V14" s="713" t="s">
        <v>17</v>
      </c>
      <c r="W14" s="714">
        <f t="shared" si="2"/>
        <v>100</v>
      </c>
      <c r="X14" s="715"/>
      <c r="Y14" s="3113"/>
      <c r="Z14" s="54">
        <f t="shared" si="7"/>
        <v>111</v>
      </c>
      <c r="AA14" s="716">
        <f t="shared" si="3"/>
        <v>1</v>
      </c>
      <c r="AB14" s="716">
        <f t="shared" si="4"/>
        <v>1</v>
      </c>
      <c r="AC14" s="716">
        <f t="shared" si="5"/>
        <v>1</v>
      </c>
    </row>
    <row r="15" spans="1:29" ht="15">
      <c r="A15" s="383" t="s">
        <v>2430</v>
      </c>
      <c r="B15" s="572" t="s">
        <v>2668</v>
      </c>
      <c r="C15" s="2556">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86"/>
      <c r="M15" s="1077"/>
      <c r="N15" s="1077"/>
      <c r="O15" s="1085"/>
      <c r="P15" s="3306" t="s">
        <v>2431</v>
      </c>
      <c r="Q15" s="1737" t="str">
        <f t="shared" si="6"/>
        <v>产业集聚程度</v>
      </c>
      <c r="R15" s="717" t="s">
        <v>17</v>
      </c>
      <c r="S15" s="718">
        <f t="shared" si="0"/>
        <v>100</v>
      </c>
      <c r="T15" s="717" t="s">
        <v>17</v>
      </c>
      <c r="U15" s="718">
        <f t="shared" si="1"/>
        <v>100</v>
      </c>
      <c r="V15" s="717" t="s">
        <v>17</v>
      </c>
      <c r="W15" s="718">
        <f t="shared" si="2"/>
        <v>100</v>
      </c>
      <c r="X15" s="1740"/>
      <c r="Y15" s="3306" t="s">
        <v>2431</v>
      </c>
      <c r="Z15" s="1741" t="str">
        <f t="shared" si="7"/>
        <v>产业集聚程度</v>
      </c>
      <c r="AA15" s="1738">
        <f t="shared" si="3"/>
        <v>1</v>
      </c>
      <c r="AB15" s="1738">
        <f t="shared" si="4"/>
        <v>1</v>
      </c>
      <c r="AC15" s="1738">
        <f t="shared" si="5"/>
        <v>1</v>
      </c>
    </row>
    <row r="16" spans="1:29" ht="15">
      <c r="A16" s="371"/>
      <c r="B16" s="573"/>
      <c r="C16" s="390"/>
      <c r="D16" s="391"/>
      <c r="E16" s="2476"/>
      <c r="F16" s="391"/>
      <c r="G16" s="2476"/>
      <c r="H16" s="393"/>
      <c r="I16" s="2476"/>
      <c r="J16" s="391"/>
      <c r="K16" s="615"/>
      <c r="L16" s="1086"/>
      <c r="M16" s="1077"/>
      <c r="N16" s="1077"/>
      <c r="O16" s="1085"/>
      <c r="P16" s="3307"/>
      <c r="Q16" s="1737"/>
      <c r="R16" s="717"/>
      <c r="S16" s="718"/>
      <c r="T16" s="717"/>
      <c r="U16" s="718"/>
      <c r="V16" s="717"/>
      <c r="W16" s="718"/>
      <c r="X16" s="1740"/>
      <c r="Y16" s="3307"/>
      <c r="Z16" s="1741"/>
      <c r="AA16" s="1738">
        <v>1</v>
      </c>
      <c r="AB16" s="1738">
        <v>1</v>
      </c>
      <c r="AC16" s="1738">
        <v>1</v>
      </c>
    </row>
    <row r="17" spans="1:29" ht="15">
      <c r="A17" s="371"/>
      <c r="B17" s="574" t="s">
        <v>2580</v>
      </c>
      <c r="C17" s="2472">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86"/>
      <c r="M17" s="1077"/>
      <c r="N17" s="1077"/>
      <c r="O17" s="1085"/>
      <c r="P17" s="3307"/>
      <c r="Q17" s="1737" t="str">
        <f>B17</f>
        <v>交通便捷度</v>
      </c>
      <c r="R17" s="717" t="s">
        <v>17</v>
      </c>
      <c r="S17" s="718">
        <f>F17</f>
        <v>100</v>
      </c>
      <c r="T17" s="717" t="s">
        <v>17</v>
      </c>
      <c r="U17" s="718">
        <f>H17</f>
        <v>100</v>
      </c>
      <c r="V17" s="717" t="s">
        <v>17</v>
      </c>
      <c r="W17" s="718">
        <f>J17</f>
        <v>100</v>
      </c>
      <c r="X17" s="1740"/>
      <c r="Y17" s="3307"/>
      <c r="Z17" s="1741" t="str">
        <f>Q17</f>
        <v>交通便捷度</v>
      </c>
      <c r="AA17" s="1738">
        <f t="shared" si="3"/>
        <v>1</v>
      </c>
      <c r="AB17" s="1738">
        <f t="shared" si="4"/>
        <v>1</v>
      </c>
      <c r="AC17" s="1738">
        <f t="shared" si="5"/>
        <v>1</v>
      </c>
    </row>
    <row r="18" spans="1:29" ht="15">
      <c r="A18" s="371"/>
      <c r="B18" s="575"/>
      <c r="C18" s="390"/>
      <c r="D18" s="391"/>
      <c r="E18" s="2470"/>
      <c r="F18" s="391"/>
      <c r="G18" s="2470"/>
      <c r="H18" s="391"/>
      <c r="I18" s="2469"/>
      <c r="J18" s="391"/>
      <c r="K18" s="615"/>
      <c r="L18" s="1086"/>
      <c r="M18" s="1077"/>
      <c r="N18" s="1077"/>
      <c r="O18" s="1085"/>
      <c r="P18" s="3307"/>
      <c r="Q18" s="1737"/>
      <c r="R18" s="717"/>
      <c r="S18" s="718"/>
      <c r="T18" s="717"/>
      <c r="U18" s="718"/>
      <c r="V18" s="717"/>
      <c r="W18" s="718"/>
      <c r="X18" s="1740"/>
      <c r="Y18" s="3307"/>
      <c r="Z18" s="1741"/>
      <c r="AA18" s="1738">
        <v>1</v>
      </c>
      <c r="AB18" s="1738">
        <v>1</v>
      </c>
      <c r="AC18" s="1738">
        <v>1</v>
      </c>
    </row>
    <row r="19" spans="1:29" ht="15">
      <c r="A19" s="371"/>
      <c r="B19" s="574" t="s">
        <v>2618</v>
      </c>
      <c r="C19" s="2472">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86"/>
      <c r="M19" s="1077"/>
      <c r="N19" s="1077"/>
      <c r="O19" s="1085"/>
      <c r="P19" s="3307"/>
      <c r="Q19" s="1737" t="str">
        <f t="shared" ref="Q19:Q33" si="8">B19</f>
        <v>区域土地利用方向</v>
      </c>
      <c r="R19" s="717" t="s">
        <v>17</v>
      </c>
      <c r="S19" s="718">
        <f>F19</f>
        <v>100</v>
      </c>
      <c r="T19" s="717" t="s">
        <v>17</v>
      </c>
      <c r="U19" s="718">
        <f>H19</f>
        <v>100</v>
      </c>
      <c r="V19" s="717" t="s">
        <v>17</v>
      </c>
      <c r="W19" s="718">
        <f>J19</f>
        <v>100</v>
      </c>
      <c r="X19" s="1740"/>
      <c r="Y19" s="3307"/>
      <c r="Z19" s="1741" t="str">
        <f>Q19</f>
        <v>区域土地利用方向</v>
      </c>
      <c r="AA19" s="1738">
        <f t="shared" si="3"/>
        <v>1</v>
      </c>
      <c r="AB19" s="1738">
        <f t="shared" si="4"/>
        <v>1</v>
      </c>
      <c r="AC19" s="1738">
        <f t="shared" si="5"/>
        <v>1</v>
      </c>
    </row>
    <row r="20" spans="1:29" ht="15">
      <c r="A20" s="347"/>
      <c r="B20" s="575"/>
      <c r="C20" s="390"/>
      <c r="D20" s="391"/>
      <c r="E20" s="2470"/>
      <c r="F20" s="391"/>
      <c r="G20" s="2470"/>
      <c r="H20" s="391"/>
      <c r="I20" s="2470"/>
      <c r="J20" s="391"/>
      <c r="K20" s="755"/>
      <c r="L20" s="1086"/>
      <c r="M20" s="1077"/>
      <c r="N20" s="1077"/>
      <c r="O20" s="1085"/>
      <c r="P20" s="3307"/>
      <c r="Q20" s="1737"/>
      <c r="R20" s="717"/>
      <c r="S20" s="718"/>
      <c r="T20" s="717"/>
      <c r="U20" s="718"/>
      <c r="V20" s="717"/>
      <c r="W20" s="718"/>
      <c r="X20" s="1740"/>
      <c r="Y20" s="3307"/>
      <c r="Z20" s="1741"/>
      <c r="AA20" s="1738"/>
      <c r="AB20" s="1738"/>
      <c r="AC20" s="1738"/>
    </row>
    <row r="21" spans="1:29" ht="15">
      <c r="A21" s="347"/>
      <c r="B21" s="574" t="s">
        <v>2669</v>
      </c>
      <c r="C21" s="2472">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86"/>
      <c r="M21" s="1077"/>
      <c r="N21" s="1077"/>
      <c r="O21" s="1085"/>
      <c r="P21" s="3307"/>
      <c r="Q21" s="1737" t="str">
        <f t="shared" si="8"/>
        <v>环境状况</v>
      </c>
      <c r="R21" s="717" t="s">
        <v>17</v>
      </c>
      <c r="S21" s="718">
        <f>F21</f>
        <v>100</v>
      </c>
      <c r="T21" s="717" t="s">
        <v>17</v>
      </c>
      <c r="U21" s="718">
        <f>H21</f>
        <v>100</v>
      </c>
      <c r="V21" s="717" t="s">
        <v>17</v>
      </c>
      <c r="W21" s="718">
        <f>J21</f>
        <v>100</v>
      </c>
      <c r="X21" s="1740"/>
      <c r="Y21" s="3307"/>
      <c r="Z21" s="1741" t="str">
        <f>Q21</f>
        <v>环境状况</v>
      </c>
      <c r="AA21" s="1738">
        <f t="shared" si="3"/>
        <v>1</v>
      </c>
      <c r="AB21" s="1738">
        <f t="shared" si="4"/>
        <v>1</v>
      </c>
      <c r="AC21" s="1738">
        <f t="shared" si="5"/>
        <v>1</v>
      </c>
    </row>
    <row r="22" spans="1:29" ht="15">
      <c r="A22" s="347"/>
      <c r="B22" s="575"/>
      <c r="C22" s="390"/>
      <c r="D22" s="391"/>
      <c r="E22" s="2476"/>
      <c r="F22" s="391"/>
      <c r="G22" s="2476"/>
      <c r="H22" s="391"/>
      <c r="I22" s="390"/>
      <c r="J22" s="391"/>
      <c r="K22" s="615"/>
      <c r="L22" s="1086"/>
      <c r="M22" s="1077"/>
      <c r="N22" s="1077"/>
      <c r="O22" s="1085"/>
      <c r="P22" s="3307"/>
      <c r="Q22" s="1737"/>
      <c r="R22" s="717"/>
      <c r="S22" s="718"/>
      <c r="T22" s="717"/>
      <c r="U22" s="718"/>
      <c r="V22" s="717"/>
      <c r="W22" s="718"/>
      <c r="X22" s="1740"/>
      <c r="Y22" s="3307"/>
      <c r="Z22" s="1741"/>
      <c r="AA22" s="1738">
        <v>1</v>
      </c>
      <c r="AB22" s="1738">
        <v>1</v>
      </c>
      <c r="AC22" s="1738">
        <v>1</v>
      </c>
    </row>
    <row r="23" spans="1:29" s="72" customFormat="1" ht="15">
      <c r="A23" s="592"/>
      <c r="B23" s="576" t="s">
        <v>2525</v>
      </c>
      <c r="C23" s="2472">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8"/>
      <c r="M23" s="1079"/>
      <c r="N23" s="1079"/>
      <c r="O23" s="1080"/>
      <c r="P23" s="3307"/>
      <c r="Q23" s="1723" t="str">
        <f t="shared" si="8"/>
        <v>公共配套设施</v>
      </c>
      <c r="R23" s="713" t="s">
        <v>17</v>
      </c>
      <c r="S23" s="714">
        <f>F23</f>
        <v>100</v>
      </c>
      <c r="T23" s="713" t="s">
        <v>17</v>
      </c>
      <c r="U23" s="714">
        <f>H23</f>
        <v>100</v>
      </c>
      <c r="V23" s="713" t="s">
        <v>17</v>
      </c>
      <c r="W23" s="714">
        <f>J23</f>
        <v>100</v>
      </c>
      <c r="X23" s="715"/>
      <c r="Y23" s="3307"/>
      <c r="Z23" s="54" t="str">
        <f>Q23</f>
        <v>公共配套设施</v>
      </c>
      <c r="AA23" s="1738">
        <f>D23/F23</f>
        <v>1</v>
      </c>
      <c r="AB23" s="1738">
        <f>D23/H23</f>
        <v>1</v>
      </c>
      <c r="AC23" s="1738">
        <f>D23/J23</f>
        <v>1</v>
      </c>
    </row>
    <row r="24" spans="1:29" s="72" customFormat="1" ht="15">
      <c r="A24" s="592"/>
      <c r="B24" s="575"/>
      <c r="C24" s="2563"/>
      <c r="D24" s="391"/>
      <c r="E24" s="2476"/>
      <c r="F24" s="391"/>
      <c r="G24" s="2476"/>
      <c r="H24" s="391"/>
      <c r="I24" s="390"/>
      <c r="J24" s="391"/>
      <c r="K24" s="615"/>
      <c r="L24" s="1078"/>
      <c r="M24" s="1079"/>
      <c r="N24" s="1079"/>
      <c r="O24" s="1080"/>
      <c r="P24" s="3307"/>
      <c r="Q24" s="1723"/>
      <c r="R24" s="713"/>
      <c r="S24" s="714"/>
      <c r="T24" s="713"/>
      <c r="U24" s="714"/>
      <c r="V24" s="713"/>
      <c r="W24" s="714"/>
      <c r="X24" s="715"/>
      <c r="Y24" s="3307"/>
      <c r="Z24" s="54"/>
      <c r="AA24" s="716">
        <v>1</v>
      </c>
      <c r="AB24" s="716">
        <v>1</v>
      </c>
      <c r="AC24" s="716">
        <v>1</v>
      </c>
    </row>
    <row r="25" spans="1:29" s="72" customFormat="1" ht="15">
      <c r="A25" s="592"/>
      <c r="B25" s="576" t="s">
        <v>2526</v>
      </c>
      <c r="C25" s="2472">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8"/>
      <c r="M25" s="1079"/>
      <c r="N25" s="1079"/>
      <c r="O25" s="1080"/>
      <c r="P25" s="3307"/>
      <c r="Q25" s="1723" t="str">
        <f t="shared" ref="Q25" si="9">B25</f>
        <v>基础设施水平</v>
      </c>
      <c r="R25" s="713" t="s">
        <v>17</v>
      </c>
      <c r="S25" s="714">
        <f>F25</f>
        <v>100</v>
      </c>
      <c r="T25" s="713" t="s">
        <v>17</v>
      </c>
      <c r="U25" s="714">
        <f>H25</f>
        <v>100</v>
      </c>
      <c r="V25" s="713" t="s">
        <v>17</v>
      </c>
      <c r="W25" s="714">
        <f>J25</f>
        <v>100</v>
      </c>
      <c r="X25" s="715"/>
      <c r="Y25" s="3307"/>
      <c r="Z25" s="54" t="str">
        <f>Q25</f>
        <v>基础设施水平</v>
      </c>
      <c r="AA25" s="1738">
        <f>D25/F25</f>
        <v>1</v>
      </c>
      <c r="AB25" s="1738">
        <f>D25/H25</f>
        <v>1</v>
      </c>
      <c r="AC25" s="1738">
        <f>D25/J25</f>
        <v>1</v>
      </c>
    </row>
    <row r="26" spans="1:29" s="72" customFormat="1" ht="15">
      <c r="A26" s="592"/>
      <c r="B26" s="575"/>
      <c r="C26" s="2563"/>
      <c r="D26" s="391"/>
      <c r="E26" s="2564"/>
      <c r="F26" s="391"/>
      <c r="G26" s="2564"/>
      <c r="H26" s="391"/>
      <c r="I26" s="2564"/>
      <c r="J26" s="391"/>
      <c r="K26" s="615"/>
      <c r="L26" s="1078"/>
      <c r="M26" s="1079"/>
      <c r="N26" s="1079"/>
      <c r="O26" s="1080"/>
      <c r="P26" s="3307"/>
      <c r="Q26" s="1723"/>
      <c r="R26" s="713"/>
      <c r="S26" s="714"/>
      <c r="T26" s="713"/>
      <c r="U26" s="714"/>
      <c r="V26" s="713"/>
      <c r="W26" s="714"/>
      <c r="X26" s="715"/>
      <c r="Y26" s="3307"/>
      <c r="Z26" s="54"/>
      <c r="AA26" s="716">
        <v>1</v>
      </c>
      <c r="AB26" s="716">
        <v>1</v>
      </c>
      <c r="AC26" s="716">
        <v>1</v>
      </c>
    </row>
    <row r="27" spans="1:29" ht="15">
      <c r="A27" s="371"/>
      <c r="B27" s="575" t="s">
        <v>2527</v>
      </c>
      <c r="C27" s="559"/>
      <c r="D27" s="378">
        <v>100</v>
      </c>
      <c r="E27" s="577"/>
      <c r="F27" s="378">
        <f>SUMIF(95:95,E27,96:96)-SUMIF(95:95,C27,96:96)+100</f>
        <v>100</v>
      </c>
      <c r="G27" s="577"/>
      <c r="H27" s="378">
        <f>SUMIF(95:95,G27,96:96)-SUMIF(95:95,C27,96:96)+100</f>
        <v>100</v>
      </c>
      <c r="I27" s="577"/>
      <c r="J27" s="378">
        <f>SUMIF(95:95,I27,96:96)-SUMIF(95:95,C27,96:96)+100</f>
        <v>100</v>
      </c>
      <c r="K27" s="616"/>
      <c r="L27" s="1086"/>
      <c r="M27" s="1077"/>
      <c r="N27" s="1077"/>
      <c r="O27" s="1085"/>
      <c r="P27" s="3307"/>
      <c r="Q27" s="1737" t="str">
        <f t="shared" si="8"/>
        <v>临街状况</v>
      </c>
      <c r="R27" s="717" t="s">
        <v>17</v>
      </c>
      <c r="S27" s="718">
        <f t="shared" ref="S27:S40" si="10">F27</f>
        <v>100</v>
      </c>
      <c r="T27" s="717" t="s">
        <v>17</v>
      </c>
      <c r="U27" s="718">
        <f t="shared" ref="U27:U40" si="11">H27</f>
        <v>100</v>
      </c>
      <c r="V27" s="717" t="s">
        <v>17</v>
      </c>
      <c r="W27" s="718">
        <f t="shared" ref="W27:W40" si="12">J27</f>
        <v>100</v>
      </c>
      <c r="X27" s="1740"/>
      <c r="Y27" s="3307"/>
      <c r="Z27" s="1741" t="str">
        <f t="shared" ref="Z27:Z40" si="13">Q27</f>
        <v>临街状况</v>
      </c>
      <c r="AA27" s="1738">
        <f t="shared" si="3"/>
        <v>1</v>
      </c>
      <c r="AB27" s="1738">
        <f t="shared" si="4"/>
        <v>1</v>
      </c>
      <c r="AC27" s="1738">
        <f t="shared" si="5"/>
        <v>1</v>
      </c>
    </row>
    <row r="28" spans="1:29" ht="27">
      <c r="A28" s="371"/>
      <c r="B28" s="576" t="s">
        <v>2562</v>
      </c>
      <c r="C28" s="2576">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86"/>
      <c r="M28" s="1077"/>
      <c r="N28" s="1077"/>
      <c r="O28" s="1085"/>
      <c r="P28" s="3307"/>
      <c r="Q28" s="1737" t="str">
        <f t="shared" si="8"/>
        <v>毗邻道路的类型与等级</v>
      </c>
      <c r="R28" s="717" t="s">
        <v>17</v>
      </c>
      <c r="S28" s="718">
        <f t="shared" si="10"/>
        <v>100</v>
      </c>
      <c r="T28" s="717" t="s">
        <v>17</v>
      </c>
      <c r="U28" s="718">
        <f t="shared" si="11"/>
        <v>100</v>
      </c>
      <c r="V28" s="717" t="s">
        <v>17</v>
      </c>
      <c r="W28" s="718">
        <f t="shared" si="12"/>
        <v>100</v>
      </c>
      <c r="X28" s="1740"/>
      <c r="Y28" s="3307"/>
      <c r="Z28" s="1741" t="str">
        <f t="shared" si="13"/>
        <v>毗邻道路的类型与等级</v>
      </c>
      <c r="AA28" s="1738">
        <f t="shared" si="3"/>
        <v>1</v>
      </c>
      <c r="AB28" s="1738">
        <f t="shared" si="4"/>
        <v>1</v>
      </c>
      <c r="AC28" s="1738">
        <f t="shared" si="5"/>
        <v>1</v>
      </c>
    </row>
    <row r="29" spans="1:29" ht="15">
      <c r="A29" s="371"/>
      <c r="B29" s="575"/>
      <c r="C29" s="390"/>
      <c r="D29" s="391"/>
      <c r="E29" s="2476"/>
      <c r="F29" s="391"/>
      <c r="G29" s="2476"/>
      <c r="H29" s="391"/>
      <c r="I29" s="2476"/>
      <c r="J29" s="391"/>
      <c r="K29" s="556"/>
      <c r="L29" s="1086"/>
      <c r="M29" s="1077"/>
      <c r="N29" s="1077"/>
      <c r="O29" s="1085"/>
      <c r="P29" s="3307"/>
      <c r="Q29" s="1737"/>
      <c r="R29" s="717"/>
      <c r="S29" s="718"/>
      <c r="T29" s="717"/>
      <c r="U29" s="718"/>
      <c r="V29" s="717"/>
      <c r="W29" s="718"/>
      <c r="X29" s="1740"/>
      <c r="Y29" s="3307"/>
      <c r="Z29" s="1741"/>
      <c r="AA29" s="1738">
        <v>1</v>
      </c>
      <c r="AB29" s="1738">
        <v>1</v>
      </c>
      <c r="AC29" s="1738">
        <v>1</v>
      </c>
    </row>
    <row r="30" spans="1:29" ht="15">
      <c r="A30" s="371"/>
      <c r="B30" s="597" t="s">
        <v>2620</v>
      </c>
      <c r="C30" s="1321">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86"/>
      <c r="M30" s="1077"/>
      <c r="N30" s="1077"/>
      <c r="O30" s="1085"/>
      <c r="P30" s="3307"/>
      <c r="Q30" s="1737" t="str">
        <f t="shared" si="8"/>
        <v>土地级别</v>
      </c>
      <c r="R30" s="717" t="s">
        <v>17</v>
      </c>
      <c r="S30" s="718">
        <f t="shared" si="10"/>
        <v>100</v>
      </c>
      <c r="T30" s="717" t="s">
        <v>17</v>
      </c>
      <c r="U30" s="718">
        <f t="shared" si="11"/>
        <v>100</v>
      </c>
      <c r="V30" s="717" t="s">
        <v>17</v>
      </c>
      <c r="W30" s="718">
        <f t="shared" si="12"/>
        <v>100</v>
      </c>
      <c r="X30" s="1740"/>
      <c r="Y30" s="3307"/>
      <c r="Z30" s="1741" t="str">
        <f t="shared" si="13"/>
        <v>土地级别</v>
      </c>
      <c r="AA30" s="1738">
        <f t="shared" si="3"/>
        <v>1</v>
      </c>
      <c r="AB30" s="1738">
        <f t="shared" si="4"/>
        <v>1</v>
      </c>
      <c r="AC30" s="1738">
        <f t="shared" si="5"/>
        <v>1</v>
      </c>
    </row>
    <row r="31" spans="1:29" ht="15">
      <c r="A31" s="347"/>
      <c r="B31" s="2541">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86"/>
      <c r="M31" s="1077"/>
      <c r="N31" s="1077"/>
      <c r="O31" s="1085"/>
      <c r="P31" s="3307"/>
      <c r="Q31" s="1737">
        <f t="shared" si="8"/>
        <v>111</v>
      </c>
      <c r="R31" s="717" t="s">
        <v>17</v>
      </c>
      <c r="S31" s="718">
        <f t="shared" si="10"/>
        <v>100</v>
      </c>
      <c r="T31" s="717" t="s">
        <v>17</v>
      </c>
      <c r="U31" s="718">
        <f t="shared" si="11"/>
        <v>100</v>
      </c>
      <c r="V31" s="717" t="s">
        <v>17</v>
      </c>
      <c r="W31" s="718">
        <f t="shared" si="12"/>
        <v>100</v>
      </c>
      <c r="X31" s="1740"/>
      <c r="Y31" s="3307"/>
      <c r="Z31" s="1741">
        <f t="shared" si="13"/>
        <v>111</v>
      </c>
      <c r="AA31" s="1738">
        <f t="shared" si="3"/>
        <v>1</v>
      </c>
      <c r="AB31" s="1738">
        <f t="shared" si="4"/>
        <v>1</v>
      </c>
      <c r="AC31" s="1738">
        <f t="shared" si="5"/>
        <v>1</v>
      </c>
    </row>
    <row r="32" spans="1:29" ht="15">
      <c r="A32" s="618"/>
      <c r="B32" s="2577">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86"/>
      <c r="M32" s="1077"/>
      <c r="N32" s="1077"/>
      <c r="O32" s="1085"/>
      <c r="P32" s="3308" t="s">
        <v>2436</v>
      </c>
      <c r="Q32" s="1737">
        <f t="shared" si="8"/>
        <v>111</v>
      </c>
      <c r="R32" s="717" t="s">
        <v>17</v>
      </c>
      <c r="S32" s="718">
        <f t="shared" si="10"/>
        <v>100</v>
      </c>
      <c r="T32" s="717" t="s">
        <v>17</v>
      </c>
      <c r="U32" s="718">
        <f t="shared" si="11"/>
        <v>100</v>
      </c>
      <c r="V32" s="717" t="s">
        <v>17</v>
      </c>
      <c r="W32" s="718">
        <f t="shared" si="12"/>
        <v>100</v>
      </c>
      <c r="X32" s="1740"/>
      <c r="Y32" s="3309" t="s">
        <v>2436</v>
      </c>
      <c r="Z32" s="1741">
        <f t="shared" si="13"/>
        <v>111</v>
      </c>
      <c r="AA32" s="1738">
        <f t="shared" si="3"/>
        <v>1</v>
      </c>
      <c r="AB32" s="1738">
        <f t="shared" si="4"/>
        <v>1</v>
      </c>
      <c r="AC32" s="1738">
        <f t="shared" si="5"/>
        <v>1</v>
      </c>
    </row>
    <row r="33" spans="1:29" s="414" customFormat="1" ht="15.75" thickBot="1">
      <c r="A33" s="619"/>
      <c r="B33" s="2578">
        <v>111</v>
      </c>
      <c r="C33" s="621"/>
      <c r="D33" s="80">
        <v>100</v>
      </c>
      <c r="E33" s="644"/>
      <c r="F33" s="381">
        <f>SUMIF(105:105,E33,106:106)-SUMIF(105:105,C33,106:106)+100</f>
        <v>100</v>
      </c>
      <c r="G33" s="644"/>
      <c r="H33" s="381">
        <f>SUMIF(105:105,G33,106:106)-SUMIF(105:105,C33,106:106)+100</f>
        <v>100</v>
      </c>
      <c r="I33" s="621"/>
      <c r="J33" s="381">
        <f>SUMIF(105:105,I33,106:106)-SUMIF(105:105,C33,106:106)+100</f>
        <v>100</v>
      </c>
      <c r="K33" s="556"/>
      <c r="L33" s="1084"/>
      <c r="M33" s="1087"/>
      <c r="N33" s="1087"/>
      <c r="O33" s="1088"/>
      <c r="P33" s="3309"/>
      <c r="Q33" s="1737">
        <f t="shared" si="8"/>
        <v>111</v>
      </c>
      <c r="R33" s="720" t="s">
        <v>17</v>
      </c>
      <c r="S33" s="721">
        <f t="shared" si="10"/>
        <v>100</v>
      </c>
      <c r="T33" s="720" t="s">
        <v>17</v>
      </c>
      <c r="U33" s="721">
        <f t="shared" si="11"/>
        <v>100</v>
      </c>
      <c r="V33" s="720" t="s">
        <v>17</v>
      </c>
      <c r="W33" s="721">
        <f t="shared" si="12"/>
        <v>100</v>
      </c>
      <c r="X33" s="722"/>
      <c r="Y33" s="3309"/>
      <c r="Z33" s="723">
        <f t="shared" si="13"/>
        <v>111</v>
      </c>
      <c r="AA33" s="1738">
        <f t="shared" si="3"/>
        <v>1</v>
      </c>
      <c r="AB33" s="1738">
        <f t="shared" si="4"/>
        <v>1</v>
      </c>
      <c r="AC33" s="1738">
        <f t="shared" si="5"/>
        <v>1</v>
      </c>
    </row>
    <row r="34" spans="1:29" ht="15">
      <c r="A34" s="383" t="s">
        <v>2434</v>
      </c>
      <c r="B34" s="399" t="s">
        <v>2621</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86"/>
      <c r="M34" s="1077"/>
      <c r="N34" s="1077"/>
      <c r="O34" s="1085"/>
      <c r="P34" s="3309"/>
      <c r="Q34" s="1737" t="str">
        <f>B34</f>
        <v>宗地面积</v>
      </c>
      <c r="R34" s="717" t="s">
        <v>17</v>
      </c>
      <c r="S34" s="718" t="e">
        <f t="shared" si="10"/>
        <v>#N/A</v>
      </c>
      <c r="T34" s="717" t="s">
        <v>17</v>
      </c>
      <c r="U34" s="718" t="e">
        <f t="shared" si="11"/>
        <v>#N/A</v>
      </c>
      <c r="V34" s="717" t="s">
        <v>17</v>
      </c>
      <c r="W34" s="718" t="e">
        <f t="shared" si="12"/>
        <v>#N/A</v>
      </c>
      <c r="X34" s="1740"/>
      <c r="Y34" s="3309"/>
      <c r="Z34" s="1741" t="str">
        <f t="shared" si="13"/>
        <v>宗地面积</v>
      </c>
      <c r="AA34" s="1738" t="e">
        <f t="shared" si="3"/>
        <v>#N/A</v>
      </c>
      <c r="AB34" s="1738" t="e">
        <f t="shared" si="4"/>
        <v>#N/A</v>
      </c>
      <c r="AC34" s="1738" t="e">
        <f t="shared" si="5"/>
        <v>#N/A</v>
      </c>
    </row>
    <row r="35" spans="1:29" ht="15">
      <c r="A35" s="415"/>
      <c r="B35" s="365" t="s">
        <v>2622</v>
      </c>
      <c r="C35" s="2478"/>
      <c r="D35" s="378">
        <v>100</v>
      </c>
      <c r="E35" s="2478"/>
      <c r="F35" s="378">
        <f>SUMIF(110:110,E35,111:111)-SUMIF(110:110,C35,111:111)+100</f>
        <v>100</v>
      </c>
      <c r="G35" s="2478"/>
      <c r="H35" s="378">
        <f>SUMIF(110:110,G35,111:111)-SUMIF(110:110,C35,111:111)+100</f>
        <v>100</v>
      </c>
      <c r="I35" s="2478"/>
      <c r="J35" s="378">
        <f>SUMIF(110:110,I35,111:111)-SUMIF(110:110,C35,111:111)+100</f>
        <v>100</v>
      </c>
      <c r="K35" s="555"/>
      <c r="L35" s="1086"/>
      <c r="M35" s="1077"/>
      <c r="N35" s="1077"/>
      <c r="O35" s="1085"/>
      <c r="P35" s="3309"/>
      <c r="Q35" s="1737" t="str">
        <f t="shared" ref="Q35:Q40" si="14">B35</f>
        <v>宗地形状</v>
      </c>
      <c r="R35" s="717" t="s">
        <v>17</v>
      </c>
      <c r="S35" s="718">
        <f t="shared" si="10"/>
        <v>100</v>
      </c>
      <c r="T35" s="717" t="s">
        <v>17</v>
      </c>
      <c r="U35" s="718">
        <f t="shared" si="11"/>
        <v>100</v>
      </c>
      <c r="V35" s="717" t="s">
        <v>17</v>
      </c>
      <c r="W35" s="718">
        <f t="shared" si="12"/>
        <v>100</v>
      </c>
      <c r="X35" s="1740"/>
      <c r="Y35" s="3309"/>
      <c r="Z35" s="1741" t="str">
        <f t="shared" si="13"/>
        <v>宗地形状</v>
      </c>
      <c r="AA35" s="1738">
        <f t="shared" si="3"/>
        <v>1</v>
      </c>
      <c r="AB35" s="1738">
        <f t="shared" si="4"/>
        <v>1</v>
      </c>
      <c r="AC35" s="1738">
        <f t="shared" si="5"/>
        <v>1</v>
      </c>
    </row>
    <row r="36" spans="1:29" s="72" customFormat="1" ht="15">
      <c r="A36" s="416"/>
      <c r="B36" s="365" t="s">
        <v>2624</v>
      </c>
      <c r="C36" s="2565"/>
      <c r="D36" s="79">
        <v>100</v>
      </c>
      <c r="E36" s="2565"/>
      <c r="F36" s="378">
        <f>SUMIF(112:112,E36,113:113)-SUMIF(112:112,C36,113:113)+100</f>
        <v>100</v>
      </c>
      <c r="G36" s="2565"/>
      <c r="H36" s="378">
        <f>SUMIF(112:112,G36,113:113)-SUMIF(112:112,C36,113:113)+100</f>
        <v>100</v>
      </c>
      <c r="I36" s="2565"/>
      <c r="J36" s="378">
        <f>SUMIF(112:112,I36,113:113)-SUMIF(112:112,C36,113:113)+100</f>
        <v>100</v>
      </c>
      <c r="K36" s="555"/>
      <c r="L36" s="1078"/>
      <c r="M36" s="1079"/>
      <c r="N36" s="1079"/>
      <c r="O36" s="1080"/>
      <c r="P36" s="3309"/>
      <c r="Q36" s="1737" t="str">
        <f t="shared" si="14"/>
        <v>宗地开发程度</v>
      </c>
      <c r="R36" s="713" t="s">
        <v>17</v>
      </c>
      <c r="S36" s="714">
        <f t="shared" si="10"/>
        <v>100</v>
      </c>
      <c r="T36" s="713" t="s">
        <v>17</v>
      </c>
      <c r="U36" s="714">
        <f t="shared" si="11"/>
        <v>100</v>
      </c>
      <c r="V36" s="713" t="s">
        <v>17</v>
      </c>
      <c r="W36" s="714">
        <f t="shared" si="12"/>
        <v>100</v>
      </c>
      <c r="X36" s="715"/>
      <c r="Y36" s="3309"/>
      <c r="Z36" s="54" t="str">
        <f t="shared" si="13"/>
        <v>宗地开发程度</v>
      </c>
      <c r="AA36" s="716">
        <f t="shared" si="3"/>
        <v>1</v>
      </c>
      <c r="AB36" s="716">
        <f t="shared" si="4"/>
        <v>1</v>
      </c>
      <c r="AC36" s="716">
        <f t="shared" si="5"/>
        <v>1</v>
      </c>
    </row>
    <row r="37" spans="1:29" ht="15">
      <c r="A37" s="415"/>
      <c r="B37" s="365" t="s">
        <v>2625</v>
      </c>
      <c r="C37" s="2478"/>
      <c r="D37" s="378">
        <v>100</v>
      </c>
      <c r="E37" s="2478"/>
      <c r="F37" s="378">
        <f>SUMIF(114:114,E37,115:115)-SUMIF(114:114,C37,115:115)+100</f>
        <v>100</v>
      </c>
      <c r="G37" s="2478"/>
      <c r="H37" s="378">
        <f>SUMIF(114:114,G37,115:115)-SUMIF(114:114,C37,115:115)+100</f>
        <v>100</v>
      </c>
      <c r="I37" s="2478"/>
      <c r="J37" s="378">
        <f>SUMIF(114:114,I37,115:115)-SUMIF(114:114,C37,115:115)+100</f>
        <v>100</v>
      </c>
      <c r="K37" s="555"/>
      <c r="L37" s="1086"/>
      <c r="M37" s="1077"/>
      <c r="N37" s="1077"/>
      <c r="O37" s="1085"/>
      <c r="P37" s="3309" t="s">
        <v>2436</v>
      </c>
      <c r="Q37" s="1737" t="str">
        <f t="shared" si="14"/>
        <v>工程地质条件</v>
      </c>
      <c r="R37" s="717" t="s">
        <v>17</v>
      </c>
      <c r="S37" s="718">
        <f t="shared" si="10"/>
        <v>100</v>
      </c>
      <c r="T37" s="717" t="s">
        <v>17</v>
      </c>
      <c r="U37" s="718">
        <f t="shared" si="11"/>
        <v>100</v>
      </c>
      <c r="V37" s="717" t="s">
        <v>17</v>
      </c>
      <c r="W37" s="718">
        <f t="shared" si="12"/>
        <v>100</v>
      </c>
      <c r="X37" s="1740"/>
      <c r="Y37" s="3309" t="s">
        <v>2436</v>
      </c>
      <c r="Z37" s="1741" t="str">
        <f t="shared" si="13"/>
        <v>工程地质条件</v>
      </c>
      <c r="AA37" s="1738">
        <f t="shared" si="3"/>
        <v>1</v>
      </c>
      <c r="AB37" s="1738">
        <f t="shared" si="4"/>
        <v>1</v>
      </c>
      <c r="AC37" s="1738">
        <f t="shared" si="5"/>
        <v>1</v>
      </c>
    </row>
    <row r="38" spans="1:29" ht="15">
      <c r="A38" s="415"/>
      <c r="B38" s="1319">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86"/>
      <c r="M38" s="1077"/>
      <c r="N38" s="1077"/>
      <c r="O38" s="1085"/>
      <c r="P38" s="3309"/>
      <c r="Q38" s="1737">
        <f t="shared" si="14"/>
        <v>111</v>
      </c>
      <c r="R38" s="717" t="s">
        <v>17</v>
      </c>
      <c r="S38" s="718">
        <f t="shared" si="10"/>
        <v>100</v>
      </c>
      <c r="T38" s="717" t="s">
        <v>17</v>
      </c>
      <c r="U38" s="718">
        <f t="shared" si="11"/>
        <v>100</v>
      </c>
      <c r="V38" s="717" t="s">
        <v>17</v>
      </c>
      <c r="W38" s="718">
        <f t="shared" si="12"/>
        <v>100</v>
      </c>
      <c r="X38" s="1740"/>
      <c r="Y38" s="3309"/>
      <c r="Z38" s="1741">
        <f t="shared" si="13"/>
        <v>111</v>
      </c>
      <c r="AA38" s="1738">
        <f t="shared" si="3"/>
        <v>1</v>
      </c>
      <c r="AB38" s="1738">
        <f t="shared" si="4"/>
        <v>1</v>
      </c>
      <c r="AC38" s="1738">
        <f t="shared" si="5"/>
        <v>1</v>
      </c>
    </row>
    <row r="39" spans="1:29" ht="15">
      <c r="A39" s="415"/>
      <c r="B39" s="1319">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86"/>
      <c r="M39" s="1077"/>
      <c r="N39" s="1077"/>
      <c r="O39" s="1085"/>
      <c r="P39" s="3309"/>
      <c r="Q39" s="1737">
        <f t="shared" si="14"/>
        <v>111</v>
      </c>
      <c r="R39" s="717" t="s">
        <v>17</v>
      </c>
      <c r="S39" s="718">
        <f t="shared" si="10"/>
        <v>100</v>
      </c>
      <c r="T39" s="717" t="s">
        <v>17</v>
      </c>
      <c r="U39" s="718">
        <f t="shared" si="11"/>
        <v>100</v>
      </c>
      <c r="V39" s="717" t="s">
        <v>17</v>
      </c>
      <c r="W39" s="718">
        <f t="shared" si="12"/>
        <v>100</v>
      </c>
      <c r="X39" s="1740"/>
      <c r="Y39" s="3309"/>
      <c r="Z39" s="1741">
        <f t="shared" si="13"/>
        <v>111</v>
      </c>
      <c r="AA39" s="1738">
        <f t="shared" si="3"/>
        <v>1</v>
      </c>
      <c r="AB39" s="1738">
        <f t="shared" si="4"/>
        <v>1</v>
      </c>
      <c r="AC39" s="1738">
        <f t="shared" si="5"/>
        <v>1</v>
      </c>
    </row>
    <row r="40" spans="1:29" s="414" customFormat="1" ht="15.75" thickBot="1">
      <c r="A40" s="411"/>
      <c r="B40" s="1319">
        <v>111</v>
      </c>
      <c r="C40" s="2566"/>
      <c r="D40" s="80">
        <v>100</v>
      </c>
      <c r="E40" s="617"/>
      <c r="F40" s="381">
        <f>SUMIF(120:120,E40,121:121)-SUMIF(120:120,C40,121:121)+100</f>
        <v>100</v>
      </c>
      <c r="G40" s="617"/>
      <c r="H40" s="381">
        <f>SUMIF(120:120,G40,121:121)-SUMIF(120:120,C40,121:121)+100</f>
        <v>100</v>
      </c>
      <c r="I40" s="492"/>
      <c r="J40" s="381">
        <f>SUMIF(120:120,I40,121:121)-SUMIF(120:120,C40,121:121)+100</f>
        <v>100</v>
      </c>
      <c r="K40" s="624"/>
      <c r="L40" s="1084"/>
      <c r="M40" s="1087"/>
      <c r="N40" s="1087"/>
      <c r="O40" s="1088"/>
      <c r="P40" s="3309"/>
      <c r="Q40" s="1737">
        <f t="shared" si="14"/>
        <v>111</v>
      </c>
      <c r="R40" s="720" t="s">
        <v>17</v>
      </c>
      <c r="S40" s="721">
        <f t="shared" si="10"/>
        <v>100</v>
      </c>
      <c r="T40" s="720" t="s">
        <v>17</v>
      </c>
      <c r="U40" s="721">
        <f t="shared" si="11"/>
        <v>100</v>
      </c>
      <c r="V40" s="720" t="s">
        <v>17</v>
      </c>
      <c r="W40" s="721">
        <f t="shared" si="12"/>
        <v>100</v>
      </c>
      <c r="X40" s="722"/>
      <c r="Y40" s="3309"/>
      <c r="Z40" s="723">
        <f t="shared" si="13"/>
        <v>111</v>
      </c>
      <c r="AA40" s="1738">
        <f t="shared" si="3"/>
        <v>1</v>
      </c>
      <c r="AB40" s="1738">
        <f t="shared" si="4"/>
        <v>1</v>
      </c>
      <c r="AC40" s="1738">
        <f t="shared" si="5"/>
        <v>1</v>
      </c>
    </row>
    <row r="41" spans="1:29" ht="15">
      <c r="A41" s="422" t="s">
        <v>2591</v>
      </c>
      <c r="B41" s="2567" t="s">
        <v>2670</v>
      </c>
      <c r="C41" s="625" t="s">
        <v>1</v>
      </c>
      <c r="D41" s="424"/>
      <c r="E41" s="425"/>
      <c r="F41" s="426"/>
      <c r="G41" s="427"/>
      <c r="H41" s="428"/>
      <c r="I41" s="425"/>
      <c r="J41" s="428"/>
      <c r="K41" s="726"/>
      <c r="L41" s="1089"/>
      <c r="M41" s="1077"/>
      <c r="N41" s="1077"/>
      <c r="O41" s="1090"/>
      <c r="P41" s="3291" t="str">
        <f>A41</f>
        <v>成交单价</v>
      </c>
      <c r="Q41" s="3291"/>
      <c r="R41" s="3304">
        <f>E41</f>
        <v>0</v>
      </c>
      <c r="S41" s="3304"/>
      <c r="T41" s="3304">
        <f>G41</f>
        <v>0</v>
      </c>
      <c r="U41" s="3304"/>
      <c r="V41" s="3304">
        <f>I41</f>
        <v>0</v>
      </c>
      <c r="W41" s="3304"/>
      <c r="X41" s="702"/>
      <c r="Y41" s="724"/>
      <c r="Z41" s="702"/>
      <c r="AA41" s="702"/>
      <c r="AB41" s="702"/>
      <c r="AC41" s="702"/>
    </row>
    <row r="42" spans="1:29" ht="15.75" thickBot="1">
      <c r="A42" s="429" t="s">
        <v>2540</v>
      </c>
      <c r="B42" s="626"/>
      <c r="C42" s="433" t="e">
        <f>R43</f>
        <v>#DIV/0!</v>
      </c>
      <c r="D42" s="432"/>
      <c r="E42" s="433" t="e">
        <f>R42</f>
        <v>#DIV/0!</v>
      </c>
      <c r="F42" s="434"/>
      <c r="G42" s="431" t="e">
        <f>T42</f>
        <v>#DIV/0!</v>
      </c>
      <c r="H42" s="432"/>
      <c r="I42" s="433" t="e">
        <f>V42</f>
        <v>#DIV/0!</v>
      </c>
      <c r="J42" s="432"/>
      <c r="K42" s="727"/>
      <c r="L42" s="1089"/>
      <c r="M42" s="1077"/>
      <c r="N42" s="1077"/>
      <c r="O42" s="1090"/>
      <c r="P42" s="3291" t="str">
        <f>A42</f>
        <v>比较价值（元/平方米）</v>
      </c>
      <c r="Q42" s="3291"/>
      <c r="R42" s="3310" t="e">
        <f>ROUND(PRODUCT(R41,AA7:AA40),0)</f>
        <v>#DIV/0!</v>
      </c>
      <c r="S42" s="3310"/>
      <c r="T42" s="3310" t="e">
        <f>ROUND(PRODUCT(T41,AB7:AB40),0)</f>
        <v>#DIV/0!</v>
      </c>
      <c r="U42" s="3310"/>
      <c r="V42" s="3310" t="e">
        <f>ROUND(PRODUCT(V41,AC7:AC40),0)</f>
        <v>#DIV/0!</v>
      </c>
      <c r="W42" s="3310"/>
      <c r="X42" s="702"/>
      <c r="Y42" s="702"/>
      <c r="Z42" s="702"/>
      <c r="AA42" s="702"/>
      <c r="AB42" s="702"/>
      <c r="AC42" s="702"/>
    </row>
    <row r="43" spans="1:29" ht="15.75" thickBot="1">
      <c r="A43" s="435" t="s">
        <v>2541</v>
      </c>
      <c r="B43" s="436"/>
      <c r="C43" s="437" t="e">
        <f>R43</f>
        <v>#DIV/0!</v>
      </c>
      <c r="D43" s="437"/>
      <c r="E43" s="437"/>
      <c r="F43" s="437"/>
      <c r="G43" s="437"/>
      <c r="H43" s="437"/>
      <c r="I43" s="437"/>
      <c r="J43" s="437"/>
      <c r="K43" s="728"/>
      <c r="L43" s="1089"/>
      <c r="M43" s="1077"/>
      <c r="N43" s="1077"/>
      <c r="O43" s="1090"/>
      <c r="P43" s="3311" t="str">
        <f>A43</f>
        <v>估价对象XX用房的比较价值（楼面单价，元/平方米）</v>
      </c>
      <c r="Q43" s="3312"/>
      <c r="R43" s="3313" t="e">
        <f>ROUND(AVERAGE(R42:V42),0)</f>
        <v>#DIV/0!</v>
      </c>
      <c r="S43" s="3313"/>
      <c r="T43" s="3313"/>
      <c r="U43" s="3313"/>
      <c r="V43" s="3313"/>
      <c r="W43" s="3313"/>
      <c r="X43" s="702"/>
      <c r="Y43" s="702"/>
      <c r="Z43" s="702"/>
      <c r="AA43" s="702"/>
      <c r="AB43" s="702"/>
      <c r="AC43" s="702"/>
    </row>
    <row r="44" spans="1:29">
      <c r="A44" s="1090"/>
      <c r="B44" s="1090"/>
      <c r="C44" s="1090"/>
      <c r="D44" s="1090"/>
      <c r="E44" s="1090"/>
      <c r="F44" s="1090"/>
      <c r="G44" s="1093"/>
      <c r="H44" s="1090"/>
      <c r="I44" s="1090"/>
      <c r="J44" s="1090"/>
      <c r="K44" s="1051"/>
      <c r="L44" s="1052"/>
      <c r="M44" s="1077"/>
      <c r="N44" s="1077"/>
      <c r="O44" s="1090"/>
    </row>
    <row r="45" spans="1:29">
      <c r="A45" s="1090"/>
      <c r="B45" s="1090"/>
      <c r="C45" s="1090"/>
      <c r="D45" s="1090"/>
      <c r="E45" s="1090"/>
      <c r="F45" s="1090"/>
      <c r="G45" s="1090"/>
      <c r="H45" s="1090"/>
      <c r="I45" s="1090"/>
      <c r="J45" s="1090"/>
      <c r="K45" s="1051"/>
      <c r="L45" s="1052"/>
      <c r="M45" s="1077"/>
      <c r="N45" s="1077"/>
      <c r="O45" s="1090"/>
    </row>
    <row r="46" spans="1:29" ht="13.5" customHeight="1">
      <c r="A46" s="1090"/>
      <c r="B46" s="1090"/>
      <c r="C46" s="440" t="s">
        <v>2542</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51"/>
      <c r="L46" s="1052"/>
      <c r="M46" s="1077"/>
      <c r="N46" s="1077"/>
      <c r="O46" s="1090"/>
    </row>
    <row r="47" spans="1:29" ht="13.5" customHeight="1">
      <c r="A47" s="1090"/>
      <c r="B47" s="1090"/>
      <c r="C47" s="440" t="s">
        <v>2543</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51"/>
      <c r="L47" s="1052"/>
      <c r="M47" s="1090"/>
      <c r="N47" s="1090"/>
      <c r="O47" s="1090"/>
    </row>
    <row r="48" spans="1:29" s="445" customFormat="1" ht="13.5" customHeight="1">
      <c r="A48" s="1091"/>
      <c r="B48" s="1091"/>
      <c r="C48" s="440" t="s">
        <v>2544</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94"/>
      <c r="L48" s="1095"/>
      <c r="M48" s="1091"/>
      <c r="N48" s="1091"/>
      <c r="O48" s="1091"/>
    </row>
    <row r="49" spans="1:17" s="445" customFormat="1" ht="15" thickBot="1">
      <c r="A49" s="1091"/>
      <c r="B49" s="1092"/>
      <c r="C49" s="705"/>
      <c r="D49" s="703"/>
      <c r="E49" s="703"/>
      <c r="F49" s="703"/>
      <c r="G49" s="703"/>
      <c r="H49" s="703"/>
      <c r="I49" s="703"/>
      <c r="J49" s="703"/>
      <c r="K49" s="1094"/>
      <c r="L49" s="1095"/>
      <c r="M49" s="1091"/>
      <c r="N49" s="1091"/>
      <c r="O49" s="1091"/>
    </row>
    <row r="50" spans="1:17" ht="27">
      <c r="A50" s="627" t="s">
        <v>2628</v>
      </c>
      <c r="B50" s="628" t="s">
        <v>2629</v>
      </c>
      <c r="C50" s="2568" t="s">
        <v>2630</v>
      </c>
      <c r="D50" s="2569" t="s">
        <v>2631</v>
      </c>
      <c r="E50" s="629" t="s">
        <v>2632</v>
      </c>
      <c r="F50" s="630" t="s">
        <v>2633</v>
      </c>
      <c r="G50" s="3292" t="s">
        <v>2634</v>
      </c>
      <c r="H50" s="3314"/>
      <c r="I50" s="1741" t="s">
        <v>2671</v>
      </c>
      <c r="J50" s="1741" t="str">
        <f>项目基本情况!F35</f>
        <v>上海市</v>
      </c>
      <c r="K50" s="2571" t="s">
        <v>2636</v>
      </c>
      <c r="L50" s="1052"/>
      <c r="M50" s="1090"/>
      <c r="N50" s="1090"/>
      <c r="O50" s="1090"/>
    </row>
    <row r="51" spans="1:17" s="635" customFormat="1">
      <c r="A51" s="631" t="s">
        <v>2637</v>
      </c>
      <c r="B51" s="632" t="e">
        <f>C43</f>
        <v>#DIV/0!</v>
      </c>
      <c r="C51" s="633">
        <v>1</v>
      </c>
      <c r="D51" s="1109">
        <v>1</v>
      </c>
      <c r="E51" s="633">
        <f>'数据-汇总表'!E8+'数据-汇总表'!E9</f>
        <v>80721.099999999991</v>
      </c>
      <c r="F51" s="634" t="e">
        <f t="shared" ref="F51:F60" si="15">ROUND(B51*E51/10000,0)</f>
        <v>#DIV/0!</v>
      </c>
      <c r="G51" s="3315"/>
      <c r="H51" s="3291"/>
      <c r="I51" s="888">
        <v>1</v>
      </c>
      <c r="J51" s="888">
        <v>1</v>
      </c>
      <c r="K51" s="1091"/>
      <c r="L51" s="887"/>
      <c r="M51" s="887"/>
      <c r="N51" s="887"/>
      <c r="O51" s="887"/>
    </row>
    <row r="52" spans="1:17" s="635" customFormat="1">
      <c r="A52" s="636" t="s">
        <v>2638</v>
      </c>
      <c r="B52" s="205" t="e">
        <f>ROUND($C$43*C52*D52,0)</f>
        <v>#DIV/0!</v>
      </c>
      <c r="C52" s="143">
        <f t="shared" ref="C52:C60" si="16">IF($C$50="北京市系数",I52,J52)</f>
        <v>0.6</v>
      </c>
      <c r="D52" s="1110">
        <v>0.25</v>
      </c>
      <c r="E52" s="637"/>
      <c r="F52" s="634" t="e">
        <f t="shared" si="15"/>
        <v>#DIV/0!</v>
      </c>
      <c r="G52" s="3316" t="s">
        <v>2639</v>
      </c>
      <c r="H52" s="1050" t="str">
        <f>项目基本情况!B37</f>
        <v>八级</v>
      </c>
      <c r="I52" s="888">
        <f>SUMIF(修正!A45:A56,H52,修正!B45:B56)</f>
        <v>0.6</v>
      </c>
      <c r="J52" s="889"/>
      <c r="K52" s="1090"/>
      <c r="L52" s="887"/>
      <c r="M52" s="887"/>
      <c r="N52" s="887"/>
      <c r="O52" s="887"/>
    </row>
    <row r="53" spans="1:17" s="635" customFormat="1">
      <c r="A53" s="636" t="s">
        <v>2640</v>
      </c>
      <c r="B53" s="205" t="e">
        <f t="shared" ref="B53:B60" si="17">ROUND($C$43*C53*D53,0)</f>
        <v>#DIV/0!</v>
      </c>
      <c r="C53" s="143">
        <f t="shared" si="16"/>
        <v>0.3</v>
      </c>
      <c r="D53" s="1110">
        <v>0.25</v>
      </c>
      <c r="E53" s="637"/>
      <c r="F53" s="634" t="e">
        <f t="shared" si="15"/>
        <v>#DIV/0!</v>
      </c>
      <c r="G53" s="3316"/>
      <c r="H53" s="1050" t="str">
        <f>项目基本情况!B37</f>
        <v>八级</v>
      </c>
      <c r="I53" s="888">
        <f>SUMIF(修正!A45:A56,H53,修正!C45:C56)</f>
        <v>0.3</v>
      </c>
      <c r="J53" s="889"/>
      <c r="K53" s="1091"/>
      <c r="L53" s="887"/>
      <c r="M53" s="887"/>
      <c r="N53" s="887"/>
      <c r="O53" s="887"/>
    </row>
    <row r="54" spans="1:17" s="635" customFormat="1">
      <c r="A54" s="636" t="s">
        <v>2641</v>
      </c>
      <c r="B54" s="205" t="e">
        <f t="shared" si="17"/>
        <v>#DIV/0!</v>
      </c>
      <c r="C54" s="143">
        <f t="shared" si="16"/>
        <v>0.2</v>
      </c>
      <c r="D54" s="1110">
        <v>0.25</v>
      </c>
      <c r="E54" s="637"/>
      <c r="F54" s="634" t="e">
        <f t="shared" si="15"/>
        <v>#DIV/0!</v>
      </c>
      <c r="G54" s="3316"/>
      <c r="H54" s="1050" t="str">
        <f>项目基本情况!B37</f>
        <v>八级</v>
      </c>
      <c r="I54" s="888">
        <f>SUMIF(修正!A45:A56,H54,修正!D45:D56)</f>
        <v>0.2</v>
      </c>
      <c r="J54" s="889"/>
      <c r="K54" s="1090"/>
      <c r="L54" s="887"/>
      <c r="M54" s="887"/>
      <c r="N54" s="887"/>
      <c r="O54" s="887"/>
    </row>
    <row r="55" spans="1:17" s="635" customFormat="1">
      <c r="A55" s="636" t="s">
        <v>2642</v>
      </c>
      <c r="B55" s="205" t="e">
        <f t="shared" si="17"/>
        <v>#DIV/0!</v>
      </c>
      <c r="C55" s="143">
        <f t="shared" si="16"/>
        <v>0.2</v>
      </c>
      <c r="D55" s="1110">
        <v>0.25</v>
      </c>
      <c r="E55" s="637"/>
      <c r="F55" s="634" t="e">
        <f t="shared" si="15"/>
        <v>#DIV/0!</v>
      </c>
      <c r="G55" s="3316"/>
      <c r="H55" s="1050" t="str">
        <f>项目基本情况!B37</f>
        <v>八级</v>
      </c>
      <c r="I55" s="888">
        <f>SUMIF(修正!A45:A56,H55,修正!E45:E56)</f>
        <v>0.2</v>
      </c>
      <c r="J55" s="889"/>
      <c r="K55" s="1091"/>
      <c r="L55" s="887"/>
      <c r="M55" s="887"/>
      <c r="N55" s="887"/>
      <c r="O55" s="887"/>
    </row>
    <row r="56" spans="1:17" s="635" customFormat="1">
      <c r="A56" s="636" t="s">
        <v>2643</v>
      </c>
      <c r="B56" s="205" t="e">
        <f t="shared" si="17"/>
        <v>#DIV/0!</v>
      </c>
      <c r="C56" s="143">
        <f t="shared" si="16"/>
        <v>0</v>
      </c>
      <c r="D56" s="1110">
        <v>0.25</v>
      </c>
      <c r="E56" s="204">
        <f>'数据-汇总表'!E11</f>
        <v>0</v>
      </c>
      <c r="F56" s="634" t="e">
        <f t="shared" si="15"/>
        <v>#DIV/0!</v>
      </c>
      <c r="G56" s="2572" t="s">
        <v>2644</v>
      </c>
      <c r="H56" s="1050">
        <f>项目基本情况!C37</f>
        <v>0</v>
      </c>
      <c r="I56" s="888">
        <f>SUMIF(修正!A45:A56,H56,修正!F45:F56)</f>
        <v>0</v>
      </c>
      <c r="J56" s="889"/>
      <c r="K56" s="1090"/>
      <c r="L56" s="887"/>
      <c r="M56" s="887"/>
      <c r="N56" s="887"/>
      <c r="O56" s="887"/>
    </row>
    <row r="57" spans="1:17" s="635" customFormat="1">
      <c r="A57" s="636" t="s">
        <v>2645</v>
      </c>
      <c r="B57" s="205" t="e">
        <f t="shared" si="17"/>
        <v>#DIV/0!</v>
      </c>
      <c r="C57" s="143">
        <f t="shared" si="16"/>
        <v>0</v>
      </c>
      <c r="D57" s="1110">
        <v>0.25</v>
      </c>
      <c r="E57" s="204">
        <f>'数据-汇总表'!E12</f>
        <v>0</v>
      </c>
      <c r="F57" s="634" t="e">
        <f t="shared" si="15"/>
        <v>#DIV/0!</v>
      </c>
      <c r="G57" s="1055" t="s">
        <v>2646</v>
      </c>
      <c r="H57" s="1050">
        <f>IF(G57="商业",项目基本情况!B37,IF(G57="办公",项目基本情况!C37,IF(G57="住宅",项目基本情况!D37,项目基本情况!E37)))</f>
        <v>0</v>
      </c>
      <c r="I57" s="888">
        <f>SUMIF(修正!A45:A56,H57,修正!G45:G56)</f>
        <v>0</v>
      </c>
      <c r="J57" s="889"/>
      <c r="K57" s="1091"/>
      <c r="L57" s="887"/>
      <c r="M57" s="887"/>
      <c r="N57" s="887"/>
      <c r="O57" s="887"/>
    </row>
    <row r="58" spans="1:17" s="635" customFormat="1">
      <c r="A58" s="636" t="s">
        <v>2647</v>
      </c>
      <c r="B58" s="205" t="e">
        <f t="shared" si="17"/>
        <v>#DIV/0!</v>
      </c>
      <c r="C58" s="143">
        <f t="shared" si="16"/>
        <v>0.15</v>
      </c>
      <c r="D58" s="1110">
        <v>0.25</v>
      </c>
      <c r="E58" s="204">
        <f>'数据-汇总表'!E13</f>
        <v>30155.269999999997</v>
      </c>
      <c r="F58" s="634" t="e">
        <f t="shared" si="15"/>
        <v>#DIV/0!</v>
      </c>
      <c r="G58" s="1055" t="s">
        <v>2648</v>
      </c>
      <c r="H58" s="1050" t="str">
        <f>IF(G58="商业",项目基本情况!B37,IF(G58="办公",项目基本情况!C37,IF(G58="住宅",项目基本情况!D37,项目基本情况!E37)))</f>
        <v>八级</v>
      </c>
      <c r="I58" s="888">
        <f>SUMIF(修正!A45:A56,H58,修正!H45:H56)</f>
        <v>0.15</v>
      </c>
      <c r="J58" s="889"/>
      <c r="K58" s="1090"/>
      <c r="L58" s="887"/>
      <c r="M58" s="887"/>
      <c r="N58" s="887"/>
      <c r="O58" s="887"/>
    </row>
    <row r="59" spans="1:17" s="635" customFormat="1">
      <c r="A59" s="636" t="s">
        <v>2649</v>
      </c>
      <c r="B59" s="205" t="e">
        <f t="shared" si="17"/>
        <v>#DIV/0!</v>
      </c>
      <c r="C59" s="143">
        <f t="shared" si="16"/>
        <v>0.15</v>
      </c>
      <c r="D59" s="1110">
        <v>0.25</v>
      </c>
      <c r="E59" s="204">
        <f>'数据-汇总表'!E14</f>
        <v>0</v>
      </c>
      <c r="F59" s="634" t="e">
        <f t="shared" si="15"/>
        <v>#DIV/0!</v>
      </c>
      <c r="G59" s="2572" t="s">
        <v>2639</v>
      </c>
      <c r="H59" s="1050" t="str">
        <f>项目基本情况!B37</f>
        <v>八级</v>
      </c>
      <c r="I59" s="888">
        <f>SUMIF(修正!A45:A56,H59,修正!H45:H56)</f>
        <v>0.15</v>
      </c>
      <c r="J59" s="889"/>
      <c r="K59" s="1091"/>
      <c r="L59" s="887"/>
      <c r="M59" s="887"/>
      <c r="N59" s="887"/>
      <c r="O59" s="887"/>
    </row>
    <row r="60" spans="1:17" s="635" customFormat="1" ht="15" thickBot="1">
      <c r="A60" s="636" t="s">
        <v>2650</v>
      </c>
      <c r="B60" s="205" t="e">
        <f t="shared" si="17"/>
        <v>#DIV/0!</v>
      </c>
      <c r="C60" s="143">
        <f t="shared" si="16"/>
        <v>0</v>
      </c>
      <c r="D60" s="1110">
        <v>0.25</v>
      </c>
      <c r="E60" s="204">
        <f>'数据-汇总表'!E15</f>
        <v>0</v>
      </c>
      <c r="F60" s="634" t="e">
        <f t="shared" si="15"/>
        <v>#DIV/0!</v>
      </c>
      <c r="G60" s="2573" t="s">
        <v>2644</v>
      </c>
      <c r="H60" s="1060">
        <f>项目基本情况!C37</f>
        <v>0</v>
      </c>
      <c r="I60" s="888">
        <f>SUMIF(修正!A45:A56,H60,修正!H45:H56)</f>
        <v>0</v>
      </c>
      <c r="J60" s="889"/>
      <c r="K60" s="1090"/>
      <c r="L60" s="887"/>
      <c r="M60" s="887"/>
      <c r="N60" s="887"/>
      <c r="O60" s="887"/>
    </row>
    <row r="61" spans="1:17" s="635" customFormat="1" ht="15" thickBot="1">
      <c r="A61" s="638" t="s">
        <v>2651</v>
      </c>
      <c r="B61" s="639" t="s">
        <v>28</v>
      </c>
      <c r="C61" s="639" t="s">
        <v>29</v>
      </c>
      <c r="D61" s="639" t="s">
        <v>1029</v>
      </c>
      <c r="E61" s="639">
        <f>IF(B41="楼面地价",SUM(E51:E60),'数据-汇总表'!D3)</f>
        <v>43598.5</v>
      </c>
      <c r="F61" s="640" t="e">
        <f>IF(B41="楼面地价",SUM(F51:F60),ROUND(C43*E61/10000,0))</f>
        <v>#DIV/0!</v>
      </c>
      <c r="G61" s="1104"/>
      <c r="H61" s="1104"/>
      <c r="I61" s="1104"/>
      <c r="J61" s="1104"/>
      <c r="K61" s="1051"/>
      <c r="L61" s="887"/>
      <c r="M61" s="887"/>
      <c r="N61" s="887"/>
      <c r="O61" s="887"/>
    </row>
    <row r="62" spans="1:17">
      <c r="A62" s="1090"/>
      <c r="B62" s="1092"/>
      <c r="C62" s="1096"/>
      <c r="D62" s="1090"/>
      <c r="E62" s="1090"/>
      <c r="F62" s="1090"/>
      <c r="G62" s="1090"/>
      <c r="H62" s="1090"/>
      <c r="I62" s="1090"/>
      <c r="J62" s="1090"/>
      <c r="K62" s="1051"/>
      <c r="L62" s="1052"/>
      <c r="M62" s="1090"/>
      <c r="N62" s="1090"/>
      <c r="O62" s="1090"/>
    </row>
    <row r="63" spans="1:17">
      <c r="A63" s="1090"/>
      <c r="B63" s="1092"/>
      <c r="C63" s="704" t="str">
        <f>YEAR(C7)&amp;"-"&amp;MONTH(C7)&amp;"-1"</f>
        <v>2018-7-1</v>
      </c>
      <c r="D63" s="704">
        <f>EDATE(C63,-3)</f>
        <v>43191</v>
      </c>
      <c r="E63" s="704">
        <f>EDATE(D63,-3)</f>
        <v>43101</v>
      </c>
      <c r="F63" s="704">
        <f t="shared" ref="F63:O63" si="18">EDATE(E63,-3)</f>
        <v>43009</v>
      </c>
      <c r="G63" s="704">
        <f t="shared" si="18"/>
        <v>42917</v>
      </c>
      <c r="H63" s="704">
        <f t="shared" si="18"/>
        <v>42826</v>
      </c>
      <c r="I63" s="704">
        <f t="shared" si="18"/>
        <v>42736</v>
      </c>
      <c r="J63" s="704">
        <f t="shared" si="18"/>
        <v>42644</v>
      </c>
      <c r="K63" s="704">
        <f t="shared" si="18"/>
        <v>42552</v>
      </c>
      <c r="L63" s="704">
        <f t="shared" si="18"/>
        <v>42461</v>
      </c>
      <c r="M63" s="704">
        <f t="shared" si="18"/>
        <v>42370</v>
      </c>
      <c r="N63" s="704">
        <f t="shared" si="18"/>
        <v>42278</v>
      </c>
      <c r="O63" s="704">
        <f t="shared" si="18"/>
        <v>42186</v>
      </c>
    </row>
    <row r="64" spans="1:17" ht="21.75" thickBot="1">
      <c r="A64" s="706" t="s">
        <v>2545</v>
      </c>
      <c r="B64" s="702"/>
      <c r="C64" s="707"/>
      <c r="D64" s="707"/>
      <c r="E64" s="707"/>
      <c r="F64" s="708"/>
      <c r="G64" s="708"/>
      <c r="H64" s="707"/>
      <c r="I64" s="707"/>
      <c r="J64" s="707"/>
      <c r="K64" s="709"/>
      <c r="L64" s="710"/>
      <c r="M64" s="707"/>
      <c r="N64" s="707"/>
      <c r="O64" s="1105"/>
      <c r="P64" s="446"/>
      <c r="Q64" s="447"/>
    </row>
    <row r="65" spans="1:17" s="451" customFormat="1" ht="15">
      <c r="A65" s="2574" t="s">
        <v>2652</v>
      </c>
      <c r="B65" s="1291"/>
      <c r="C65" s="1502" t="str">
        <f>YEAR(C63)&amp;"-"&amp;ROUNDUP(MONTH(C63)/3,0)</f>
        <v>2018-3</v>
      </c>
      <c r="D65" s="1502" t="str">
        <f t="shared" ref="D65:O65" si="19">YEAR(D63)&amp;"-"&amp;ROUNDUP(MONTH(D63)/3,0)</f>
        <v>2018-2</v>
      </c>
      <c r="E65" s="1502" t="str">
        <f t="shared" si="19"/>
        <v>2018-1</v>
      </c>
      <c r="F65" s="1502" t="str">
        <f t="shared" si="19"/>
        <v>2017-4</v>
      </c>
      <c r="G65" s="1502" t="str">
        <f t="shared" si="19"/>
        <v>2017-3</v>
      </c>
      <c r="H65" s="1502" t="str">
        <f t="shared" si="19"/>
        <v>2017-2</v>
      </c>
      <c r="I65" s="1502" t="str">
        <f t="shared" si="19"/>
        <v>2017-1</v>
      </c>
      <c r="J65" s="1502" t="str">
        <f t="shared" si="19"/>
        <v>2016-4</v>
      </c>
      <c r="K65" s="1502" t="str">
        <f t="shared" si="19"/>
        <v>2016-3</v>
      </c>
      <c r="L65" s="1502" t="str">
        <f t="shared" si="19"/>
        <v>2016-2</v>
      </c>
      <c r="M65" s="1502" t="str">
        <f t="shared" si="19"/>
        <v>2016-1</v>
      </c>
      <c r="N65" s="1502" t="str">
        <f t="shared" si="19"/>
        <v>2015-4</v>
      </c>
      <c r="O65" s="1502" t="str">
        <f t="shared" si="19"/>
        <v>2015-3</v>
      </c>
      <c r="P65" s="450"/>
    </row>
    <row r="66" spans="1:17" s="72" customFormat="1" ht="30.75" customHeight="1">
      <c r="A66" s="2579" t="s">
        <v>2672</v>
      </c>
      <c r="B66" s="275" t="str">
        <f>"北京市平均增长率"&amp;TEXT(基准地价修正!P24,"0.00%")</f>
        <v>北京市平均增长率1.28%</v>
      </c>
      <c r="C66" s="546">
        <v>100</v>
      </c>
      <c r="D66" s="538"/>
      <c r="E66" s="538"/>
      <c r="F66" s="538"/>
      <c r="G66" s="538"/>
      <c r="H66" s="538"/>
      <c r="I66" s="538"/>
      <c r="J66" s="538"/>
      <c r="K66" s="538"/>
      <c r="L66" s="538"/>
      <c r="M66" s="1498"/>
      <c r="N66" s="1498"/>
      <c r="O66" s="1499"/>
      <c r="P66" s="447"/>
    </row>
    <row r="67" spans="1:17" s="72" customFormat="1" ht="15.75" thickBot="1">
      <c r="A67" s="458" t="s">
        <v>2456</v>
      </c>
      <c r="B67" s="459"/>
      <c r="C67" s="460"/>
      <c r="D67" s="461"/>
      <c r="E67" s="461"/>
      <c r="F67" s="461"/>
      <c r="G67" s="461"/>
      <c r="H67" s="461"/>
      <c r="I67" s="461"/>
      <c r="J67" s="461"/>
      <c r="K67" s="461"/>
      <c r="L67" s="461"/>
      <c r="M67" s="462"/>
      <c r="N67" s="462"/>
      <c r="O67" s="463"/>
      <c r="P67" s="447"/>
      <c r="Q67" s="447"/>
    </row>
    <row r="68" spans="1:17" s="72" customFormat="1" ht="15">
      <c r="A68" s="464" t="s">
        <v>2421</v>
      </c>
      <c r="B68" s="453"/>
      <c r="C68" s="465" t="s">
        <v>2523</v>
      </c>
      <c r="D68" s="466"/>
      <c r="E68" s="466"/>
      <c r="F68" s="466"/>
      <c r="G68" s="466"/>
      <c r="H68" s="466"/>
      <c r="I68" s="466"/>
      <c r="J68" s="466"/>
      <c r="K68" s="466"/>
      <c r="L68" s="467"/>
      <c r="M68" s="468"/>
      <c r="N68" s="1097"/>
      <c r="O68" s="1097"/>
      <c r="P68" s="469"/>
      <c r="Q68" s="447"/>
    </row>
    <row r="69" spans="1:17" s="72" customFormat="1" ht="15.75" thickBot="1">
      <c r="A69" s="464"/>
      <c r="B69" s="453"/>
      <c r="C69" s="582">
        <v>100</v>
      </c>
      <c r="D69" s="455"/>
      <c r="E69" s="455"/>
      <c r="F69" s="455"/>
      <c r="G69" s="455"/>
      <c r="H69" s="455"/>
      <c r="I69" s="455"/>
      <c r="J69" s="455"/>
      <c r="K69" s="455"/>
      <c r="L69" s="455"/>
      <c r="M69" s="457"/>
      <c r="N69" s="1097"/>
      <c r="O69" s="1097"/>
      <c r="P69" s="447"/>
      <c r="Q69" s="447"/>
    </row>
    <row r="70" spans="1:17">
      <c r="A70" s="470" t="s">
        <v>2459</v>
      </c>
      <c r="B70" s="471" t="s">
        <v>2425</v>
      </c>
      <c r="C70" s="473"/>
      <c r="D70" s="473"/>
      <c r="E70" s="473"/>
      <c r="F70" s="473"/>
      <c r="G70" s="473"/>
      <c r="H70" s="473"/>
      <c r="I70" s="473"/>
      <c r="J70" s="473"/>
      <c r="K70" s="474"/>
      <c r="L70" s="475"/>
      <c r="M70" s="476"/>
      <c r="N70" s="1098"/>
      <c r="O70" s="1098"/>
      <c r="P70" s="45"/>
      <c r="Q70" s="447"/>
    </row>
    <row r="71" spans="1:17" ht="15.75" thickBot="1">
      <c r="A71" s="477"/>
      <c r="B71" s="478"/>
      <c r="C71" s="479"/>
      <c r="D71" s="479"/>
      <c r="E71" s="479"/>
      <c r="F71" s="479"/>
      <c r="G71" s="479"/>
      <c r="H71" s="479"/>
      <c r="I71" s="479"/>
      <c r="J71" s="479"/>
      <c r="K71" s="479"/>
      <c r="L71" s="479"/>
      <c r="M71" s="480"/>
      <c r="N71" s="1099"/>
      <c r="O71" s="1099"/>
      <c r="P71" s="45"/>
      <c r="Q71" s="447"/>
    </row>
    <row r="72" spans="1:17" ht="27.75" thickTop="1">
      <c r="A72" s="477"/>
      <c r="B72" s="481" t="s">
        <v>2428</v>
      </c>
      <c r="C72" s="482"/>
      <c r="D72" s="482"/>
      <c r="E72" s="482"/>
      <c r="F72" s="482"/>
      <c r="G72" s="482"/>
      <c r="H72" s="482"/>
      <c r="I72" s="482"/>
      <c r="J72" s="482"/>
      <c r="K72" s="483"/>
      <c r="L72" s="484"/>
      <c r="M72" s="485"/>
      <c r="N72" s="1098"/>
      <c r="O72" s="1098"/>
      <c r="P72" s="45"/>
      <c r="Q72" s="447"/>
    </row>
    <row r="73" spans="1:17" ht="15.75" thickBot="1">
      <c r="A73" s="477"/>
      <c r="B73" s="486"/>
      <c r="C73" s="487"/>
      <c r="D73" s="487"/>
      <c r="E73" s="487"/>
      <c r="F73" s="487"/>
      <c r="G73" s="487"/>
      <c r="H73" s="487"/>
      <c r="I73" s="487"/>
      <c r="J73" s="487"/>
      <c r="K73" s="487"/>
      <c r="L73" s="487"/>
      <c r="M73" s="488"/>
      <c r="N73" s="1099"/>
      <c r="O73" s="1099"/>
      <c r="P73" s="45"/>
      <c r="Q73" s="447"/>
    </row>
    <row r="74" spans="1:17" ht="15.75" thickTop="1">
      <c r="A74" s="477"/>
      <c r="B74" s="489" t="s">
        <v>2429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9"/>
      <c r="O74" s="1099"/>
      <c r="P74" s="45"/>
      <c r="Q74" s="447"/>
    </row>
    <row r="75" spans="1:17" ht="15">
      <c r="A75" s="477"/>
      <c r="B75" s="491"/>
      <c r="C75" s="492"/>
      <c r="D75" s="492"/>
      <c r="E75" s="492"/>
      <c r="F75" s="492"/>
      <c r="G75" s="492"/>
      <c r="H75" s="492"/>
      <c r="I75" s="492"/>
      <c r="J75" s="492"/>
      <c r="K75" s="493"/>
      <c r="L75" s="494"/>
      <c r="M75" s="495"/>
      <c r="N75" s="1098"/>
      <c r="O75" s="1098"/>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9"/>
      <c r="O76" s="1099"/>
      <c r="P76" s="45"/>
      <c r="Q76" s="447"/>
    </row>
    <row r="77" spans="1:17" s="414" customFormat="1" ht="15.75" thickTop="1">
      <c r="A77" s="496"/>
      <c r="B77" s="481">
        <f>B12</f>
        <v>111</v>
      </c>
      <c r="C77" s="497"/>
      <c r="D77" s="497"/>
      <c r="E77" s="497"/>
      <c r="F77" s="497"/>
      <c r="G77" s="497"/>
      <c r="H77" s="498"/>
      <c r="I77" s="498"/>
      <c r="J77" s="498"/>
      <c r="K77" s="498"/>
      <c r="L77" s="499"/>
      <c r="M77" s="500"/>
      <c r="N77" s="1100"/>
      <c r="O77" s="1100"/>
      <c r="P77" s="501"/>
      <c r="Q77" s="502"/>
    </row>
    <row r="78" spans="1:17" s="414" customFormat="1" ht="15.75" thickBot="1">
      <c r="A78" s="496"/>
      <c r="B78" s="486"/>
      <c r="C78" s="503"/>
      <c r="D78" s="479"/>
      <c r="E78" s="479"/>
      <c r="F78" s="479"/>
      <c r="G78" s="479"/>
      <c r="H78" s="479"/>
      <c r="I78" s="479"/>
      <c r="J78" s="479"/>
      <c r="K78" s="479"/>
      <c r="L78" s="479"/>
      <c r="M78" s="480"/>
      <c r="N78" s="1099"/>
      <c r="O78" s="1099"/>
      <c r="P78" s="501"/>
      <c r="Q78" s="502"/>
    </row>
    <row r="79" spans="1:17" s="414" customFormat="1" ht="15.75" thickTop="1">
      <c r="A79" s="496"/>
      <c r="B79" s="481">
        <f>B13</f>
        <v>111</v>
      </c>
      <c r="C79" s="497"/>
      <c r="D79" s="497"/>
      <c r="E79" s="497"/>
      <c r="F79" s="497"/>
      <c r="G79" s="497"/>
      <c r="H79" s="498"/>
      <c r="I79" s="498"/>
      <c r="J79" s="498"/>
      <c r="K79" s="498"/>
      <c r="L79" s="499"/>
      <c r="M79" s="500"/>
      <c r="N79" s="1100"/>
      <c r="O79" s="1100"/>
      <c r="P79" s="413"/>
      <c r="Q79" s="504"/>
    </row>
    <row r="80" spans="1:17" s="414" customFormat="1" ht="15.75" thickBot="1">
      <c r="A80" s="496"/>
      <c r="B80" s="486"/>
      <c r="C80" s="503"/>
      <c r="D80" s="503"/>
      <c r="E80" s="503"/>
      <c r="F80" s="503"/>
      <c r="G80" s="503"/>
      <c r="H80" s="505"/>
      <c r="I80" s="505"/>
      <c r="J80" s="505"/>
      <c r="K80" s="505"/>
      <c r="L80" s="505"/>
      <c r="M80" s="506"/>
      <c r="N80" s="1100"/>
      <c r="O80" s="1100"/>
      <c r="P80" s="501"/>
      <c r="Q80" s="502"/>
    </row>
    <row r="81" spans="1:17" s="414" customFormat="1" ht="15.75" thickTop="1">
      <c r="A81" s="496"/>
      <c r="B81" s="489">
        <f>B14</f>
        <v>111</v>
      </c>
      <c r="C81" s="466"/>
      <c r="D81" s="466"/>
      <c r="E81" s="466"/>
      <c r="F81" s="466"/>
      <c r="G81" s="466"/>
      <c r="H81" s="507"/>
      <c r="I81" s="507"/>
      <c r="J81" s="507"/>
      <c r="K81" s="507"/>
      <c r="L81" s="508"/>
      <c r="M81" s="509"/>
      <c r="N81" s="1100"/>
      <c r="O81" s="1100"/>
      <c r="P81" s="510"/>
      <c r="Q81" s="502"/>
    </row>
    <row r="82" spans="1:17" s="414" customFormat="1" ht="15.75" thickBot="1">
      <c r="A82" s="511"/>
      <c r="B82" s="512"/>
      <c r="C82" s="513"/>
      <c r="D82" s="513"/>
      <c r="E82" s="513"/>
      <c r="F82" s="513"/>
      <c r="G82" s="513"/>
      <c r="H82" s="514"/>
      <c r="I82" s="514"/>
      <c r="J82" s="514"/>
      <c r="K82" s="514"/>
      <c r="L82" s="514"/>
      <c r="M82" s="515"/>
      <c r="N82" s="1100"/>
      <c r="O82" s="1100"/>
      <c r="P82" s="501"/>
      <c r="Q82" s="502"/>
    </row>
    <row r="83" spans="1:17">
      <c r="A83" s="470" t="s">
        <v>2430</v>
      </c>
      <c r="B83" s="471" t="s">
        <v>2576</v>
      </c>
      <c r="C83" s="516" t="s">
        <v>2468</v>
      </c>
      <c r="D83" s="516" t="s">
        <v>2469</v>
      </c>
      <c r="E83" s="516" t="s">
        <v>2470</v>
      </c>
      <c r="F83" s="516" t="s">
        <v>2471</v>
      </c>
      <c r="G83" s="516" t="s">
        <v>2472</v>
      </c>
      <c r="H83" s="472"/>
      <c r="I83" s="472"/>
      <c r="J83" s="472"/>
      <c r="K83" s="517"/>
      <c r="L83" s="518"/>
      <c r="M83" s="519"/>
      <c r="N83" s="1098"/>
      <c r="O83" s="1098"/>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9"/>
      <c r="O84" s="1099"/>
      <c r="P84" s="45"/>
      <c r="Q84" s="447"/>
    </row>
    <row r="85" spans="1:17" ht="15.75" thickTop="1">
      <c r="A85" s="477"/>
      <c r="B85" s="481" t="s">
        <v>2473</v>
      </c>
      <c r="C85" s="521" t="s">
        <v>2468</v>
      </c>
      <c r="D85" s="521" t="s">
        <v>2469</v>
      </c>
      <c r="E85" s="521" t="s">
        <v>2470</v>
      </c>
      <c r="F85" s="521" t="s">
        <v>2471</v>
      </c>
      <c r="G85" s="521" t="s">
        <v>2472</v>
      </c>
      <c r="H85" s="482"/>
      <c r="I85" s="482"/>
      <c r="J85" s="482"/>
      <c r="K85" s="483"/>
      <c r="L85" s="484"/>
      <c r="M85" s="485"/>
      <c r="N85" s="1098"/>
      <c r="O85" s="1098"/>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9"/>
      <c r="O86" s="1099"/>
      <c r="P86" s="45"/>
      <c r="Q86" s="447"/>
    </row>
    <row r="87" spans="1:17" s="72" customFormat="1" ht="15.75" thickTop="1">
      <c r="A87" s="522"/>
      <c r="B87" s="481" t="s">
        <v>2655</v>
      </c>
      <c r="C87" s="516" t="s">
        <v>2468</v>
      </c>
      <c r="D87" s="516" t="s">
        <v>2469</v>
      </c>
      <c r="E87" s="516" t="s">
        <v>2470</v>
      </c>
      <c r="F87" s="516" t="s">
        <v>2471</v>
      </c>
      <c r="G87" s="516" t="s">
        <v>2472</v>
      </c>
      <c r="H87" s="521"/>
      <c r="I87" s="521"/>
      <c r="J87" s="521"/>
      <c r="K87" s="521"/>
      <c r="L87" s="641"/>
      <c r="M87" s="565"/>
      <c r="N87" s="1097"/>
      <c r="O87" s="1097"/>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9"/>
      <c r="O88" s="1099"/>
      <c r="P88" s="45"/>
      <c r="Q88" s="447"/>
    </row>
    <row r="89" spans="1:17" s="72" customFormat="1" ht="27.75" thickTop="1">
      <c r="A89" s="522"/>
      <c r="B89" s="481" t="s">
        <v>2656</v>
      </c>
      <c r="C89" s="516" t="s">
        <v>2468</v>
      </c>
      <c r="D89" s="516" t="s">
        <v>2469</v>
      </c>
      <c r="E89" s="516" t="s">
        <v>2470</v>
      </c>
      <c r="F89" s="516" t="s">
        <v>2471</v>
      </c>
      <c r="G89" s="516" t="s">
        <v>2472</v>
      </c>
      <c r="H89" s="521"/>
      <c r="I89" s="521"/>
      <c r="J89" s="521"/>
      <c r="K89" s="521"/>
      <c r="L89" s="521"/>
      <c r="M89" s="565"/>
      <c r="N89" s="1097"/>
      <c r="O89" s="1097"/>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9"/>
      <c r="O90" s="1099"/>
      <c r="P90" s="45"/>
      <c r="Q90" s="447"/>
    </row>
    <row r="91" spans="1:17" s="414" customFormat="1" ht="15.75" thickTop="1">
      <c r="A91" s="496"/>
      <c r="B91" s="481" t="s">
        <v>2525</v>
      </c>
      <c r="C91" s="516" t="s">
        <v>2468</v>
      </c>
      <c r="D91" s="516" t="s">
        <v>2469</v>
      </c>
      <c r="E91" s="516" t="s">
        <v>2470</v>
      </c>
      <c r="F91" s="516" t="s">
        <v>2471</v>
      </c>
      <c r="G91" s="516" t="s">
        <v>2472</v>
      </c>
      <c r="H91" s="543"/>
      <c r="I91" s="543"/>
      <c r="J91" s="543"/>
      <c r="K91" s="543"/>
      <c r="L91" s="544"/>
      <c r="M91" s="545"/>
      <c r="N91" s="1100"/>
      <c r="O91" s="1100"/>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100"/>
      <c r="O92" s="1100"/>
      <c r="P92" s="501"/>
      <c r="Q92" s="502"/>
    </row>
    <row r="93" spans="1:17" s="414" customFormat="1" ht="15.75" thickTop="1">
      <c r="A93" s="496"/>
      <c r="B93" s="489" t="s">
        <v>2673</v>
      </c>
      <c r="C93" s="603" t="s">
        <v>2546</v>
      </c>
      <c r="D93" s="603" t="s">
        <v>2547</v>
      </c>
      <c r="E93" s="603" t="s">
        <v>2548</v>
      </c>
      <c r="F93" s="603" t="s">
        <v>2549</v>
      </c>
      <c r="G93" s="603" t="s">
        <v>2550</v>
      </c>
      <c r="H93" s="543"/>
      <c r="I93" s="543"/>
      <c r="J93" s="543"/>
      <c r="K93" s="543"/>
      <c r="L93" s="543"/>
      <c r="M93" s="545"/>
      <c r="N93" s="1100"/>
      <c r="O93" s="1100"/>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7"/>
      <c r="N94" s="1100"/>
      <c r="O94" s="1100"/>
      <c r="P94" s="501"/>
      <c r="Q94" s="502"/>
    </row>
    <row r="95" spans="1:17" ht="15.75" thickTop="1">
      <c r="A95" s="477"/>
      <c r="B95" s="481" t="str">
        <f>B27</f>
        <v>临街状况</v>
      </c>
      <c r="C95" s="482" t="s">
        <v>2657</v>
      </c>
      <c r="D95" s="482" t="s">
        <v>2658</v>
      </c>
      <c r="E95" s="482" t="s">
        <v>2659</v>
      </c>
      <c r="F95" s="482" t="s">
        <v>2660</v>
      </c>
      <c r="G95" s="482"/>
      <c r="H95" s="482"/>
      <c r="I95" s="482"/>
      <c r="J95" s="482"/>
      <c r="K95" s="483"/>
      <c r="L95" s="484"/>
      <c r="M95" s="485"/>
      <c r="N95" s="1098"/>
      <c r="O95" s="1098"/>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9"/>
      <c r="O96" s="1099"/>
      <c r="P96" s="45"/>
      <c r="Q96" s="447"/>
    </row>
    <row r="97" spans="1:17" ht="27.75" thickTop="1">
      <c r="A97" s="477"/>
      <c r="B97" s="481" t="s">
        <v>2562</v>
      </c>
      <c r="C97" s="497"/>
      <c r="D97" s="497"/>
      <c r="E97" s="497"/>
      <c r="F97" s="497"/>
      <c r="G97" s="497"/>
      <c r="H97" s="526"/>
      <c r="I97" s="526"/>
      <c r="J97" s="526"/>
      <c r="K97" s="527"/>
      <c r="L97" s="528"/>
      <c r="M97" s="529"/>
      <c r="N97" s="1098"/>
      <c r="O97" s="1098"/>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9"/>
      <c r="O98" s="1099"/>
      <c r="P98" s="45"/>
      <c r="Q98" s="447"/>
    </row>
    <row r="99" spans="1:17" ht="15.75" thickTop="1">
      <c r="A99" s="477"/>
      <c r="B99" s="481" t="s">
        <v>2620</v>
      </c>
      <c r="C99" s="526"/>
      <c r="D99" s="526"/>
      <c r="E99" s="526"/>
      <c r="F99" s="526"/>
      <c r="G99" s="526"/>
      <c r="H99" s="526"/>
      <c r="I99" s="526"/>
      <c r="J99" s="526"/>
      <c r="K99" s="527"/>
      <c r="L99" s="528"/>
      <c r="M99" s="529"/>
      <c r="N99" s="1098"/>
      <c r="O99" s="1098"/>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9"/>
      <c r="O100" s="1099"/>
      <c r="P100" s="45"/>
      <c r="Q100" s="447"/>
    </row>
    <row r="101" spans="1:17" ht="15.75" thickTop="1">
      <c r="A101" s="477"/>
      <c r="B101" s="489">
        <f>B31</f>
        <v>111</v>
      </c>
      <c r="C101" s="497"/>
      <c r="D101" s="497"/>
      <c r="E101" s="497"/>
      <c r="F101" s="497"/>
      <c r="G101" s="530"/>
      <c r="H101" s="530"/>
      <c r="I101" s="530"/>
      <c r="J101" s="530"/>
      <c r="K101" s="531"/>
      <c r="L101" s="532"/>
      <c r="M101" s="533"/>
      <c r="N101" s="1098"/>
      <c r="O101" s="1098"/>
      <c r="P101" s="45"/>
      <c r="Q101" s="447"/>
    </row>
    <row r="102" spans="1:17" ht="15.75" thickBot="1">
      <c r="A102" s="477"/>
      <c r="B102" s="512"/>
      <c r="C102" s="503"/>
      <c r="D102" s="479"/>
      <c r="E102" s="479"/>
      <c r="F102" s="479"/>
      <c r="G102" s="534"/>
      <c r="H102" s="534"/>
      <c r="I102" s="534"/>
      <c r="J102" s="534"/>
      <c r="K102" s="534"/>
      <c r="L102" s="534"/>
      <c r="M102" s="535"/>
      <c r="N102" s="1099"/>
      <c r="O102" s="1099"/>
      <c r="P102" s="45"/>
      <c r="Q102" s="447"/>
    </row>
    <row r="103" spans="1:17" ht="15" thickTop="1">
      <c r="A103" s="618"/>
      <c r="B103" s="481">
        <f>B32</f>
        <v>111</v>
      </c>
      <c r="C103" s="497"/>
      <c r="D103" s="497"/>
      <c r="E103" s="497"/>
      <c r="F103" s="497"/>
      <c r="G103" s="526"/>
      <c r="H103" s="526"/>
      <c r="I103" s="526"/>
      <c r="J103" s="526"/>
      <c r="K103" s="527"/>
      <c r="L103" s="528"/>
      <c r="M103" s="529"/>
      <c r="N103" s="1098"/>
      <c r="O103" s="1098"/>
      <c r="P103" s="45"/>
      <c r="Q103" s="447"/>
    </row>
    <row r="104" spans="1:17" ht="15.75" thickBot="1">
      <c r="A104" s="477"/>
      <c r="B104" s="486"/>
      <c r="C104" s="503"/>
      <c r="D104" s="503"/>
      <c r="E104" s="503"/>
      <c r="F104" s="503"/>
      <c r="G104" s="479"/>
      <c r="H104" s="479"/>
      <c r="I104" s="479"/>
      <c r="J104" s="479"/>
      <c r="K104" s="479"/>
      <c r="L104" s="479"/>
      <c r="M104" s="480"/>
      <c r="N104" s="1099"/>
      <c r="O104" s="1099"/>
      <c r="P104" s="45"/>
      <c r="Q104" s="447"/>
    </row>
    <row r="105" spans="1:17" s="414" customFormat="1" ht="15" thickTop="1">
      <c r="A105" s="536"/>
      <c r="B105" s="537">
        <f>B33</f>
        <v>111</v>
      </c>
      <c r="C105" s="466"/>
      <c r="D105" s="466"/>
      <c r="E105" s="466"/>
      <c r="F105" s="466"/>
      <c r="G105" s="538"/>
      <c r="H105" s="538"/>
      <c r="I105" s="538"/>
      <c r="J105" s="539"/>
      <c r="K105" s="539"/>
      <c r="L105" s="540"/>
      <c r="M105" s="541"/>
      <c r="N105" s="1100"/>
      <c r="O105" s="1100"/>
      <c r="P105" s="501"/>
      <c r="Q105" s="502"/>
    </row>
    <row r="106" spans="1:17" s="414" customFormat="1" ht="15.75" thickBot="1">
      <c r="A106" s="496"/>
      <c r="B106" s="489"/>
      <c r="C106" s="513"/>
      <c r="D106" s="513"/>
      <c r="E106" s="513"/>
      <c r="F106" s="513"/>
      <c r="G106" s="620"/>
      <c r="H106" s="620"/>
      <c r="I106" s="620"/>
      <c r="J106" s="620"/>
      <c r="K106" s="620"/>
      <c r="L106" s="620"/>
      <c r="M106" s="642"/>
      <c r="N106" s="1099"/>
      <c r="O106" s="1099"/>
      <c r="P106" s="501"/>
      <c r="Q106" s="502"/>
    </row>
    <row r="107" spans="1:17">
      <c r="A107" s="470" t="s">
        <v>2434</v>
      </c>
      <c r="B107" s="471" t="s">
        <v>2661</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95" t="str">
        <f t="shared" si="25"/>
        <v>(含)-</v>
      </c>
      <c r="L107" s="1695" t="str">
        <f t="shared" si="25"/>
        <v>(含)-</v>
      </c>
      <c r="M107" s="1696" t="str">
        <f>M108&amp;"(含)"&amp;"-"&amp;P108</f>
        <v>(含)-</v>
      </c>
      <c r="N107" s="1098"/>
      <c r="O107" s="1098"/>
      <c r="P107" s="45"/>
      <c r="Q107" s="447"/>
    </row>
    <row r="108" spans="1:17" ht="15">
      <c r="A108" s="477"/>
      <c r="B108" s="489"/>
      <c r="C108" s="538"/>
      <c r="D108" s="538"/>
      <c r="E108" s="538"/>
      <c r="F108" s="538"/>
      <c r="G108" s="538"/>
      <c r="H108" s="538"/>
      <c r="I108" s="538"/>
      <c r="J108" s="539"/>
      <c r="K108" s="539"/>
      <c r="L108" s="540"/>
      <c r="M108" s="541"/>
      <c r="N108" s="1098"/>
      <c r="O108" s="1098"/>
      <c r="P108" s="45"/>
      <c r="Q108" s="447"/>
    </row>
    <row r="109" spans="1:17" ht="15.75" thickBot="1">
      <c r="A109" s="477"/>
      <c r="B109" s="486"/>
      <c r="C109" s="513"/>
      <c r="D109" s="534"/>
      <c r="E109" s="534"/>
      <c r="F109" s="534"/>
      <c r="G109" s="534"/>
      <c r="H109" s="534"/>
      <c r="I109" s="534"/>
      <c r="J109" s="534"/>
      <c r="K109" s="534"/>
      <c r="L109" s="534"/>
      <c r="M109" s="535"/>
      <c r="N109" s="1099"/>
      <c r="O109" s="1099"/>
      <c r="P109" s="45"/>
      <c r="Q109" s="447"/>
    </row>
    <row r="110" spans="1:17" ht="15" thickTop="1">
      <c r="A110" s="542"/>
      <c r="B110" s="481" t="s">
        <v>2662</v>
      </c>
      <c r="C110" s="526"/>
      <c r="D110" s="526"/>
      <c r="E110" s="526"/>
      <c r="F110" s="526"/>
      <c r="G110" s="526"/>
      <c r="H110" s="526"/>
      <c r="I110" s="526"/>
      <c r="J110" s="526"/>
      <c r="K110" s="527"/>
      <c r="L110" s="528"/>
      <c r="M110" s="529"/>
      <c r="N110" s="1098"/>
      <c r="O110" s="1098"/>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9"/>
      <c r="O111" s="1099"/>
      <c r="P111" s="45"/>
      <c r="Q111" s="447"/>
    </row>
    <row r="112" spans="1:17" s="414" customFormat="1" ht="15" thickTop="1">
      <c r="A112" s="536"/>
      <c r="B112" s="481" t="s">
        <v>2664</v>
      </c>
      <c r="C112" s="497"/>
      <c r="D112" s="497"/>
      <c r="E112" s="497"/>
      <c r="F112" s="497"/>
      <c r="G112" s="497"/>
      <c r="H112" s="526"/>
      <c r="I112" s="526"/>
      <c r="J112" s="526"/>
      <c r="K112" s="527"/>
      <c r="L112" s="528"/>
      <c r="M112" s="529"/>
      <c r="N112" s="1100"/>
      <c r="O112" s="1100"/>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100"/>
      <c r="O113" s="1100"/>
      <c r="P113" s="501"/>
      <c r="Q113" s="502"/>
    </row>
    <row r="114" spans="1:17" ht="15" thickTop="1">
      <c r="A114" s="542"/>
      <c r="B114" s="481" t="s">
        <v>2665</v>
      </c>
      <c r="C114" s="497"/>
      <c r="D114" s="497"/>
      <c r="E114" s="526"/>
      <c r="F114" s="526"/>
      <c r="G114" s="526"/>
      <c r="H114" s="526"/>
      <c r="I114" s="526"/>
      <c r="J114" s="526"/>
      <c r="K114" s="527"/>
      <c r="L114" s="528"/>
      <c r="M114" s="529"/>
      <c r="N114" s="1098"/>
      <c r="O114" s="1098"/>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9"/>
      <c r="O115" s="1099"/>
      <c r="P115" s="45"/>
      <c r="Q115" s="447"/>
    </row>
    <row r="116" spans="1:17" ht="15" thickTop="1">
      <c r="A116" s="542"/>
      <c r="B116" s="481">
        <f>B38</f>
        <v>111</v>
      </c>
      <c r="C116" s="497"/>
      <c r="D116" s="497"/>
      <c r="E116" s="497"/>
      <c r="F116" s="497"/>
      <c r="G116" s="497"/>
      <c r="H116" s="526"/>
      <c r="I116" s="526"/>
      <c r="J116" s="526"/>
      <c r="K116" s="527"/>
      <c r="L116" s="528"/>
      <c r="M116" s="529"/>
      <c r="N116" s="1098"/>
      <c r="O116" s="1098"/>
      <c r="P116" s="45"/>
      <c r="Q116" s="447"/>
    </row>
    <row r="117" spans="1:17" ht="15.75" thickBot="1">
      <c r="A117" s="477"/>
      <c r="B117" s="486"/>
      <c r="C117" s="503"/>
      <c r="D117" s="479"/>
      <c r="E117" s="479"/>
      <c r="F117" s="479"/>
      <c r="G117" s="479"/>
      <c r="H117" s="479"/>
      <c r="I117" s="479"/>
      <c r="J117" s="479"/>
      <c r="K117" s="479"/>
      <c r="L117" s="479"/>
      <c r="M117" s="480"/>
      <c r="N117" s="1099"/>
      <c r="O117" s="1099"/>
      <c r="P117" s="45"/>
      <c r="Q117" s="447"/>
    </row>
    <row r="118" spans="1:17" ht="15" thickTop="1">
      <c r="A118" s="542"/>
      <c r="B118" s="481">
        <f>B39</f>
        <v>111</v>
      </c>
      <c r="C118" s="497"/>
      <c r="D118" s="497"/>
      <c r="E118" s="497"/>
      <c r="F118" s="497"/>
      <c r="G118" s="526"/>
      <c r="H118" s="526"/>
      <c r="I118" s="526"/>
      <c r="J118" s="526"/>
      <c r="K118" s="527"/>
      <c r="L118" s="528"/>
      <c r="M118" s="529"/>
      <c r="N118" s="1098"/>
      <c r="O118" s="1098"/>
      <c r="P118" s="45"/>
      <c r="Q118" s="447"/>
    </row>
    <row r="119" spans="1:17" ht="15.75" thickBot="1">
      <c r="A119" s="477"/>
      <c r="B119" s="486"/>
      <c r="C119" s="503"/>
      <c r="D119" s="503"/>
      <c r="E119" s="503"/>
      <c r="F119" s="503"/>
      <c r="G119" s="479"/>
      <c r="H119" s="479"/>
      <c r="I119" s="479"/>
      <c r="J119" s="479"/>
      <c r="K119" s="479"/>
      <c r="L119" s="479"/>
      <c r="M119" s="480"/>
      <c r="N119" s="1099"/>
      <c r="O119" s="1099"/>
      <c r="P119" s="45"/>
      <c r="Q119" s="447"/>
    </row>
    <row r="120" spans="1:17" s="414" customFormat="1" ht="15" thickTop="1">
      <c r="A120" s="536"/>
      <c r="B120" s="481">
        <f>B40</f>
        <v>111</v>
      </c>
      <c r="C120" s="466"/>
      <c r="D120" s="466"/>
      <c r="E120" s="466"/>
      <c r="F120" s="466"/>
      <c r="G120" s="498"/>
      <c r="H120" s="498"/>
      <c r="I120" s="498"/>
      <c r="J120" s="498"/>
      <c r="K120" s="498"/>
      <c r="L120" s="499"/>
      <c r="M120" s="500"/>
      <c r="N120" s="1100"/>
      <c r="O120" s="1100"/>
      <c r="P120" s="501"/>
      <c r="Q120" s="502"/>
    </row>
    <row r="121" spans="1:17" s="414" customFormat="1" ht="15.75" thickBot="1">
      <c r="A121" s="511"/>
      <c r="B121" s="643"/>
      <c r="C121" s="513"/>
      <c r="D121" s="513"/>
      <c r="E121" s="513"/>
      <c r="F121" s="513"/>
      <c r="G121" s="534"/>
      <c r="H121" s="534"/>
      <c r="I121" s="534"/>
      <c r="J121" s="534"/>
      <c r="K121" s="534"/>
      <c r="L121" s="534"/>
      <c r="M121" s="535"/>
      <c r="N121" s="1100"/>
      <c r="O121" s="1100"/>
      <c r="P121" s="501"/>
      <c r="Q121" s="5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9" sqref="C39"/>
    </sheetView>
  </sheetViews>
  <sheetFormatPr defaultColWidth="12" defaultRowHeight="12.75"/>
  <cols>
    <col min="1" max="1" width="9.75" style="2659" customWidth="1"/>
    <col min="2" max="2" width="19.25" style="2765" customWidth="1"/>
    <col min="3" max="4" width="12" style="2583"/>
    <col min="5" max="5" width="14.625" style="2583" customWidth="1"/>
    <col min="6" max="8" width="12" style="2583"/>
    <col min="9" max="9" width="12.25" style="2583" bestFit="1" customWidth="1"/>
    <col min="10" max="10" width="12" style="2583"/>
    <col min="11" max="11" width="8.125" style="2651" customWidth="1"/>
    <col min="12" max="12" width="12" style="2583"/>
    <col min="13" max="13" width="8.5" style="2583" customWidth="1"/>
    <col min="14" max="14" width="9.75" style="2583" customWidth="1"/>
    <col min="15" max="25" width="12" style="2583"/>
    <col min="26" max="26" width="9.375" style="2659" customWidth="1"/>
    <col min="27" max="32" width="9.375" style="1304" customWidth="1"/>
    <col min="33" max="36" width="9.375" style="2659" customWidth="1"/>
    <col min="37" max="38" width="9.375" style="2583" customWidth="1"/>
    <col min="39" max="16384" width="12" style="2583"/>
  </cols>
  <sheetData>
    <row r="1" spans="1:36" ht="28.5">
      <c r="A1" s="183" t="s">
        <v>2674</v>
      </c>
      <c r="B1" s="184"/>
      <c r="C1" s="188" t="s">
        <v>2675</v>
      </c>
      <c r="D1" s="331">
        <f>SUM(D29:D30,D33:D39)</f>
        <v>0</v>
      </c>
      <c r="E1" s="2580"/>
      <c r="F1" s="2580"/>
      <c r="G1" s="2580"/>
      <c r="H1" s="2580"/>
      <c r="I1" s="2580"/>
      <c r="J1" s="2580"/>
      <c r="K1" s="1302"/>
      <c r="L1" s="2581" t="s">
        <v>2676</v>
      </c>
      <c r="M1" s="1026">
        <f>SUMPRODUCT((区片价!B5:B9=I2)*(区片价!C3:F3=E2)*(区片价!C5:F9))</f>
        <v>0</v>
      </c>
      <c r="N1" s="1029">
        <f>SUMPRODUCT((因素修正幅度!B5:B9=I2)*(因素修正幅度!C3:F3=E2)*(因素修正幅度!C5:F9))</f>
        <v>0</v>
      </c>
      <c r="O1" s="2582"/>
      <c r="P1" s="2582"/>
      <c r="Q1" s="1302"/>
      <c r="R1" s="1532" t="s">
        <v>2677</v>
      </c>
      <c r="S1" s="1532" t="s">
        <v>2678</v>
      </c>
      <c r="T1" s="1532" t="s">
        <v>2679</v>
      </c>
      <c r="U1" s="1532" t="s">
        <v>2680</v>
      </c>
      <c r="V1" s="1532" t="s">
        <v>2681</v>
      </c>
      <c r="W1" s="1536"/>
      <c r="X1" s="1536"/>
      <c r="Y1" s="1536"/>
      <c r="Z1" s="1536"/>
      <c r="AA1" s="1536"/>
      <c r="AB1" s="1536"/>
      <c r="AC1" s="1537"/>
      <c r="AD1" s="1538"/>
      <c r="AE1" s="1538"/>
      <c r="AF1" s="1538"/>
      <c r="AG1" s="1538"/>
      <c r="AH1" s="1538"/>
      <c r="AI1" s="1538"/>
      <c r="AJ1" s="1539"/>
    </row>
    <row r="2" spans="1:36" ht="15.75">
      <c r="A2" s="188" t="s">
        <v>2682</v>
      </c>
      <c r="B2" s="191" t="e">
        <f>C26</f>
        <v>#DIV/0!</v>
      </c>
      <c r="C2" s="2584" t="s">
        <v>2683</v>
      </c>
      <c r="D2" s="2585" t="s">
        <v>2684</v>
      </c>
      <c r="E2" s="2586"/>
      <c r="F2" s="2585" t="s">
        <v>2685</v>
      </c>
      <c r="G2" s="2587">
        <f>IF(E2="商业",项目基本情况!B37,IF(E2="办公",项目基本情况!C37,IF(E2="住宅",项目基本情况!D37,项目基本情况!E37)))</f>
        <v>0</v>
      </c>
      <c r="H2" s="2585" t="s">
        <v>2686</v>
      </c>
      <c r="I2" s="2587">
        <f>IF(E2="商业",项目基本情况!B38,IF(E2="办公",项目基本情况!C38,IF(E2="住宅",项目基本情况!D38,项目基本情况!E38)))</f>
        <v>0</v>
      </c>
      <c r="J2" s="2588"/>
      <c r="K2" s="1302"/>
      <c r="L2" s="2589" t="s">
        <v>2687</v>
      </c>
      <c r="M2" s="1027">
        <f>SUMPRODUCT((区片价!B10:B28=I2)*(区片价!C3:F3=E2)*(区片价!C10:F28))</f>
        <v>0</v>
      </c>
      <c r="N2" s="1029">
        <f>SUMPRODUCT((因素修正幅度!B10:B28=I2)*(因素修正幅度!C3:F3=E2)*(因素修正幅度!C10:F28))</f>
        <v>0</v>
      </c>
      <c r="O2" s="1302"/>
      <c r="P2" s="1302"/>
      <c r="Q2" s="1302"/>
      <c r="R2" s="1532">
        <v>1</v>
      </c>
      <c r="S2" s="1532">
        <f>ROUND(IF(G3&gt;1,IF(R2&lt;7,SUMPRODUCT((B93:B98=R2)*(C92:N92=G2)*(C93:N98)),SUMIF(C92:N92,G2,C100:N100)),IF(R2&lt;7,SUMPRODUCT((B102:B107=R2)*(C92:N92=G2)*(C102:N107)),SUMIF(C92:N92,G2,C109:N109))),4)</f>
        <v>0</v>
      </c>
      <c r="T2" s="1532" t="e">
        <f>ROUND($C$5*$C$18*$C$19*$C$20*S2*$C$24,0)</f>
        <v>#DIV/0!</v>
      </c>
      <c r="U2" s="1533"/>
      <c r="V2" s="1532" t="e">
        <f>ROUND(T2*U2/10000,0)</f>
        <v>#DIV/0!</v>
      </c>
      <c r="W2" s="1536"/>
      <c r="X2" s="1536"/>
      <c r="Y2" s="1536"/>
      <c r="Z2" s="1536"/>
      <c r="AA2" s="1536"/>
      <c r="AB2" s="1536"/>
      <c r="AC2" s="1537"/>
      <c r="AD2" s="1538"/>
      <c r="AE2" s="1538"/>
      <c r="AF2" s="1538"/>
      <c r="AG2" s="1538"/>
      <c r="AH2" s="1538"/>
      <c r="AI2" s="1538"/>
      <c r="AJ2" s="1539"/>
    </row>
    <row r="3" spans="1:36" ht="15.75">
      <c r="A3" s="190" t="s">
        <v>2688</v>
      </c>
      <c r="B3" s="191" t="e">
        <f>ROUND(B2*10000/D1,0)</f>
        <v>#DIV/0!</v>
      </c>
      <c r="C3" s="2584" t="s">
        <v>2689</v>
      </c>
      <c r="D3" s="2585" t="s">
        <v>2690</v>
      </c>
      <c r="E3" s="2590"/>
      <c r="F3" s="2591" t="s">
        <v>2691</v>
      </c>
      <c r="G3" s="859">
        <f>IF(F3="宗地容积率",'数据-汇总表'!I4,IF(F3="估价对象容积率",'数据-汇总表'!I6,'数据-汇总表'!I7))</f>
        <v>1.9</v>
      </c>
      <c r="H3" s="141" t="s">
        <v>2692</v>
      </c>
      <c r="I3" s="890"/>
      <c r="J3" s="2588" t="s">
        <v>2693</v>
      </c>
      <c r="K3" s="1302"/>
      <c r="L3" s="2589" t="s">
        <v>2694</v>
      </c>
      <c r="M3" s="1027">
        <f>SUMPRODUCT((区片价!B29:B48=I2)*(区片价!C3:F3=E2)*(区片价!C29:F48))</f>
        <v>0</v>
      </c>
      <c r="N3" s="1029">
        <f>SUMPRODUCT((因素修正幅度!B29:B48=I2)*(因素修正幅度!C3:F3=E2)*(因素修正幅度!C29:F48))</f>
        <v>0</v>
      </c>
      <c r="O3" s="1302"/>
      <c r="P3" s="1302"/>
      <c r="Q3" s="1302"/>
      <c r="R3" s="1532">
        <v>2</v>
      </c>
      <c r="S3" s="1532">
        <f>ROUND(IF(G3&gt;1,IF(R3&lt;7,SUMPRODUCT((B93:B98=R3)*(C92:N92=G2)*(C93:N98)),SUMIF(C92:N92,G2,C100:N100)),IF(R3&lt;7,SUMPRODUCT((B102:B107=R3)*(C92:N92=G2)*(C102:N107)),SUMIF(C92:N92,G2,C109:N109))),4)</f>
        <v>0</v>
      </c>
      <c r="T3" s="1532" t="e">
        <f t="shared" ref="T3:T16" si="0">ROUND($C$5*$C$18*$C$19*$C$20*S3*$C$24,0)</f>
        <v>#DIV/0!</v>
      </c>
      <c r="U3" s="1533"/>
      <c r="V3" s="1532" t="e">
        <f t="shared" ref="V3:V16" si="1">ROUND(T3*U3/10000,0)</f>
        <v>#DIV/0!</v>
      </c>
      <c r="W3" s="1536"/>
      <c r="X3" s="1536"/>
      <c r="Y3" s="1536"/>
      <c r="Z3" s="1536"/>
      <c r="AA3" s="1536"/>
      <c r="AB3" s="1536"/>
      <c r="AC3" s="1537"/>
      <c r="AD3" s="1538"/>
      <c r="AE3" s="1538"/>
      <c r="AF3" s="1538"/>
      <c r="AG3" s="1538"/>
      <c r="AH3" s="1538"/>
      <c r="AI3" s="1538"/>
      <c r="AJ3" s="1539"/>
    </row>
    <row r="4" spans="1:36" ht="15.75">
      <c r="A4" s="3390"/>
      <c r="B4" s="3391"/>
      <c r="C4" s="3391"/>
      <c r="D4" s="3392"/>
      <c r="E4" s="3392"/>
      <c r="F4" s="3392"/>
      <c r="G4" s="3392"/>
      <c r="H4" s="3392"/>
      <c r="I4" s="3392"/>
      <c r="J4" s="3393"/>
      <c r="K4" s="1302"/>
      <c r="L4" s="2589" t="s">
        <v>2695</v>
      </c>
      <c r="M4" s="1027">
        <f>SUMPRODUCT((区片价!B49:B75=I2)*(区片价!C3:F3=E2)*(区片价!C49:F75))</f>
        <v>0</v>
      </c>
      <c r="N4" s="1029">
        <f>SUMPRODUCT((因素修正幅度!B49:B75=I2)*(因素修正幅度!C3:F3=E2)*(因素修正幅度!C49:F75))</f>
        <v>0</v>
      </c>
      <c r="O4" s="1302"/>
      <c r="P4" s="1302"/>
      <c r="Q4" s="1302"/>
      <c r="R4" s="1532">
        <v>3</v>
      </c>
      <c r="S4" s="1532">
        <f>ROUND(IF(G3&gt;1,IF(R4&lt;7,SUMPRODUCT((B93:B98=R4)*(C92:N92=G2)*(C93:N98)),SUMIF(C92:N92,G2,C100:N100)),IF(R4&lt;7,SUMPRODUCT((B102:B107=R4)*(C92:N92=G2)*(C102:N107)),SUMIF(C92:N92,G2,C109:N109))),4)</f>
        <v>0</v>
      </c>
      <c r="T4" s="1532" t="e">
        <f t="shared" si="0"/>
        <v>#DIV/0!</v>
      </c>
      <c r="U4" s="1533"/>
      <c r="V4" s="1532" t="e">
        <f t="shared" si="1"/>
        <v>#DIV/0!</v>
      </c>
      <c r="W4" s="1536"/>
      <c r="X4" s="1536"/>
      <c r="Y4" s="1536"/>
      <c r="Z4" s="1536"/>
      <c r="AA4" s="1536"/>
      <c r="AB4" s="1536"/>
      <c r="AC4" s="1537"/>
      <c r="AD4" s="1538"/>
      <c r="AE4" s="1538"/>
      <c r="AF4" s="1538"/>
      <c r="AG4" s="1538"/>
      <c r="AH4" s="1538"/>
      <c r="AI4" s="1538"/>
      <c r="AJ4" s="1539"/>
    </row>
    <row r="5" spans="1:36" s="2601" customFormat="1" ht="15.75" thickBot="1">
      <c r="A5" s="2592" t="s">
        <v>807</v>
      </c>
      <c r="B5" s="2593" t="s">
        <v>2696</v>
      </c>
      <c r="C5" s="860" t="e">
        <f>ROUND(IF(E2="商业",IF(F16="增加",C6*C7+C16,C6*C7-C16),IF(E2="住宅",IF(F16="增加",C6*C12+C16,C6*C12-C16),IF(F16="增加",C6+C16,C6-C16))),0)</f>
        <v>#DIV/0!</v>
      </c>
      <c r="D5" s="1715">
        <f>ROUND(IF(E2="商业",IF(F16="增加",C6+C16,C6-C16)),0)</f>
        <v>0</v>
      </c>
      <c r="E5" s="2594"/>
      <c r="F5" s="2594"/>
      <c r="G5" s="2595"/>
      <c r="H5" s="2595"/>
      <c r="I5" s="2595"/>
      <c r="J5" s="2596"/>
      <c r="K5" s="2597"/>
      <c r="L5" s="2589" t="s">
        <v>2697</v>
      </c>
      <c r="M5" s="1027">
        <f>SUMPRODUCT((区片价!B76:B109=I2)*(区片价!C3:F3=E2)*(区片价!C76:F109))</f>
        <v>0</v>
      </c>
      <c r="N5" s="1029">
        <f>SUMPRODUCT((因素修正幅度!B76:B109=I2)*(因素修正幅度!C3:F3=E2)*(因素修正幅度!C76:F109))</f>
        <v>0</v>
      </c>
      <c r="O5" s="1302"/>
      <c r="P5" s="1302"/>
      <c r="Q5" s="1302"/>
      <c r="R5" s="1532">
        <v>4</v>
      </c>
      <c r="S5" s="1532">
        <f>ROUND(IF(G3&gt;1,IF(R5&lt;7,SUMPRODUCT((B93:B98=R5)*(C92:N92=G2)*(C93:N98)),SUMIF(C92:N92,G2,C100:N100)),IF(R5&lt;7,SUMPRODUCT((B102:B107=R5)*(C92:N92=G2)*(C102:N107)),SUMIF(C92:N92,G2,C109:N109))),4)</f>
        <v>0</v>
      </c>
      <c r="T5" s="1532" t="e">
        <f t="shared" si="0"/>
        <v>#DIV/0!</v>
      </c>
      <c r="U5" s="1533"/>
      <c r="V5" s="1532" t="e">
        <f t="shared" si="1"/>
        <v>#DIV/0!</v>
      </c>
      <c r="W5" s="1536"/>
      <c r="X5" s="1536"/>
      <c r="Y5" s="1536"/>
      <c r="Z5" s="1536"/>
      <c r="AA5" s="1536"/>
      <c r="AB5" s="1536"/>
      <c r="AC5" s="2598"/>
      <c r="AD5" s="2599"/>
      <c r="AE5" s="2599"/>
      <c r="AF5" s="2599"/>
      <c r="AG5" s="2599"/>
      <c r="AH5" s="2599"/>
      <c r="AI5" s="2599"/>
      <c r="AJ5" s="2600"/>
    </row>
    <row r="6" spans="1:36" ht="15.75" thickBot="1">
      <c r="A6" s="2602" t="s">
        <v>2698</v>
      </c>
      <c r="B6" s="2603" t="s">
        <v>2699</v>
      </c>
      <c r="C6" s="861">
        <f>SUMIF(L1:L12,G2,M1:M12)</f>
        <v>0</v>
      </c>
      <c r="D6" s="2604" t="s">
        <v>2700</v>
      </c>
      <c r="E6" s="2605"/>
      <c r="F6" s="2605"/>
      <c r="G6" s="2606"/>
      <c r="H6" s="2606"/>
      <c r="I6" s="2606"/>
      <c r="J6" s="2607"/>
      <c r="K6" s="1768"/>
      <c r="L6" s="2589" t="s">
        <v>2701</v>
      </c>
      <c r="M6" s="1027">
        <f>SUMPRODUCT((区片价!B110:B157=I2)*(区片价!C3:F3=E2)*(区片价!C110:F157))</f>
        <v>0</v>
      </c>
      <c r="N6" s="1029">
        <f>SUMPRODUCT((因素修正幅度!B110:B157=I2)*(因素修正幅度!C3:F3=E2)*(因素修正幅度!C110:F157))</f>
        <v>0</v>
      </c>
      <c r="O6" s="1302"/>
      <c r="P6" s="1302"/>
      <c r="Q6" s="1302"/>
      <c r="R6" s="1532">
        <v>5</v>
      </c>
      <c r="S6" s="1532">
        <f>ROUND(IF(G3&gt;1,IF(R6&lt;7,SUMPRODUCT((B93:B98=R6)*(C92:N92=G2)*(C93:N98)),SUMIF(C92:N92,G2,C100:N100)),IF(R6&lt;7,SUMPRODUCT((B102:B107=R6)*(C92:N92=G2)*(C102:N107)),SUMIF(C92:N92,G2,C109:N109))),4)</f>
        <v>0</v>
      </c>
      <c r="T6" s="1532" t="e">
        <f t="shared" si="0"/>
        <v>#DIV/0!</v>
      </c>
      <c r="U6" s="1533"/>
      <c r="V6" s="1532" t="e">
        <f t="shared" si="1"/>
        <v>#DIV/0!</v>
      </c>
      <c r="W6" s="1536"/>
      <c r="X6" s="1536"/>
      <c r="Y6" s="1536"/>
      <c r="Z6" s="1536"/>
      <c r="AA6" s="1536"/>
      <c r="AB6" s="1536"/>
      <c r="AC6" s="2598"/>
      <c r="AD6" s="2599"/>
      <c r="AE6" s="2599"/>
      <c r="AF6" s="2599"/>
      <c r="AG6" s="2599"/>
      <c r="AH6" s="2599"/>
      <c r="AI6" s="2599"/>
      <c r="AJ6" s="2600"/>
    </row>
    <row r="7" spans="1:36" ht="24">
      <c r="A7" s="3376" t="str">
        <f>IF(E2="商业",IF(C8="不临58条商业街","",2),"")</f>
        <v/>
      </c>
      <c r="B7" s="2608" t="s">
        <v>2702</v>
      </c>
      <c r="C7" s="862" t="e">
        <f>IF(C8="不临58条商业街",1,ROUND(1+(1.6*E8+1.2*E9+0.8*E10+0.4*E11)*C9,4))</f>
        <v>#DIV/0!</v>
      </c>
      <c r="D7" s="2609" t="s">
        <v>2703</v>
      </c>
      <c r="E7" s="891"/>
      <c r="F7" s="2610"/>
      <c r="G7" s="2611"/>
      <c r="H7" s="2611"/>
      <c r="I7" s="2611"/>
      <c r="J7" s="2612"/>
      <c r="K7" s="1768"/>
      <c r="L7" s="2589" t="s">
        <v>2704</v>
      </c>
      <c r="M7" s="1027">
        <f>SUMPRODUCT((区片价!B158:B205=I2)*(区片价!C3:F3=E2)*(区片价!C158:F205))</f>
        <v>0</v>
      </c>
      <c r="N7" s="1029">
        <f>SUMPRODUCT((因素修正幅度!B158:B205=I2)*(因素修正幅度!C3:F3=E2)*(因素修正幅度!C158:F205))</f>
        <v>0</v>
      </c>
      <c r="O7" s="1302"/>
      <c r="P7" s="1302"/>
      <c r="Q7" s="1302"/>
      <c r="R7" s="1532">
        <v>6</v>
      </c>
      <c r="S7" s="1532">
        <f>ROUND(IF(G3&gt;1,IF(R7&lt;7,SUMPRODUCT((B93:B98=R7)*(C92:N92=G2)*(C93:N98)),SUMIF(C92:N92,G2,C100:N100)),IF(R7&lt;7,SUMPRODUCT((B102:B107=R7)*(C92:N92=G2)*(C102:N107)),SUMIF(C92:N92,G2,C109:N109))),4)</f>
        <v>0</v>
      </c>
      <c r="T7" s="1532" t="e">
        <f t="shared" si="0"/>
        <v>#DIV/0!</v>
      </c>
      <c r="U7" s="1533"/>
      <c r="V7" s="1532" t="e">
        <f t="shared" si="1"/>
        <v>#DIV/0!</v>
      </c>
      <c r="W7" s="1742" t="s">
        <v>2705</v>
      </c>
      <c r="X7" s="1534">
        <f>G2</f>
        <v>0</v>
      </c>
      <c r="Y7" s="1534" t="s">
        <v>2706</v>
      </c>
      <c r="Z7" s="1535">
        <f>G3</f>
        <v>1.9</v>
      </c>
      <c r="AA7" s="1536"/>
      <c r="AB7" s="1536"/>
      <c r="AC7" s="1537"/>
      <c r="AD7" s="1538"/>
      <c r="AE7" s="1538"/>
      <c r="AF7" s="1538"/>
      <c r="AG7" s="1538"/>
      <c r="AH7" s="1538"/>
      <c r="AI7" s="1538"/>
      <c r="AJ7" s="1539"/>
    </row>
    <row r="8" spans="1:36" ht="15">
      <c r="A8" s="3377"/>
      <c r="B8" s="141" t="s">
        <v>2707</v>
      </c>
      <c r="C8" s="2613"/>
      <c r="D8" s="863" t="s">
        <v>139</v>
      </c>
      <c r="E8" s="864" t="e">
        <f>ROUND(C11/E7,4)</f>
        <v>#DIV/0!</v>
      </c>
      <c r="F8" s="2614" t="s">
        <v>2708</v>
      </c>
      <c r="G8" s="2615"/>
      <c r="H8" s="2615"/>
      <c r="I8" s="2615"/>
      <c r="J8" s="2616"/>
      <c r="K8" s="1302"/>
      <c r="L8" s="2589" t="s">
        <v>2709</v>
      </c>
      <c r="M8" s="1027">
        <f>SUMPRODUCT((区片价!B206:B244=I2)*(区片价!C3:F3=E2)*(区片价!C206:F244))</f>
        <v>0</v>
      </c>
      <c r="N8" s="1029">
        <f>SUMPRODUCT((因素修正幅度!B206:B244=I2)*(因素修正幅度!C3:F3=E2)*(因素修正幅度!C206:F244))</f>
        <v>0</v>
      </c>
      <c r="O8" s="1302"/>
      <c r="P8" s="1302"/>
      <c r="Q8" s="1302"/>
      <c r="R8" s="1532">
        <v>7</v>
      </c>
      <c r="S8" s="1533"/>
      <c r="T8" s="1532" t="e">
        <f t="shared" si="0"/>
        <v>#DIV/0!</v>
      </c>
      <c r="U8" s="1533"/>
      <c r="V8" s="1532" t="e">
        <f t="shared" si="1"/>
        <v>#DIV/0!</v>
      </c>
      <c r="W8" s="3387" t="s">
        <v>2710</v>
      </c>
      <c r="X8" s="3388"/>
      <c r="Y8" s="1540" t="s">
        <v>2711</v>
      </c>
      <c r="Z8" s="1540" t="s">
        <v>2712</v>
      </c>
      <c r="AA8" s="1540" t="s">
        <v>2713</v>
      </c>
      <c r="AB8" s="1540" t="s">
        <v>2714</v>
      </c>
      <c r="AC8" s="1540" t="s">
        <v>2715</v>
      </c>
      <c r="AD8" s="1540" t="s">
        <v>2716</v>
      </c>
      <c r="AE8" s="1540" t="s">
        <v>2717</v>
      </c>
      <c r="AF8" s="1540" t="s">
        <v>2718</v>
      </c>
      <c r="AG8" s="1540" t="s">
        <v>2719</v>
      </c>
      <c r="AH8" s="1540" t="s">
        <v>2720</v>
      </c>
      <c r="AI8" s="1540" t="s">
        <v>2721</v>
      </c>
      <c r="AJ8" s="1540" t="s">
        <v>2722</v>
      </c>
    </row>
    <row r="9" spans="1:36" ht="15">
      <c r="A9" s="3377"/>
      <c r="B9" s="141" t="s">
        <v>2723</v>
      </c>
      <c r="C9" s="865">
        <f>SUMIF(修正!C59:C119,C8,修正!E59:E119)</f>
        <v>0</v>
      </c>
      <c r="D9" s="143" t="s">
        <v>140</v>
      </c>
      <c r="E9" s="143" t="e">
        <f>ROUND(C11/E7,4)</f>
        <v>#DIV/0!</v>
      </c>
      <c r="F9" s="2614" t="s">
        <v>2724</v>
      </c>
      <c r="G9" s="2615"/>
      <c r="H9" s="2615"/>
      <c r="I9" s="2615"/>
      <c r="J9" s="2616"/>
      <c r="K9" s="1302"/>
      <c r="L9" s="2589" t="s">
        <v>2725</v>
      </c>
      <c r="M9" s="1027">
        <f>SUMPRODUCT((区片价!B245:B289=I2)*(区片价!C3:F3=E2)*(区片价!C245:F289))</f>
        <v>0</v>
      </c>
      <c r="N9" s="1029">
        <f>SUMPRODUCT((因素修正幅度!B245:B289=I2)*(因素修正幅度!C3:F3=E2)*(因素修正幅度!C245:F289))</f>
        <v>0</v>
      </c>
      <c r="O9" s="1302"/>
      <c r="P9" s="1302"/>
      <c r="Q9" s="1302"/>
      <c r="R9" s="1532">
        <v>8</v>
      </c>
      <c r="S9" s="1533"/>
      <c r="T9" s="1532" t="e">
        <f t="shared" si="0"/>
        <v>#DIV/0!</v>
      </c>
      <c r="U9" s="1533"/>
      <c r="V9" s="1532" t="e">
        <f t="shared" si="1"/>
        <v>#DIV/0!</v>
      </c>
      <c r="W9" s="3389" t="s">
        <v>2726</v>
      </c>
      <c r="X9" s="1541" t="s">
        <v>2727</v>
      </c>
      <c r="Y9" s="1700"/>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spans="1:36" ht="15">
      <c r="A10" s="3377"/>
      <c r="B10" s="141" t="s">
        <v>2728</v>
      </c>
      <c r="C10" s="143">
        <f>SUMIF(修正!C59:C119,C8,修正!F59:F119)</f>
        <v>0</v>
      </c>
      <c r="D10" s="143" t="s">
        <v>141</v>
      </c>
      <c r="E10" s="143" t="e">
        <f>ROUND(C11/E7,4)</f>
        <v>#DIV/0!</v>
      </c>
      <c r="F10" s="2614" t="s">
        <v>2729</v>
      </c>
      <c r="G10" s="2615"/>
      <c r="H10" s="2615"/>
      <c r="I10" s="2615"/>
      <c r="J10" s="2616"/>
      <c r="K10" s="1302"/>
      <c r="L10" s="2589" t="s">
        <v>2730</v>
      </c>
      <c r="M10" s="1027">
        <f>SUMPRODUCT((区片价!B290:B316=I2)*(区片价!C3:F3=E2)*(区片价!C290:F316))</f>
        <v>0</v>
      </c>
      <c r="N10" s="1029">
        <f>SUMPRODUCT((因素修正幅度!B290:B316=I2)*(因素修正幅度!C3:F3=E2)*(因素修正幅度!C290:F316))</f>
        <v>0</v>
      </c>
      <c r="O10" s="1302"/>
      <c r="P10" s="1302"/>
      <c r="Q10" s="1302"/>
      <c r="R10" s="1532">
        <v>9</v>
      </c>
      <c r="S10" s="1533"/>
      <c r="T10" s="1532" t="e">
        <f t="shared" si="0"/>
        <v>#DIV/0!</v>
      </c>
      <c r="U10" s="1533"/>
      <c r="V10" s="1532" t="e">
        <f t="shared" si="1"/>
        <v>#DIV/0!</v>
      </c>
      <c r="W10" s="3389"/>
      <c r="X10" s="1541">
        <v>7</v>
      </c>
      <c r="Y10" s="1543">
        <f>(-0.163*(Y9^2)-0.59*Y9+7617)*(10^(-4))</f>
        <v>0.76170000000000004</v>
      </c>
      <c r="Z10" s="1543">
        <f>(-0.163*(Z9^2)-0.59*Z9+7617)*(10^(-4))</f>
        <v>0.76170000000000004</v>
      </c>
      <c r="AA10" s="1543">
        <f>(-0.161*(AA9^2)-7.509*AA9+6533)*(10^(-4))</f>
        <v>0.65329999999999999</v>
      </c>
      <c r="AB10" s="1543">
        <f>(-0.161*(AB9^2)-7.509*AB9+6533)*(10^(-4))</f>
        <v>0.65329999999999999</v>
      </c>
      <c r="AC10" s="1543">
        <f>(-0.161*(AC9^2)-7.509*AC9+6533)*(10^(-4))</f>
        <v>0.65329999999999999</v>
      </c>
      <c r="AD10" s="1543">
        <f>(-0.161*(AD9^2)-7.509*AD9+6533)*(10^(-4))</f>
        <v>0.65329999999999999</v>
      </c>
      <c r="AE10" s="1543">
        <f>(-0.161*(AE9^2)-7.509*AE9+6533)*(10^(-4))</f>
        <v>0.65329999999999999</v>
      </c>
      <c r="AF10" s="1543">
        <f>(-0.214*(AF9^2)-21.991*AF9+4665)*(10^(-4))</f>
        <v>0.46650000000000003</v>
      </c>
      <c r="AG10" s="1543">
        <f>(-0.214*(AG9^2)-21.991*AG9+4665)*(10^(-4))</f>
        <v>0.46650000000000003</v>
      </c>
      <c r="AH10" s="1543">
        <f>(-0.214*(AH9^2)-21.991*AH9+4665)*(10^(-4))</f>
        <v>0.46650000000000003</v>
      </c>
      <c r="AI10" s="1543">
        <f>(-0.214*(AI9^2)-21.991*AI9+4665)*(10^(-4))</f>
        <v>0.46650000000000003</v>
      </c>
      <c r="AJ10" s="1543">
        <f>(-0.214*(AJ9^2)-21.991*AJ9+4665)*(10^(-4))</f>
        <v>0.46650000000000003</v>
      </c>
    </row>
    <row r="11" spans="1:36" ht="15.75" thickBot="1">
      <c r="A11" s="3377"/>
      <c r="B11" s="2617" t="s">
        <v>2731</v>
      </c>
      <c r="C11" s="866">
        <f>C10/4</f>
        <v>0</v>
      </c>
      <c r="D11" s="866" t="s">
        <v>142</v>
      </c>
      <c r="E11" s="866" t="e">
        <f>ROUND(C11/E7,4)</f>
        <v>#DIV/0!</v>
      </c>
      <c r="F11" s="2618" t="s">
        <v>2732</v>
      </c>
      <c r="G11" s="2619"/>
      <c r="H11" s="2619"/>
      <c r="I11" s="2619"/>
      <c r="J11" s="2620"/>
      <c r="K11" s="1302"/>
      <c r="L11" s="2589" t="s">
        <v>2733</v>
      </c>
      <c r="M11" s="1027">
        <f>SUMPRODUCT((区片价!B317:B337=I2)*(区片价!C3:F3=E2)*(区片价!C317:F337))</f>
        <v>0</v>
      </c>
      <c r="N11" s="1029">
        <f>SUMPRODUCT((因素修正幅度!B317:B337=I2)*(因素修正幅度!C3:F3=E2)*(因素修正幅度!C317:F337))</f>
        <v>0</v>
      </c>
      <c r="O11" s="1302"/>
      <c r="P11" s="1302"/>
      <c r="Q11" s="1302"/>
      <c r="R11" s="1532">
        <v>10</v>
      </c>
      <c r="S11" s="1533"/>
      <c r="T11" s="1532" t="e">
        <f t="shared" si="0"/>
        <v>#DIV/0!</v>
      </c>
      <c r="U11" s="1533"/>
      <c r="V11" s="1532" t="e">
        <f t="shared" si="1"/>
        <v>#DIV/0!</v>
      </c>
      <c r="W11" s="3389" t="s">
        <v>2734</v>
      </c>
      <c r="X11" s="1544" t="s">
        <v>2735</v>
      </c>
      <c r="Y11" s="1545">
        <f>$G$3</f>
        <v>1.9</v>
      </c>
      <c r="Z11" s="1545">
        <f t="shared" ref="Z11:AJ11" si="3">$G$3</f>
        <v>1.9</v>
      </c>
      <c r="AA11" s="1545">
        <f t="shared" si="3"/>
        <v>1.9</v>
      </c>
      <c r="AB11" s="1545">
        <f t="shared" si="3"/>
        <v>1.9</v>
      </c>
      <c r="AC11" s="1545">
        <f t="shared" si="3"/>
        <v>1.9</v>
      </c>
      <c r="AD11" s="1545">
        <f t="shared" si="3"/>
        <v>1.9</v>
      </c>
      <c r="AE11" s="1545">
        <f t="shared" si="3"/>
        <v>1.9</v>
      </c>
      <c r="AF11" s="1545">
        <f t="shared" si="3"/>
        <v>1.9</v>
      </c>
      <c r="AG11" s="1545">
        <f t="shared" si="3"/>
        <v>1.9</v>
      </c>
      <c r="AH11" s="1545">
        <f t="shared" si="3"/>
        <v>1.9</v>
      </c>
      <c r="AI11" s="1545">
        <f t="shared" si="3"/>
        <v>1.9</v>
      </c>
      <c r="AJ11" s="1545">
        <f t="shared" si="3"/>
        <v>1.9</v>
      </c>
    </row>
    <row r="12" spans="1:36" ht="25.5" thickBot="1">
      <c r="A12" s="3376" t="s">
        <v>2736</v>
      </c>
      <c r="B12" s="2621" t="s">
        <v>2737</v>
      </c>
      <c r="C12" s="862">
        <f>ROUND(C15*D15*E15*F15*G15*H15*I15*J15,4)</f>
        <v>1</v>
      </c>
      <c r="D12" s="2622" t="s">
        <v>2738</v>
      </c>
      <c r="E12" s="2623"/>
      <c r="F12" s="2623"/>
      <c r="G12" s="2624"/>
      <c r="H12" s="2624"/>
      <c r="I12" s="2624"/>
      <c r="J12" s="2625"/>
      <c r="K12" s="1302"/>
      <c r="L12" s="2626" t="s">
        <v>2739</v>
      </c>
      <c r="M12" s="1028">
        <f>SUMPRODUCT((区片价!B338:B344=I2)*(区片价!C3:F3=E2)*(区片价!C338:F344))</f>
        <v>0</v>
      </c>
      <c r="N12" s="1029">
        <f>SUMPRODUCT((因素修正幅度!B338:B344=I2)*(因素修正幅度!C3:F3=E2)*(因素修正幅度!C338:F344))</f>
        <v>0</v>
      </c>
      <c r="O12" s="1302"/>
      <c r="P12" s="1302"/>
      <c r="Q12" s="1302"/>
      <c r="R12" s="1532">
        <v>11</v>
      </c>
      <c r="S12" s="1533"/>
      <c r="T12" s="1532" t="e">
        <f t="shared" si="0"/>
        <v>#DIV/0!</v>
      </c>
      <c r="U12" s="1533"/>
      <c r="V12" s="1532" t="e">
        <f t="shared" si="1"/>
        <v>#DIV/0!</v>
      </c>
      <c r="W12" s="3389"/>
      <c r="X12" s="1546" t="s">
        <v>2740</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spans="1:36" ht="24">
      <c r="A13" s="3394"/>
      <c r="B13" s="2627" t="s">
        <v>2741</v>
      </c>
      <c r="C13" s="2628" t="s">
        <v>2742</v>
      </c>
      <c r="D13" s="1735" t="s">
        <v>2743</v>
      </c>
      <c r="E13" s="1735" t="s">
        <v>2744</v>
      </c>
      <c r="F13" s="30" t="s">
        <v>2745</v>
      </c>
      <c r="G13" s="2629" t="s">
        <v>2746</v>
      </c>
      <c r="H13" s="2629" t="s">
        <v>2746</v>
      </c>
      <c r="I13" s="2629" t="s">
        <v>2746</v>
      </c>
      <c r="J13" s="2630" t="s">
        <v>2746</v>
      </c>
      <c r="K13" s="1302"/>
      <c r="L13" s="1302"/>
      <c r="M13" s="1302"/>
      <c r="N13" s="1302"/>
      <c r="O13" s="1302"/>
      <c r="P13" s="1302"/>
      <c r="Q13" s="1302"/>
      <c r="R13" s="1532">
        <v>12</v>
      </c>
      <c r="S13" s="1533"/>
      <c r="T13" s="1532" t="e">
        <f t="shared" si="0"/>
        <v>#DIV/0!</v>
      </c>
      <c r="U13" s="1533"/>
      <c r="V13" s="1532" t="e">
        <f t="shared" si="1"/>
        <v>#DIV/0!</v>
      </c>
      <c r="W13" s="3389"/>
      <c r="X13" s="1546"/>
      <c r="Y13" s="1543">
        <f>(-0.163*(Y12^2)-0.59*Y12+7617)*(10^(-4))/Y11</f>
        <v>0.4008947368421053</v>
      </c>
      <c r="Z13" s="1543">
        <f t="shared" ref="Z13:AJ13" si="5">(-0.163*(Z12^2)-0.59*Z12+7617)*(10^(-4))/Z11</f>
        <v>0.4008947368421053</v>
      </c>
      <c r="AA13" s="1543">
        <f t="shared" si="5"/>
        <v>0.4008947368421053</v>
      </c>
      <c r="AB13" s="1543">
        <f t="shared" si="5"/>
        <v>0.4008947368421053</v>
      </c>
      <c r="AC13" s="1543">
        <f t="shared" si="5"/>
        <v>0.4008947368421053</v>
      </c>
      <c r="AD13" s="1543">
        <f t="shared" si="5"/>
        <v>0.4008947368421053</v>
      </c>
      <c r="AE13" s="1543">
        <f t="shared" si="5"/>
        <v>0.4008947368421053</v>
      </c>
      <c r="AF13" s="1543">
        <f t="shared" si="5"/>
        <v>0.4008947368421053</v>
      </c>
      <c r="AG13" s="1543">
        <f t="shared" si="5"/>
        <v>0.4008947368421053</v>
      </c>
      <c r="AH13" s="1543">
        <f t="shared" si="5"/>
        <v>0.4008947368421053</v>
      </c>
      <c r="AI13" s="1543">
        <f t="shared" si="5"/>
        <v>0.4008947368421053</v>
      </c>
      <c r="AJ13" s="1543">
        <f t="shared" si="5"/>
        <v>0.4008947368421053</v>
      </c>
    </row>
    <row r="14" spans="1:36" ht="15">
      <c r="A14" s="3394"/>
      <c r="B14" s="2631"/>
      <c r="C14" s="2632"/>
      <c r="D14" s="2633"/>
      <c r="E14" s="2633"/>
      <c r="F14" s="2634"/>
      <c r="G14" s="2635" t="s">
        <v>2747</v>
      </c>
      <c r="H14" s="2636"/>
      <c r="I14" s="2637"/>
      <c r="J14" s="2638"/>
      <c r="K14" s="1302"/>
      <c r="L14" s="1302"/>
      <c r="M14" s="1302"/>
      <c r="N14" s="1302"/>
      <c r="O14" s="1302"/>
      <c r="P14" s="1302"/>
      <c r="Q14" s="1302"/>
      <c r="R14" s="1532">
        <v>13</v>
      </c>
      <c r="S14" s="1533"/>
      <c r="T14" s="1532" t="e">
        <f t="shared" si="0"/>
        <v>#DIV/0!</v>
      </c>
      <c r="U14" s="1533"/>
      <c r="V14" s="1532" t="e">
        <f t="shared" si="1"/>
        <v>#DIV/0!</v>
      </c>
      <c r="W14" s="1536"/>
      <c r="X14" s="1536"/>
      <c r="Y14" s="1536"/>
      <c r="Z14" s="1536"/>
      <c r="AA14" s="1536"/>
      <c r="AB14" s="1536"/>
      <c r="AC14" s="1537"/>
      <c r="AD14" s="1538"/>
      <c r="AE14" s="1538"/>
      <c r="AF14" s="1538"/>
      <c r="AG14" s="1538"/>
      <c r="AH14" s="1538"/>
      <c r="AI14" s="1538"/>
      <c r="AJ14" s="1539"/>
    </row>
    <row r="15" spans="1:36" ht="15.75" thickBot="1">
      <c r="A15" s="3395"/>
      <c r="B15" s="2639" t="s">
        <v>2748</v>
      </c>
      <c r="C15" s="172">
        <f>IF(C14="有",1.1,1)</f>
        <v>1</v>
      </c>
      <c r="D15" s="172">
        <f>IF(D14="有",1.1,1)</f>
        <v>1</v>
      </c>
      <c r="E15" s="172">
        <f>IF(E14="有",1.1,1)</f>
        <v>1</v>
      </c>
      <c r="F15" s="172">
        <f>IF(F14="500米范围内",1.2,IF(F14="500-1000米",1.1,1))</f>
        <v>1</v>
      </c>
      <c r="G15" s="892">
        <v>1</v>
      </c>
      <c r="H15" s="892">
        <v>1</v>
      </c>
      <c r="I15" s="892">
        <v>1</v>
      </c>
      <c r="J15" s="893">
        <v>1</v>
      </c>
      <c r="K15" s="1302"/>
      <c r="L15" s="2640" t="s">
        <v>2684</v>
      </c>
      <c r="M15" s="863" t="s">
        <v>2749</v>
      </c>
      <c r="N15" s="863" t="s">
        <v>2750</v>
      </c>
      <c r="O15" s="863" t="s">
        <v>2751</v>
      </c>
      <c r="P15" s="2641" t="s">
        <v>2752</v>
      </c>
      <c r="Q15" s="1302"/>
      <c r="R15" s="1532">
        <v>14</v>
      </c>
      <c r="S15" s="1533"/>
      <c r="T15" s="1532" t="e">
        <f t="shared" si="0"/>
        <v>#DIV/0!</v>
      </c>
      <c r="U15" s="1533"/>
      <c r="V15" s="1532" t="e">
        <f t="shared" si="1"/>
        <v>#DIV/0!</v>
      </c>
      <c r="W15" s="1536"/>
      <c r="X15" s="1536"/>
      <c r="Y15" s="1536"/>
      <c r="Z15" s="1536"/>
      <c r="AA15" s="1536"/>
      <c r="AB15" s="1536"/>
      <c r="AC15" s="1537"/>
      <c r="AD15" s="1538"/>
      <c r="AE15" s="1538"/>
      <c r="AF15" s="1538"/>
      <c r="AG15" s="1538"/>
      <c r="AH15" s="1538"/>
      <c r="AI15" s="1538"/>
      <c r="AJ15" s="1539"/>
    </row>
    <row r="16" spans="1:36" ht="24">
      <c r="A16" s="3376" t="s">
        <v>2753</v>
      </c>
      <c r="B16" s="2608" t="s">
        <v>2754</v>
      </c>
      <c r="C16" s="1729" t="e">
        <f>ROUND(SUM(G17:J17)/C17,0)</f>
        <v>#DIV/0!</v>
      </c>
      <c r="D16" s="2642" t="s">
        <v>2755</v>
      </c>
      <c r="E16" s="2643"/>
      <c r="F16" s="2644"/>
      <c r="G16" s="2645"/>
      <c r="H16" s="2645"/>
      <c r="I16" s="2645"/>
      <c r="J16" s="2646"/>
      <c r="K16" s="1302"/>
      <c r="L16" s="2647" t="s">
        <v>2756</v>
      </c>
      <c r="M16" s="865">
        <v>0.25</v>
      </c>
      <c r="N16" s="865">
        <v>0.2</v>
      </c>
      <c r="O16" s="865">
        <v>0.15</v>
      </c>
      <c r="P16" s="1301">
        <v>0.1</v>
      </c>
      <c r="Q16" s="1302"/>
      <c r="R16" s="1532">
        <v>15</v>
      </c>
      <c r="S16" s="1533"/>
      <c r="T16" s="1532" t="e">
        <f t="shared" si="0"/>
        <v>#DIV/0!</v>
      </c>
      <c r="U16" s="1533"/>
      <c r="V16" s="1532" t="e">
        <f t="shared" si="1"/>
        <v>#DIV/0!</v>
      </c>
      <c r="W16" s="1536"/>
      <c r="X16" s="1536"/>
      <c r="Y16" s="1536"/>
      <c r="Z16" s="1536"/>
      <c r="AA16" s="1536"/>
      <c r="AB16" s="1536"/>
      <c r="AC16" s="1537"/>
      <c r="AD16" s="1538"/>
      <c r="AE16" s="1538"/>
      <c r="AF16" s="1538"/>
      <c r="AG16" s="1538"/>
      <c r="AH16" s="1538"/>
      <c r="AI16" s="1538"/>
      <c r="AJ16" s="1539"/>
    </row>
    <row r="17" spans="1:37" ht="13.5" thickBot="1">
      <c r="A17" s="3377"/>
      <c r="B17" s="2648" t="s">
        <v>2757</v>
      </c>
      <c r="C17" s="867">
        <f>SUMPRODUCT((修正!A2:A5=E2)*(修正!B1:M1=G2)*(修正!B2:M5))</f>
        <v>0</v>
      </c>
      <c r="D17" s="2649" t="s">
        <v>2758</v>
      </c>
      <c r="E17" s="866" t="str">
        <f>IF(OR(G2="八级",G2="九级",G2="十级",G2="十一级",G2="十二级"),"五通一平","七通一平")</f>
        <v>七通一平</v>
      </c>
      <c r="F17" s="867" t="s">
        <v>2759</v>
      </c>
      <c r="G17" s="867">
        <f>SUMPRODUCT((七通一平=G16)*(修正!B1:M1=G2)*(修正!B6:M14))</f>
        <v>0</v>
      </c>
      <c r="H17" s="867">
        <f>SUMPRODUCT((七通一平=H16)*(修正!B1:M1=G2)*(修正!B6:M14))</f>
        <v>0</v>
      </c>
      <c r="I17" s="867">
        <f>SUMPRODUCT((七通一平=I16)*(修正!B1:M1=G2)*(修正!B6:M14))</f>
        <v>0</v>
      </c>
      <c r="J17" s="868">
        <f>SUMPRODUCT((七通一平=J16)*(修正!B1:M1=G2)*(修正!B6:M14))</f>
        <v>0</v>
      </c>
      <c r="K17" s="1302"/>
      <c r="L17" s="2650" t="s">
        <v>2760</v>
      </c>
      <c r="M17" s="154">
        <f ca="1">ROUND($E$20*(1+M16),3)</f>
        <v>5.3999999999999999E-2</v>
      </c>
      <c r="N17" s="154">
        <f ca="1">ROUND($E$20*(1+N16),3)</f>
        <v>5.1999999999999998E-2</v>
      </c>
      <c r="O17" s="154">
        <f ca="1">ROUND($E$20*(1+O16),3)</f>
        <v>0.05</v>
      </c>
      <c r="P17" s="1305">
        <f ca="1">ROUND($E$20*(1+P16),3)</f>
        <v>4.8000000000000001E-2</v>
      </c>
      <c r="Q17" s="1302"/>
      <c r="R17" s="1302"/>
      <c r="S17" s="1302"/>
      <c r="T17" s="1302"/>
      <c r="U17" s="1302"/>
      <c r="V17" s="1302"/>
      <c r="W17" s="1302"/>
      <c r="X17" s="1302"/>
      <c r="Y17" s="1302"/>
      <c r="Z17" s="1303"/>
      <c r="AE17" s="2651"/>
      <c r="AF17" s="2651"/>
      <c r="AG17" s="2583"/>
      <c r="AH17" s="2583"/>
      <c r="AI17" s="2583"/>
      <c r="AJ17" s="2583"/>
    </row>
    <row r="18" spans="1:37" s="2601" customFormat="1" ht="15.75" thickBot="1">
      <c r="A18" s="2652" t="s">
        <v>808</v>
      </c>
      <c r="B18" s="2653" t="s">
        <v>2761</v>
      </c>
      <c r="C18" s="869">
        <f>SUMIF(修正!C18:C39,E3,修正!E18:E39)</f>
        <v>0</v>
      </c>
      <c r="D18" s="2654"/>
      <c r="E18" s="2655"/>
      <c r="F18" s="2656"/>
      <c r="G18" s="2657"/>
      <c r="H18" s="2657"/>
      <c r="I18" s="2657"/>
      <c r="J18" s="2658"/>
      <c r="K18" s="1309"/>
      <c r="O18" s="1307"/>
      <c r="P18" s="1307"/>
      <c r="Q18" s="1308"/>
      <c r="R18" s="1308"/>
      <c r="S18" s="1308"/>
      <c r="T18" s="1303"/>
      <c r="U18" s="1303"/>
      <c r="V18" s="1303"/>
      <c r="W18" s="1302"/>
      <c r="X18" s="1302"/>
      <c r="Y18" s="1302"/>
      <c r="Z18" s="1309"/>
      <c r="AA18" s="1310"/>
      <c r="AB18" s="1310"/>
      <c r="AC18" s="1310"/>
      <c r="AD18" s="1310"/>
      <c r="AE18" s="1304"/>
      <c r="AF18" s="1304"/>
      <c r="AG18" s="2659"/>
      <c r="AH18" s="2659"/>
      <c r="AI18" s="2659"/>
    </row>
    <row r="19" spans="1:37" s="2601" customFormat="1" ht="27.75" thickBot="1">
      <c r="A19" s="2652" t="s">
        <v>809</v>
      </c>
      <c r="B19" s="2653" t="s">
        <v>2762</v>
      </c>
      <c r="C19" s="870" t="e">
        <f>ROUND(IF(H19="按公示增长率计算",SUMPRODUCT((地价!A3:A23=YEAR(G19)&amp;"-"&amp;ROUNDUP(MONTH(G19)/3,0))*(地价!X2:AB2=E2)*(地价!X3:AB23)),IF(H19="地价指数",M20/M19,(1+I19)^O19)),4)</f>
        <v>#DIV/0!</v>
      </c>
      <c r="D19" s="2660" t="s">
        <v>2763</v>
      </c>
      <c r="E19" s="871">
        <v>41640</v>
      </c>
      <c r="F19" s="2660" t="s">
        <v>2764</v>
      </c>
      <c r="G19" s="872">
        <f>'数据-取费表'!B2</f>
        <v>43284</v>
      </c>
      <c r="H19" s="2661" t="s">
        <v>2765</v>
      </c>
      <c r="I19" s="873" t="str">
        <f>IF(H19="季度增幅（自定义）",SUMIF(N21:N24,E2,O21:O24),"")</f>
        <v/>
      </c>
      <c r="J19" s="2658"/>
      <c r="K19" s="1309"/>
      <c r="L19" s="2662" t="s">
        <v>2766</v>
      </c>
      <c r="M19" s="1664">
        <f>ROUND(SUMIF(地价!B2:F2,E2,地价!B23:F23),0)</f>
        <v>0</v>
      </c>
      <c r="N19" s="2663" t="s">
        <v>2767</v>
      </c>
      <c r="O19" s="874">
        <f>ROUNDDOWN(DATEDIF(E19,G19,"M")/3,0)</f>
        <v>18</v>
      </c>
      <c r="P19" s="1306"/>
      <c r="Q19" s="1308"/>
      <c r="R19" s="1308"/>
      <c r="S19" s="1308"/>
      <c r="T19" s="1303"/>
      <c r="U19" s="1303"/>
      <c r="V19" s="1303"/>
      <c r="W19" s="1302"/>
      <c r="X19" s="1302"/>
      <c r="Y19" s="1302"/>
      <c r="Z19" s="1309"/>
      <c r="AA19" s="1310"/>
      <c r="AB19" s="1310"/>
      <c r="AC19" s="1310"/>
      <c r="AD19" s="1310"/>
      <c r="AE19" s="1310"/>
      <c r="AF19" s="2664"/>
      <c r="AG19" s="2665"/>
      <c r="AH19" s="2659"/>
      <c r="AI19" s="2666"/>
      <c r="AJ19" s="2666"/>
      <c r="AK19" s="2666"/>
    </row>
    <row r="20" spans="1:37" s="2601" customFormat="1" ht="27.75" thickBot="1">
      <c r="A20" s="2667" t="s">
        <v>810</v>
      </c>
      <c r="B20" s="2668" t="s">
        <v>2768</v>
      </c>
      <c r="C20" s="875" t="e">
        <f>ROUND(POWER(1+G20,J20-I20)*(POWER(1+G20,I20)-1)/(POWER(1+G20,J20)-1),4)</f>
        <v>#DIV/0!</v>
      </c>
      <c r="D20" s="2669" t="s">
        <v>2769</v>
      </c>
      <c r="E20" s="1697">
        <f ca="1">存贷款利率!D4/100</f>
        <v>4.3499999999999997E-2</v>
      </c>
      <c r="F20" s="2669" t="s">
        <v>2760</v>
      </c>
      <c r="G20" s="880">
        <f>SUMIF(M15:P15,E2,M17:P17)</f>
        <v>0</v>
      </c>
      <c r="H20" s="2669" t="s">
        <v>2770</v>
      </c>
      <c r="I20" s="881" t="e">
        <f>SUMIF('数据-取费表'!C6:C15,E2,'数据-取费表'!F6:F15)/COUNTIF('数据-取费表'!C6:C15,E2)</f>
        <v>#DIV/0!</v>
      </c>
      <c r="J20" s="882">
        <f>IF(E2="住宅",70,IF(E2="商业",40,50))</f>
        <v>50</v>
      </c>
      <c r="K20" s="1309"/>
      <c r="L20" s="2670" t="s">
        <v>2771</v>
      </c>
      <c r="M20" s="1665">
        <f>ROUND(SUMPRODUCT((地价!A4:A23=YEAR(G19)&amp;"-"&amp;ROUNDUP(MONTH(G19)/3,0))*(地价!B2:F2=E2)*(地价!B4:F23)),0)</f>
        <v>0</v>
      </c>
      <c r="N20" s="2671" t="s">
        <v>2772</v>
      </c>
      <c r="O20" s="2672" t="s">
        <v>2773</v>
      </c>
      <c r="P20" s="2673" t="s">
        <v>2774</v>
      </c>
      <c r="R20" s="1308"/>
      <c r="S20" s="1308"/>
      <c r="T20" s="1303"/>
      <c r="U20" s="1303"/>
      <c r="V20" s="1303"/>
      <c r="W20" s="1302"/>
      <c r="X20" s="1302"/>
      <c r="Y20" s="1302"/>
      <c r="Z20" s="1309"/>
      <c r="AA20" s="1310"/>
      <c r="AB20" s="1310"/>
      <c r="AC20" s="1310"/>
      <c r="AD20" s="1310"/>
      <c r="AE20" s="1310"/>
      <c r="AF20" s="1310"/>
    </row>
    <row r="21" spans="1:37" s="2601" customFormat="1" ht="15">
      <c r="A21" s="2674" t="s">
        <v>811</v>
      </c>
      <c r="B21" s="2675" t="s">
        <v>2775</v>
      </c>
      <c r="C21" s="883">
        <f>IF(B21="容积率修正",IF(G3&lt;=10,D22,J22),C23)</f>
        <v>0</v>
      </c>
      <c r="D21" s="2676"/>
      <c r="E21" s="2676"/>
      <c r="F21" s="2676"/>
      <c r="G21" s="2676"/>
      <c r="H21" s="2676"/>
      <c r="I21" s="2676"/>
      <c r="J21" s="2677"/>
      <c r="K21" s="1309"/>
      <c r="N21" s="2678" t="s">
        <v>2776</v>
      </c>
      <c r="O21" s="1492"/>
      <c r="P21" s="1493">
        <f>SUMPRODUCT((地价!A3:A23=YEAR(G19)&amp;"-"&amp;ROUNDUP(MONTH(G19)/3,0))*(地价!AD2:AH2=N21)*(地价!AD3:AH23))</f>
        <v>1.49E-2</v>
      </c>
      <c r="R21" s="1308"/>
      <c r="S21" s="1308"/>
      <c r="T21" s="1303"/>
      <c r="U21" s="1303"/>
      <c r="V21" s="1303"/>
      <c r="W21" s="1302"/>
      <c r="X21" s="1302"/>
      <c r="Y21" s="1302"/>
      <c r="Z21" s="1309"/>
      <c r="AA21" s="1310"/>
      <c r="AB21" s="1310"/>
      <c r="AC21" s="1310"/>
      <c r="AD21" s="1310"/>
      <c r="AE21" s="1310"/>
      <c r="AF21" s="1310"/>
    </row>
    <row r="22" spans="1:37" s="2601" customFormat="1" ht="14.25">
      <c r="A22" s="2527" t="s">
        <v>2777</v>
      </c>
      <c r="B22" s="2679" t="s">
        <v>2778</v>
      </c>
      <c r="C22" s="1737" t="s">
        <v>2779</v>
      </c>
      <c r="D22" s="1737" t="b">
        <f>IF(E22=G22,F22,IF(G3&lt;=10,ROUND(F22+(H22-F22)*(G3-E22)/(G22-E22),4),"——"))</f>
        <v>0</v>
      </c>
      <c r="E22" s="859">
        <f>ROUNDDOWN(G3,1)</f>
        <v>1.9</v>
      </c>
      <c r="F22" s="17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9">
        <f>ROUNDUP(G3,1)</f>
        <v>1.9</v>
      </c>
      <c r="H22" s="17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7" t="s">
        <v>155</v>
      </c>
      <c r="J22" s="884" t="str">
        <f>IF(G3&gt;10,D113,"——")</f>
        <v>——</v>
      </c>
      <c r="K22" s="1309"/>
      <c r="N22" s="2678" t="s">
        <v>2780</v>
      </c>
      <c r="O22" s="1492"/>
      <c r="P22" s="1493">
        <f>SUMPRODUCT((地价!A3:A23=YEAR(G19)&amp;"-"&amp;ROUNDUP(MONTH(G19)/3,0))*(地价!AD2:AH2=N22)*(地价!AD3:AH23))</f>
        <v>1.49E-2</v>
      </c>
      <c r="R22" s="1308"/>
      <c r="S22" s="1308"/>
      <c r="T22" s="1303"/>
      <c r="U22" s="1303"/>
      <c r="V22" s="1303"/>
      <c r="W22" s="1302"/>
      <c r="X22" s="1302"/>
      <c r="Y22" s="1302"/>
      <c r="Z22" s="1309"/>
      <c r="AA22" s="1310"/>
      <c r="AB22" s="1310"/>
      <c r="AC22" s="1310"/>
      <c r="AD22" s="1310"/>
      <c r="AE22" s="1310"/>
      <c r="AF22" s="1310"/>
    </row>
    <row r="23" spans="1:37" ht="27.75" thickBot="1">
      <c r="A23" s="2527" t="s">
        <v>2781</v>
      </c>
      <c r="B23" s="2680" t="s">
        <v>2782</v>
      </c>
      <c r="C23" s="959">
        <f>ROUND(IF(G3&gt;1,IF(I3&lt;7,SUMPRODUCT((B93:B98=I3)*(C92:N92=G2)*(C93:N98)),SUMIF(C92:N92,G2,C100:N100)),IF(I3&lt;7,SUMPRODUCT((B102:B107=I3)*(C92:N92=G2)*(C102:N107)),SUMIF(C92:N92,G2,C109:N109))),4)</f>
        <v>0</v>
      </c>
      <c r="D23" s="2636"/>
      <c r="E23" s="2636"/>
      <c r="F23" s="2681"/>
      <c r="G23" s="2682"/>
      <c r="H23" s="2683"/>
      <c r="I23" s="2684"/>
      <c r="J23" s="2685"/>
      <c r="K23" s="1302"/>
      <c r="N23" s="2678" t="s">
        <v>2783</v>
      </c>
      <c r="O23" s="1492"/>
      <c r="P23" s="1493">
        <f>SUMPRODUCT((地价!A3:A23=YEAR(G19)&amp;"-"&amp;ROUNDUP(MONTH(G19)/3,0))*(地价!AD2:AH2=N23)*(地价!AD3:AH23))</f>
        <v>2.3699999999999999E-2</v>
      </c>
      <c r="R23" s="1308"/>
      <c r="S23" s="1308"/>
      <c r="T23" s="1303"/>
      <c r="U23" s="1303"/>
      <c r="V23" s="1303"/>
      <c r="W23" s="1302"/>
      <c r="X23" s="1302"/>
      <c r="Y23" s="1302"/>
      <c r="Z23" s="1309"/>
      <c r="AA23" s="1310"/>
      <c r="AB23" s="1310"/>
      <c r="AC23" s="1310"/>
      <c r="AD23" s="1310"/>
      <c r="AK23" s="2659"/>
    </row>
    <row r="24" spans="1:37" s="2601" customFormat="1" ht="15.75" thickBot="1">
      <c r="A24" s="2667" t="s">
        <v>812</v>
      </c>
      <c r="B24" s="2653" t="s">
        <v>2784</v>
      </c>
      <c r="C24" s="870">
        <f>SUMIF(A45:A88,E2,B45:B88)</f>
        <v>0</v>
      </c>
      <c r="D24" s="2656"/>
      <c r="E24" s="2686"/>
      <c r="F24" s="2686"/>
      <c r="G24" s="2686"/>
      <c r="H24" s="2686"/>
      <c r="I24" s="2686"/>
      <c r="J24" s="2687"/>
      <c r="K24" s="1309"/>
      <c r="N24" s="2688" t="s">
        <v>2785</v>
      </c>
      <c r="O24" s="1494"/>
      <c r="P24" s="1495">
        <f>SUMPRODUCT((地价!A3:A23=YEAR(G19)&amp;"-"&amp;ROUNDUP(MONTH(G19)/3,0))*(地价!AD2:AH2=N24)*(地价!AD3:AH23))</f>
        <v>1.2800000000000001E-2</v>
      </c>
      <c r="R24" s="1308"/>
      <c r="S24" s="1308"/>
      <c r="T24" s="1303"/>
      <c r="U24" s="1303"/>
      <c r="V24" s="1303"/>
      <c r="W24" s="1302"/>
      <c r="X24" s="1302"/>
      <c r="Y24" s="1302"/>
      <c r="Z24" s="1309"/>
      <c r="AA24" s="1310"/>
      <c r="AB24" s="1310"/>
      <c r="AC24" s="1310"/>
      <c r="AD24" s="1310"/>
      <c r="AE24" s="1310"/>
      <c r="AF24" s="1310"/>
    </row>
    <row r="25" spans="1:37" ht="15.75" thickBot="1">
      <c r="A25" s="2667" t="s">
        <v>813</v>
      </c>
      <c r="B25" s="2689" t="s">
        <v>2786</v>
      </c>
      <c r="C25" s="876"/>
      <c r="D25" s="2611"/>
      <c r="E25" s="2611"/>
      <c r="F25" s="2690"/>
      <c r="G25" s="2611"/>
      <c r="H25" s="2611"/>
      <c r="I25" s="2611"/>
      <c r="J25" s="2612"/>
      <c r="K25" s="1302"/>
      <c r="N25" s="2691" t="s">
        <v>2787</v>
      </c>
      <c r="O25" s="1496"/>
      <c r="P25" s="1495">
        <f>SUMPRODUCT((地价!A3:A23=YEAR(G19)&amp;"-"&amp;ROUNDUP(MONTH(G19)/3,0))*(地价!AD2:AH2=N25)*(地价!AD3:AH23))</f>
        <v>2.1499999999999998E-2</v>
      </c>
      <c r="R25" s="1308"/>
      <c r="S25" s="1308"/>
      <c r="T25" s="1303"/>
      <c r="U25" s="1303"/>
      <c r="V25" s="1303"/>
      <c r="W25" s="1302"/>
      <c r="X25" s="1302"/>
      <c r="Y25" s="1302"/>
      <c r="Z25" s="1309"/>
      <c r="AA25" s="1310"/>
      <c r="AB25" s="1310"/>
      <c r="AC25" s="1310"/>
      <c r="AD25" s="1310"/>
    </row>
    <row r="26" spans="1:37" ht="15">
      <c r="A26" s="2692"/>
      <c r="B26" s="2679" t="s">
        <v>2788</v>
      </c>
      <c r="C26" s="149" t="e">
        <f>E29+SUM(E33:E39)</f>
        <v>#DIV/0!</v>
      </c>
      <c r="D26" s="2693"/>
      <c r="E26" s="2636"/>
      <c r="F26" s="2694"/>
      <c r="G26" s="2636"/>
      <c r="H26" s="2636"/>
      <c r="I26" s="2636"/>
      <c r="J26" s="2695"/>
      <c r="K26" s="1302"/>
      <c r="R26" s="1308"/>
      <c r="S26" s="1308"/>
      <c r="T26" s="1303"/>
      <c r="U26" s="1303"/>
      <c r="V26" s="1303"/>
      <c r="W26" s="1302"/>
      <c r="X26" s="1302"/>
      <c r="Y26" s="1302"/>
      <c r="Z26" s="1309"/>
      <c r="AA26" s="1310"/>
      <c r="AB26" s="1310"/>
      <c r="AC26" s="1310"/>
      <c r="AD26" s="1310"/>
    </row>
    <row r="27" spans="1:37" ht="15.75" thickBot="1">
      <c r="A27" s="2692"/>
      <c r="B27" s="2696" t="s">
        <v>2789</v>
      </c>
      <c r="C27" s="877" t="e">
        <f>E30+SUM(I33:I39)</f>
        <v>#DIV/0!</v>
      </c>
      <c r="D27" s="2697"/>
      <c r="E27" s="2698"/>
      <c r="F27" s="2699"/>
      <c r="G27" s="2698"/>
      <c r="H27" s="2698"/>
      <c r="I27" s="2698"/>
      <c r="J27" s="2700"/>
      <c r="K27" s="1302"/>
      <c r="L27" s="1302"/>
      <c r="M27" s="1302"/>
      <c r="N27" s="1302"/>
      <c r="O27" s="1307"/>
      <c r="P27" s="1307"/>
      <c r="Q27" s="1308"/>
      <c r="R27" s="1308"/>
      <c r="S27" s="1308"/>
      <c r="T27" s="1303"/>
      <c r="U27" s="1303"/>
      <c r="V27" s="1303"/>
      <c r="W27" s="1302"/>
      <c r="X27" s="1302"/>
      <c r="Y27" s="1302"/>
      <c r="Z27" s="1309"/>
      <c r="AA27" s="1310"/>
      <c r="AB27" s="1310"/>
      <c r="AC27" s="1310"/>
      <c r="AD27" s="1310"/>
    </row>
    <row r="28" spans="1:37" ht="15">
      <c r="A28" s="2701"/>
      <c r="B28" s="2702" t="s">
        <v>2790</v>
      </c>
      <c r="C28" s="2703" t="s">
        <v>2791</v>
      </c>
      <c r="D28" s="2703" t="s">
        <v>2792</v>
      </c>
      <c r="E28" s="2704" t="s">
        <v>2793</v>
      </c>
      <c r="F28" s="2705"/>
      <c r="G28" s="2624"/>
      <c r="H28" s="2624"/>
      <c r="I28" s="2624"/>
      <c r="J28" s="2625"/>
      <c r="K28" s="1302"/>
      <c r="L28" s="1302"/>
      <c r="M28" s="1302"/>
      <c r="N28" s="1302"/>
      <c r="O28" s="1307"/>
      <c r="P28" s="1307"/>
      <c r="Q28" s="1308"/>
      <c r="R28" s="1308"/>
      <c r="S28" s="1308"/>
      <c r="T28" s="1303"/>
      <c r="U28" s="1303"/>
      <c r="V28" s="1303"/>
      <c r="W28" s="1302"/>
      <c r="X28" s="1302"/>
      <c r="Y28" s="1302"/>
      <c r="Z28" s="1309"/>
      <c r="AA28" s="1310"/>
      <c r="AB28" s="1310"/>
      <c r="AC28" s="1310"/>
      <c r="AD28" s="1310"/>
    </row>
    <row r="29" spans="1:37" ht="22.5" customHeight="1">
      <c r="A29" s="2706"/>
      <c r="B29" s="2707" t="s">
        <v>2794</v>
      </c>
      <c r="C29" s="149" t="e">
        <f>ROUND(C5*C18*C19*C20*C21*C24,0)</f>
        <v>#DIV/0!</v>
      </c>
      <c r="D29" s="2708"/>
      <c r="E29" s="888" t="e">
        <f>ROUND(C29*D29/10000,0)</f>
        <v>#DIV/0!</v>
      </c>
      <c r="F29" s="2709" t="s">
        <v>2795</v>
      </c>
      <c r="G29" s="2710"/>
      <c r="H29" s="2710"/>
      <c r="I29" s="2710"/>
      <c r="J29" s="2711"/>
      <c r="K29" s="1302"/>
      <c r="L29" s="1302"/>
      <c r="M29" s="1302"/>
      <c r="N29" s="1302"/>
      <c r="O29" s="1307"/>
      <c r="P29" s="1307"/>
      <c r="Q29" s="1308"/>
      <c r="R29" s="1308"/>
      <c r="S29" s="1308"/>
      <c r="T29" s="1303"/>
      <c r="U29" s="1303"/>
      <c r="V29" s="1303"/>
      <c r="W29" s="1302"/>
      <c r="X29" s="1302"/>
      <c r="Y29" s="1302"/>
      <c r="Z29" s="1309"/>
      <c r="AA29" s="1310"/>
      <c r="AB29" s="1310"/>
      <c r="AC29" s="1310"/>
      <c r="AD29" s="1310"/>
      <c r="AE29" s="2651"/>
      <c r="AF29" s="2651"/>
      <c r="AG29" s="2583"/>
      <c r="AH29" s="2583"/>
      <c r="AI29" s="2583"/>
      <c r="AJ29" s="2583"/>
    </row>
    <row r="30" spans="1:37" ht="25.5" thickBot="1">
      <c r="A30" s="2712"/>
      <c r="B30" s="2713" t="s">
        <v>2796</v>
      </c>
      <c r="C30" s="172" t="e">
        <f>ROUND(IF(E2="工业",C29*M39,C29*M38),0)</f>
        <v>#DIV/0!</v>
      </c>
      <c r="D30" s="2714"/>
      <c r="E30" s="888" t="e">
        <f>ROUND(C30*D30/10000,0)</f>
        <v>#DIV/0!</v>
      </c>
      <c r="F30" s="2715" t="s">
        <v>2797</v>
      </c>
      <c r="G30" s="2716"/>
      <c r="H30" s="2716"/>
      <c r="I30" s="2716"/>
      <c r="J30" s="2717"/>
      <c r="K30" s="1302"/>
      <c r="L30" s="1302"/>
      <c r="M30" s="1302"/>
      <c r="N30" s="1302"/>
      <c r="O30" s="1307"/>
      <c r="P30" s="1307"/>
      <c r="Q30" s="1308"/>
      <c r="R30" s="1308"/>
      <c r="S30" s="1308"/>
      <c r="T30" s="1303"/>
      <c r="U30" s="1303"/>
      <c r="V30" s="1303"/>
      <c r="W30" s="1302"/>
      <c r="X30" s="1302"/>
      <c r="Y30" s="1302"/>
      <c r="Z30" s="1309"/>
      <c r="AA30" s="1310"/>
      <c r="AB30" s="1310"/>
      <c r="AC30" s="1310"/>
      <c r="AD30" s="1310"/>
      <c r="AE30" s="2651"/>
      <c r="AF30" s="2651"/>
      <c r="AG30" s="2583"/>
      <c r="AH30" s="2583"/>
      <c r="AI30" s="2583"/>
      <c r="AJ30" s="2583"/>
    </row>
    <row r="31" spans="1:37" ht="14.25">
      <c r="A31" s="2718"/>
      <c r="B31" s="2719" t="s">
        <v>2798</v>
      </c>
      <c r="C31" s="2720" t="s">
        <v>2799</v>
      </c>
      <c r="D31" s="2624"/>
      <c r="E31" s="2720"/>
      <c r="F31" s="2720"/>
      <c r="G31" s="2622" t="s">
        <v>2800</v>
      </c>
      <c r="H31" s="2624"/>
      <c r="I31" s="2721"/>
      <c r="J31" s="2625"/>
      <c r="K31" s="1302"/>
      <c r="L31" s="1302"/>
      <c r="M31" s="1302"/>
      <c r="N31" s="1302"/>
      <c r="O31" s="1307"/>
      <c r="P31" s="1307"/>
      <c r="Q31" s="1308"/>
      <c r="R31" s="1308"/>
      <c r="S31" s="1308"/>
      <c r="T31" s="1303"/>
      <c r="U31" s="1303"/>
      <c r="V31" s="1303"/>
      <c r="W31" s="1302"/>
      <c r="X31" s="1302"/>
      <c r="Y31" s="1302"/>
      <c r="Z31" s="1309"/>
      <c r="AA31" s="1310"/>
      <c r="AB31" s="1310"/>
      <c r="AC31" s="1310"/>
      <c r="AD31" s="1310"/>
      <c r="AE31" s="2651"/>
      <c r="AF31" s="2651"/>
      <c r="AG31" s="2583"/>
      <c r="AH31" s="2583"/>
      <c r="AI31" s="2583"/>
      <c r="AJ31" s="2583"/>
    </row>
    <row r="32" spans="1:37" ht="24">
      <c r="A32" s="2706"/>
      <c r="B32" s="2722"/>
      <c r="C32" s="444" t="s">
        <v>2791</v>
      </c>
      <c r="D32" s="441" t="s">
        <v>2792</v>
      </c>
      <c r="E32" s="441" t="s">
        <v>2793</v>
      </c>
      <c r="F32" s="331" t="s">
        <v>2801</v>
      </c>
      <c r="G32" s="2723" t="s">
        <v>2791</v>
      </c>
      <c r="H32" s="2723" t="s">
        <v>2792</v>
      </c>
      <c r="I32" s="2723" t="s">
        <v>2793</v>
      </c>
      <c r="J32" s="230"/>
      <c r="K32" s="1302"/>
      <c r="L32" s="1302"/>
      <c r="M32" s="1302"/>
      <c r="N32" s="1302"/>
      <c r="O32" s="1307"/>
      <c r="P32" s="1307"/>
      <c r="Q32" s="1308"/>
      <c r="R32" s="1308"/>
      <c r="S32" s="1308"/>
      <c r="T32" s="1303"/>
      <c r="U32" s="1303"/>
      <c r="V32" s="1303"/>
      <c r="W32" s="1302"/>
      <c r="X32" s="1302"/>
      <c r="Y32" s="1302"/>
      <c r="Z32" s="1309"/>
      <c r="AA32" s="1310"/>
      <c r="AB32" s="1310"/>
      <c r="AC32" s="1310"/>
      <c r="AD32" s="1310"/>
      <c r="AE32" s="2651"/>
      <c r="AF32" s="2651"/>
      <c r="AG32" s="2583"/>
      <c r="AH32" s="2583"/>
      <c r="AI32" s="2583"/>
      <c r="AJ32" s="2583"/>
    </row>
    <row r="33" spans="1:37" ht="36" customHeight="1">
      <c r="A33" s="3384" t="s">
        <v>2802</v>
      </c>
      <c r="B33" s="2724" t="s">
        <v>2803</v>
      </c>
      <c r="C33" s="149" t="e">
        <f>ROUND(D5*C19*C20*C24*F33,0)</f>
        <v>#DIV/0!</v>
      </c>
      <c r="D33" s="2708"/>
      <c r="E33" s="143" t="e">
        <f>ROUND(C33*D33/10000,0)</f>
        <v>#DIV/0!</v>
      </c>
      <c r="F33" s="143">
        <f>SUMIF(修正!A45:A56,G2,修正!B45:B56)</f>
        <v>0</v>
      </c>
      <c r="G33" s="143" t="e">
        <f t="shared" ref="G33" si="6">ROUND(IF(E2="工业",C33*$M$39,C33*$M$38),0)</f>
        <v>#DIV/0!</v>
      </c>
      <c r="H33" s="143">
        <f>D33</f>
        <v>0</v>
      </c>
      <c r="I33" s="143" t="e">
        <f>ROUND(G33*H33/10000,0)</f>
        <v>#DIV/0!</v>
      </c>
      <c r="J33" s="2725"/>
      <c r="K33" s="1302"/>
      <c r="L33" s="1302"/>
      <c r="M33" s="1302"/>
      <c r="N33" s="1302"/>
      <c r="O33" s="1307"/>
      <c r="P33" s="1307"/>
      <c r="Q33" s="1308"/>
      <c r="R33" s="1308"/>
      <c r="S33" s="1308"/>
      <c r="T33" s="1303"/>
      <c r="U33" s="1303"/>
      <c r="V33" s="1303"/>
      <c r="W33" s="1302"/>
      <c r="X33" s="1302"/>
      <c r="Y33" s="1302"/>
      <c r="Z33" s="1309"/>
      <c r="AA33" s="1310"/>
      <c r="AB33" s="1310"/>
      <c r="AC33" s="1310"/>
      <c r="AD33" s="1310"/>
    </row>
    <row r="34" spans="1:37" ht="14.25">
      <c r="A34" s="3385"/>
      <c r="B34" s="2628" t="s">
        <v>2804</v>
      </c>
      <c r="C34" s="149" t="e">
        <f>ROUND(D5*C19*C20*C24*F34,0)</f>
        <v>#DIV/0!</v>
      </c>
      <c r="D34" s="2708"/>
      <c r="E34" s="143" t="e">
        <f t="shared" ref="E34:E39" si="7">ROUND(C34*D34/10000,0)</f>
        <v>#DIV/0!</v>
      </c>
      <c r="F34" s="143">
        <f>SUMIF(修正!A45:A56,G2,修正!C45:C56)</f>
        <v>0</v>
      </c>
      <c r="G34" s="143" t="e">
        <f>ROUND(IF(E2="工业",C34*$M$39,C34*$M$38),0)</f>
        <v>#DIV/0!</v>
      </c>
      <c r="H34" s="143">
        <f t="shared" ref="H34:H39" si="8">D34</f>
        <v>0</v>
      </c>
      <c r="I34" s="143" t="e">
        <f t="shared" ref="I34:I39" si="9">ROUND(G34*H34/10000,0)</f>
        <v>#DIV/0!</v>
      </c>
      <c r="J34" s="2725"/>
      <c r="K34" s="1302"/>
      <c r="L34" s="1302"/>
      <c r="M34" s="1302"/>
      <c r="N34" s="1302"/>
      <c r="O34" s="1307"/>
      <c r="P34" s="1307"/>
      <c r="Q34" s="1308"/>
      <c r="R34" s="1308"/>
      <c r="S34" s="1308"/>
      <c r="T34" s="1303"/>
      <c r="U34" s="1303"/>
      <c r="V34" s="1303"/>
      <c r="W34" s="1302"/>
      <c r="X34" s="1302"/>
      <c r="Y34" s="1302"/>
      <c r="Z34" s="1309"/>
      <c r="AA34" s="1310"/>
      <c r="AB34" s="1310"/>
      <c r="AC34" s="1310"/>
      <c r="AD34" s="1310"/>
    </row>
    <row r="35" spans="1:37">
      <c r="A35" s="3385"/>
      <c r="B35" s="2628" t="s">
        <v>2805</v>
      </c>
      <c r="C35" s="149" t="e">
        <f>ROUND(D5*C19*C20*C24*F35,0)</f>
        <v>#DIV/0!</v>
      </c>
      <c r="D35" s="2708"/>
      <c r="E35" s="143" t="e">
        <f t="shared" si="7"/>
        <v>#DIV/0!</v>
      </c>
      <c r="F35" s="143">
        <f>SUMIF(修正!A45:A56,G2,修正!D45:D56)</f>
        <v>0</v>
      </c>
      <c r="G35" s="143" t="e">
        <f>ROUND(IF(E2="工业",C35*$M$39,C35*$M$38),0)</f>
        <v>#DIV/0!</v>
      </c>
      <c r="H35" s="143">
        <f t="shared" si="8"/>
        <v>0</v>
      </c>
      <c r="I35" s="143" t="e">
        <f t="shared" si="9"/>
        <v>#DIV/0!</v>
      </c>
      <c r="J35" s="2725"/>
      <c r="K35" s="1302"/>
      <c r="L35" s="1302"/>
      <c r="M35" s="1302"/>
      <c r="N35" s="1302"/>
      <c r="O35" s="1302"/>
      <c r="P35" s="1302"/>
      <c r="Q35" s="1302"/>
      <c r="R35" s="1302"/>
      <c r="S35" s="1302"/>
      <c r="T35" s="1302"/>
      <c r="U35" s="1302"/>
      <c r="V35" s="1302"/>
      <c r="W35" s="1302"/>
      <c r="X35" s="1302"/>
      <c r="Y35" s="1302"/>
      <c r="Z35" s="1303"/>
    </row>
    <row r="36" spans="1:37" ht="13.5" thickBot="1">
      <c r="A36" s="3386"/>
      <c r="B36" s="2628" t="s">
        <v>2806</v>
      </c>
      <c r="C36" s="149" t="e">
        <f>ROUND(D5*C19*C20*C24*F36,0)</f>
        <v>#DIV/0!</v>
      </c>
      <c r="D36" s="2708"/>
      <c r="E36" s="143" t="e">
        <f t="shared" si="7"/>
        <v>#DIV/0!</v>
      </c>
      <c r="F36" s="143">
        <f>SUMIF(修正!A45:A56,G2,修正!E45:E56)</f>
        <v>0</v>
      </c>
      <c r="G36" s="143" t="e">
        <f>ROUND(IF(E2="工业",C36*$M$39,C36*$M$38),0)</f>
        <v>#DIV/0!</v>
      </c>
      <c r="H36" s="143">
        <f t="shared" si="8"/>
        <v>0</v>
      </c>
      <c r="I36" s="143" t="e">
        <f t="shared" si="9"/>
        <v>#DIV/0!</v>
      </c>
      <c r="J36" s="2725"/>
      <c r="K36" s="1302"/>
      <c r="L36" s="2582"/>
      <c r="M36" s="2582"/>
      <c r="N36" s="1302"/>
      <c r="O36" s="1302"/>
      <c r="P36" s="1302"/>
      <c r="Q36" s="1302"/>
      <c r="R36" s="1302"/>
      <c r="S36" s="1302"/>
      <c r="T36" s="1302"/>
      <c r="U36" s="1302"/>
      <c r="V36" s="1302"/>
      <c r="W36" s="1302"/>
      <c r="X36" s="1302"/>
      <c r="Y36" s="1302"/>
      <c r="Z36" s="1303"/>
    </row>
    <row r="37" spans="1:37">
      <c r="A37" s="2726"/>
      <c r="B37" s="2628" t="s">
        <v>2807</v>
      </c>
      <c r="C37" s="143" t="e">
        <f>ROUND(C5*C19*C20*C24*F37,0)</f>
        <v>#DIV/0!</v>
      </c>
      <c r="D37" s="2708"/>
      <c r="E37" s="143" t="e">
        <f t="shared" si="7"/>
        <v>#DIV/0!</v>
      </c>
      <c r="F37" s="149">
        <f>SUMIF(修正!A45:A56,G2,修正!F45:F56)</f>
        <v>0</v>
      </c>
      <c r="G37" s="143" t="e">
        <f>ROUND(IF(E2="工业",C37*$M$39,C37*$M$38),0)</f>
        <v>#DIV/0!</v>
      </c>
      <c r="H37" s="143">
        <f t="shared" si="8"/>
        <v>0</v>
      </c>
      <c r="I37" s="143" t="e">
        <f t="shared" si="9"/>
        <v>#DIV/0!</v>
      </c>
      <c r="J37" s="2725"/>
      <c r="K37" s="1302"/>
      <c r="L37" s="2727" t="s">
        <v>2808</v>
      </c>
      <c r="M37" s="2728"/>
      <c r="N37" s="1302"/>
      <c r="O37" s="1302"/>
      <c r="P37" s="1302"/>
      <c r="Q37" s="1302"/>
      <c r="R37" s="1302"/>
      <c r="S37" s="1302"/>
      <c r="T37" s="1302"/>
      <c r="U37" s="1302"/>
      <c r="V37" s="1302"/>
      <c r="W37" s="1302"/>
      <c r="X37" s="1302"/>
      <c r="Y37" s="1302"/>
      <c r="Z37" s="1303"/>
    </row>
    <row r="38" spans="1:37">
      <c r="A38" s="2726"/>
      <c r="B38" s="2628" t="s">
        <v>2809</v>
      </c>
      <c r="C38" s="143" t="e">
        <f>ROUND(C5*C19*C20*C24*F38,0)</f>
        <v>#DIV/0!</v>
      </c>
      <c r="D38" s="2708"/>
      <c r="E38" s="143" t="e">
        <f t="shared" si="7"/>
        <v>#DIV/0!</v>
      </c>
      <c r="F38" s="149">
        <f>SUMIF(修正!A45:A56,G2,修正!G45:G56)</f>
        <v>0</v>
      </c>
      <c r="G38" s="143" t="e">
        <f>ROUND(IF(E2="工业",C38*$M$39,C38*$M$38),0)</f>
        <v>#DIV/0!</v>
      </c>
      <c r="H38" s="143">
        <f t="shared" si="8"/>
        <v>0</v>
      </c>
      <c r="I38" s="143" t="e">
        <f t="shared" si="9"/>
        <v>#DIV/0!</v>
      </c>
      <c r="J38" s="2725"/>
      <c r="K38" s="1302"/>
      <c r="L38" s="1813" t="s">
        <v>2810</v>
      </c>
      <c r="M38" s="2729">
        <v>0.25</v>
      </c>
      <c r="N38" s="1302"/>
      <c r="O38" s="1302"/>
      <c r="P38" s="1302"/>
      <c r="Q38" s="1302"/>
      <c r="R38" s="1302"/>
      <c r="S38" s="1302"/>
      <c r="T38" s="1302"/>
      <c r="U38" s="1302"/>
      <c r="V38" s="1302"/>
      <c r="W38" s="1302"/>
      <c r="X38" s="1302"/>
      <c r="Y38" s="1302"/>
      <c r="Z38" s="1303"/>
    </row>
    <row r="39" spans="1:37" ht="13.5" thickBot="1">
      <c r="A39" s="2712"/>
      <c r="B39" s="2730" t="s">
        <v>2811</v>
      </c>
      <c r="C39" s="172" t="e">
        <f>ROUND(C5*C19*C20*C24*F39,0)</f>
        <v>#DIV/0!</v>
      </c>
      <c r="D39" s="2714"/>
      <c r="E39" s="172" t="e">
        <f t="shared" si="7"/>
        <v>#DIV/0!</v>
      </c>
      <c r="F39" s="878">
        <f>SUMIF(修正!A45:A56,G2,修正!H45:H56)</f>
        <v>0</v>
      </c>
      <c r="G39" s="172" t="e">
        <f>ROUND(IF(E2="工业",C39*$M$39,C39*$M$38),0)</f>
        <v>#DIV/0!</v>
      </c>
      <c r="H39" s="172">
        <f t="shared" si="8"/>
        <v>0</v>
      </c>
      <c r="I39" s="172" t="e">
        <f t="shared" si="9"/>
        <v>#DIV/0!</v>
      </c>
      <c r="J39" s="2731"/>
      <c r="K39" s="1302"/>
      <c r="L39" s="2732" t="s">
        <v>2752</v>
      </c>
      <c r="M39" s="2733">
        <v>0.15</v>
      </c>
      <c r="N39" s="1302"/>
      <c r="O39" s="1302"/>
      <c r="P39" s="1302"/>
      <c r="Q39" s="1302"/>
      <c r="R39" s="1302"/>
      <c r="S39" s="1302"/>
      <c r="T39" s="1302"/>
      <c r="U39" s="1302"/>
      <c r="V39" s="1302"/>
      <c r="W39" s="1302"/>
      <c r="X39" s="1302"/>
      <c r="Y39" s="1302"/>
      <c r="Z39" s="1303"/>
    </row>
    <row r="40" spans="1:37" s="1302" customFormat="1">
      <c r="Z40" s="1303"/>
      <c r="AA40" s="1303"/>
      <c r="AB40" s="1303"/>
      <c r="AC40" s="1303"/>
      <c r="AD40" s="1303"/>
      <c r="AE40" s="1303"/>
      <c r="AF40" s="1303"/>
      <c r="AG40" s="1303"/>
      <c r="AH40" s="1303"/>
      <c r="AI40" s="1303"/>
      <c r="AJ40" s="1303"/>
    </row>
    <row r="41" spans="1:37" s="1302" customFormat="1">
      <c r="A41" s="1303"/>
      <c r="B41" s="2734"/>
      <c r="Z41" s="1303"/>
      <c r="AA41" s="1303"/>
      <c r="AB41" s="1303"/>
      <c r="AC41" s="1303"/>
      <c r="AD41" s="1303"/>
      <c r="AE41" s="1303"/>
      <c r="AF41" s="1303"/>
      <c r="AG41" s="1303"/>
      <c r="AH41" s="1303"/>
      <c r="AI41" s="1303"/>
      <c r="AJ41" s="1303"/>
    </row>
    <row r="42" spans="1:37" s="1302" customFormat="1">
      <c r="A42" s="1303"/>
      <c r="B42" s="2734"/>
      <c r="Z42" s="1303"/>
      <c r="AA42" s="1303"/>
      <c r="AB42" s="1303"/>
      <c r="AC42" s="1303"/>
      <c r="AD42" s="1303"/>
      <c r="AE42" s="1303"/>
      <c r="AF42" s="1303"/>
      <c r="AG42" s="1303"/>
      <c r="AH42" s="1303"/>
      <c r="AI42" s="1303"/>
      <c r="AJ42" s="1303"/>
    </row>
    <row r="43" spans="1:37" s="1302" customFormat="1">
      <c r="A43" s="1303"/>
      <c r="B43" s="2734"/>
      <c r="Z43" s="1303"/>
      <c r="AA43" s="1303"/>
      <c r="AB43" s="1303"/>
      <c r="AC43" s="1303"/>
      <c r="AD43" s="1303"/>
      <c r="AE43" s="1303"/>
      <c r="AF43" s="1303"/>
      <c r="AG43" s="1303"/>
      <c r="AH43" s="1303"/>
      <c r="AI43" s="1303"/>
      <c r="AJ43" s="1303"/>
    </row>
    <row r="44" spans="1:37" s="1302" customFormat="1">
      <c r="A44" s="1303"/>
      <c r="B44" s="2734"/>
      <c r="Z44" s="1303"/>
      <c r="AA44" s="1303"/>
      <c r="AB44" s="1303"/>
      <c r="AC44" s="1303"/>
      <c r="AD44" s="1303"/>
      <c r="AE44" s="1303"/>
      <c r="AF44" s="1303"/>
      <c r="AG44" s="1303"/>
      <c r="AH44" s="1303"/>
      <c r="AI44" s="1303"/>
      <c r="AJ44" s="1303"/>
    </row>
    <row r="45" spans="1:37" s="1302" customFormat="1" ht="15.75" thickBot="1">
      <c r="A45" s="2735" t="s">
        <v>2812</v>
      </c>
      <c r="B45" s="2736"/>
      <c r="C45" s="7"/>
      <c r="D45" s="7"/>
      <c r="E45" s="7"/>
      <c r="F45" s="6"/>
      <c r="G45" s="6"/>
      <c r="H45" s="6"/>
      <c r="I45" s="7"/>
      <c r="J45" s="7"/>
      <c r="K45" s="7"/>
      <c r="L45" s="7"/>
      <c r="M45" s="7"/>
      <c r="N45" s="2651"/>
      <c r="Z45" s="1303"/>
      <c r="AA45" s="1303"/>
      <c r="AB45" s="1303"/>
      <c r="AC45" s="1303"/>
      <c r="AD45" s="1303"/>
      <c r="AE45" s="1303"/>
      <c r="AF45" s="1303"/>
      <c r="AG45" s="1303"/>
      <c r="AH45" s="1303"/>
      <c r="AI45" s="1303"/>
      <c r="AJ45" s="1303"/>
    </row>
    <row r="46" spans="1:37" s="1302" customFormat="1" ht="15">
      <c r="A46" s="2737" t="s">
        <v>2813</v>
      </c>
      <c r="B46" s="2738">
        <f>1+E48</f>
        <v>1</v>
      </c>
      <c r="C46" s="2739"/>
      <c r="D46" s="757"/>
      <c r="E46" s="758"/>
      <c r="F46" s="2740"/>
      <c r="G46" s="6"/>
      <c r="H46" s="7"/>
      <c r="I46" s="7"/>
      <c r="J46" s="7"/>
      <c r="K46" s="7"/>
      <c r="L46" s="7"/>
      <c r="M46" s="7"/>
      <c r="N46" s="2651"/>
      <c r="Z46" s="1303"/>
      <c r="AA46" s="1303"/>
      <c r="AB46" s="1303"/>
      <c r="AC46" s="1303"/>
      <c r="AD46" s="1303"/>
      <c r="AE46" s="1303"/>
      <c r="AF46" s="1303"/>
      <c r="AG46" s="1303"/>
      <c r="AH46" s="1303"/>
      <c r="AI46" s="1303"/>
      <c r="AJ46" s="1303"/>
    </row>
    <row r="47" spans="1:37" s="1302" customFormat="1" ht="24.75">
      <c r="A47" s="2741" t="s">
        <v>2814</v>
      </c>
      <c r="B47" s="1736" t="s">
        <v>2815</v>
      </c>
      <c r="C47" s="1736" t="s">
        <v>2816</v>
      </c>
      <c r="D47" s="1736" t="s">
        <v>2817</v>
      </c>
      <c r="E47" s="762" t="s">
        <v>2818</v>
      </c>
      <c r="F47" s="2742" t="s">
        <v>2819</v>
      </c>
      <c r="G47" s="1736" t="s">
        <v>754</v>
      </c>
      <c r="H47" s="2743" t="s">
        <v>2820</v>
      </c>
      <c r="I47" s="1736" t="s">
        <v>2821</v>
      </c>
      <c r="J47" s="546" t="s">
        <v>2468</v>
      </c>
      <c r="K47" s="546" t="s">
        <v>2469</v>
      </c>
      <c r="L47" s="546" t="s">
        <v>2470</v>
      </c>
      <c r="M47" s="546" t="s">
        <v>2471</v>
      </c>
      <c r="N47" s="546" t="s">
        <v>2472</v>
      </c>
      <c r="AA47" s="1303"/>
      <c r="AB47" s="1303"/>
      <c r="AC47" s="1303"/>
      <c r="AD47" s="1303"/>
      <c r="AE47" s="1303"/>
      <c r="AF47" s="1303"/>
      <c r="AG47" s="1303"/>
      <c r="AH47" s="1303"/>
      <c r="AI47" s="1303"/>
      <c r="AJ47" s="1303"/>
      <c r="AK47" s="1303"/>
    </row>
    <row r="48" spans="1:37" s="1302" customFormat="1" ht="38.25">
      <c r="A48" s="2741" t="s">
        <v>2822</v>
      </c>
      <c r="B48" s="2744" t="str">
        <f>估价对象房地状况!C4</f>
        <v>估价对象位于XX商圈，周边商业氛围成熟，人流量大，商业繁华度好</v>
      </c>
      <c r="C48" s="2633"/>
      <c r="D48" s="1218">
        <f t="shared" ref="D48:D56" si="10">SUMIF($J$47:$N$47,C48,J48:N48)</f>
        <v>0</v>
      </c>
      <c r="E48" s="764">
        <f>ROUND(SUM(D48:D56),4)</f>
        <v>0</v>
      </c>
      <c r="F48" s="2366" t="str">
        <f>IF(E2="商业",SUMIF(L1:L12,G2,N1:N12),"——")</f>
        <v>——</v>
      </c>
      <c r="G48" s="1216"/>
      <c r="H48" s="1220" t="str">
        <f t="shared" ref="H48:H56" si="11">IFERROR(ROUNDDOWN($F$48*I48/2,4),"——")</f>
        <v>——</v>
      </c>
      <c r="I48" s="763">
        <v>0.33</v>
      </c>
      <c r="J48" s="1217">
        <f t="shared" ref="J48:J56" si="12">K48+$G48</f>
        <v>0</v>
      </c>
      <c r="K48" s="1217">
        <f t="shared" ref="K48:K56" si="13">$L48+$G48</f>
        <v>0</v>
      </c>
      <c r="L48" s="1217">
        <v>0</v>
      </c>
      <c r="M48" s="1217">
        <f t="shared" ref="M48:N56" si="14">L48-$G48</f>
        <v>0</v>
      </c>
      <c r="N48" s="1217">
        <f t="shared" si="14"/>
        <v>0</v>
      </c>
      <c r="AA48" s="1303"/>
      <c r="AB48" s="1303"/>
      <c r="AC48" s="1303"/>
      <c r="AD48" s="1303"/>
      <c r="AE48" s="1303"/>
      <c r="AF48" s="1303"/>
      <c r="AG48" s="1303"/>
      <c r="AH48" s="1303"/>
      <c r="AI48" s="1303"/>
      <c r="AJ48" s="1303"/>
      <c r="AK48" s="1303"/>
    </row>
    <row r="49" spans="1:37" s="1302" customFormat="1" ht="51">
      <c r="A49" s="2741" t="s">
        <v>2823</v>
      </c>
      <c r="B49" s="2745" t="str">
        <f>估价对象房地状况!C18</f>
        <v>估价对象周边道路状况、公共交通通达情况、停车便捷程度，综合评价交通便捷度较好</v>
      </c>
      <c r="C49" s="2633"/>
      <c r="D49" s="1218">
        <f t="shared" si="10"/>
        <v>0</v>
      </c>
      <c r="E49" s="765"/>
      <c r="F49" s="2366"/>
      <c r="G49" s="1216"/>
      <c r="H49" s="1220" t="str">
        <f t="shared" si="11"/>
        <v>——</v>
      </c>
      <c r="I49" s="763">
        <v>0.25</v>
      </c>
      <c r="J49" s="1217">
        <f t="shared" si="12"/>
        <v>0</v>
      </c>
      <c r="K49" s="1217">
        <f t="shared" si="13"/>
        <v>0</v>
      </c>
      <c r="L49" s="1217">
        <v>0</v>
      </c>
      <c r="M49" s="1217">
        <f t="shared" si="14"/>
        <v>0</v>
      </c>
      <c r="N49" s="1217">
        <f t="shared" si="14"/>
        <v>0</v>
      </c>
      <c r="AA49" s="1303"/>
      <c r="AB49" s="1303"/>
      <c r="AC49" s="1303"/>
      <c r="AD49" s="1303"/>
      <c r="AE49" s="1303"/>
      <c r="AF49" s="1303"/>
      <c r="AG49" s="1303"/>
      <c r="AH49" s="1303"/>
      <c r="AI49" s="1303"/>
      <c r="AJ49" s="1303"/>
      <c r="AK49" s="1303"/>
    </row>
    <row r="50" spans="1:37" s="1302" customFormat="1" ht="24">
      <c r="A50" s="2741" t="s">
        <v>2824</v>
      </c>
      <c r="B50" s="2745">
        <f>估价对象房地状况!C19</f>
        <v>0</v>
      </c>
      <c r="C50" s="2633"/>
      <c r="D50" s="1218">
        <f t="shared" si="10"/>
        <v>0</v>
      </c>
      <c r="E50" s="765"/>
      <c r="F50" s="2366"/>
      <c r="G50" s="1216"/>
      <c r="H50" s="1220" t="str">
        <f t="shared" si="11"/>
        <v>——</v>
      </c>
      <c r="I50" s="763">
        <v>0.05</v>
      </c>
      <c r="J50" s="1217">
        <f t="shared" si="12"/>
        <v>0</v>
      </c>
      <c r="K50" s="1217">
        <f t="shared" si="13"/>
        <v>0</v>
      </c>
      <c r="L50" s="1217">
        <v>0</v>
      </c>
      <c r="M50" s="1217">
        <f t="shared" si="14"/>
        <v>0</v>
      </c>
      <c r="N50" s="1217">
        <f t="shared" si="14"/>
        <v>0</v>
      </c>
      <c r="AA50" s="1303"/>
      <c r="AB50" s="1303"/>
      <c r="AC50" s="1303"/>
      <c r="AD50" s="1303"/>
      <c r="AE50" s="1303"/>
      <c r="AF50" s="1303"/>
      <c r="AG50" s="1303"/>
      <c r="AH50" s="1303"/>
      <c r="AI50" s="1303"/>
      <c r="AJ50" s="1303"/>
      <c r="AK50" s="1303"/>
    </row>
    <row r="51" spans="1:37" s="1302" customFormat="1" ht="36.75">
      <c r="A51" s="2741" t="s">
        <v>2825</v>
      </c>
      <c r="B51" s="2746" t="s">
        <v>2826</v>
      </c>
      <c r="C51" s="2633"/>
      <c r="D51" s="1218">
        <f t="shared" si="10"/>
        <v>0</v>
      </c>
      <c r="E51" s="765"/>
      <c r="F51" s="2366"/>
      <c r="G51" s="1216"/>
      <c r="H51" s="1220" t="str">
        <f t="shared" si="11"/>
        <v>——</v>
      </c>
      <c r="I51" s="763">
        <v>0.05</v>
      </c>
      <c r="J51" s="1217">
        <f t="shared" si="12"/>
        <v>0</v>
      </c>
      <c r="K51" s="1217">
        <f t="shared" si="13"/>
        <v>0</v>
      </c>
      <c r="L51" s="1217">
        <v>0</v>
      </c>
      <c r="M51" s="1217">
        <f t="shared" si="14"/>
        <v>0</v>
      </c>
      <c r="N51" s="1217">
        <f t="shared" si="14"/>
        <v>0</v>
      </c>
      <c r="AA51" s="1303"/>
      <c r="AB51" s="1303"/>
      <c r="AC51" s="1303"/>
      <c r="AD51" s="1303"/>
      <c r="AE51" s="1303"/>
      <c r="AF51" s="1303"/>
      <c r="AG51" s="1303"/>
      <c r="AH51" s="1303"/>
      <c r="AI51" s="1303"/>
      <c r="AJ51" s="1303"/>
      <c r="AK51" s="1303"/>
    </row>
    <row r="52" spans="1:37" s="1302" customFormat="1" ht="24">
      <c r="A52" s="2741" t="s">
        <v>2827</v>
      </c>
      <c r="B52" s="2745">
        <f>估价对象房地状况!C24</f>
        <v>0</v>
      </c>
      <c r="C52" s="2633"/>
      <c r="D52" s="1218">
        <f t="shared" si="10"/>
        <v>0</v>
      </c>
      <c r="E52" s="765"/>
      <c r="F52" s="2366"/>
      <c r="G52" s="1216"/>
      <c r="H52" s="1220" t="str">
        <f t="shared" si="11"/>
        <v>——</v>
      </c>
      <c r="I52" s="763">
        <v>0.08</v>
      </c>
      <c r="J52" s="1217">
        <f t="shared" si="12"/>
        <v>0</v>
      </c>
      <c r="K52" s="1217">
        <f t="shared" si="13"/>
        <v>0</v>
      </c>
      <c r="L52" s="1217">
        <v>0</v>
      </c>
      <c r="M52" s="1217">
        <f t="shared" si="14"/>
        <v>0</v>
      </c>
      <c r="N52" s="1217">
        <f t="shared" si="14"/>
        <v>0</v>
      </c>
      <c r="AA52" s="1303"/>
      <c r="AB52" s="1303"/>
      <c r="AC52" s="1303"/>
      <c r="AD52" s="1303"/>
      <c r="AE52" s="1303"/>
      <c r="AF52" s="1303"/>
      <c r="AG52" s="1303"/>
      <c r="AH52" s="1303"/>
      <c r="AI52" s="1303"/>
      <c r="AJ52" s="1303"/>
      <c r="AK52" s="1303"/>
    </row>
    <row r="53" spans="1:37" s="1302" customFormat="1" ht="24">
      <c r="A53" s="2741" t="s">
        <v>2828</v>
      </c>
      <c r="B53" s="2747" t="s">
        <v>2829</v>
      </c>
      <c r="C53" s="2633"/>
      <c r="D53" s="1218">
        <f t="shared" si="10"/>
        <v>0</v>
      </c>
      <c r="E53" s="765"/>
      <c r="F53" s="2366"/>
      <c r="G53" s="1216"/>
      <c r="H53" s="1220" t="str">
        <f t="shared" si="11"/>
        <v>——</v>
      </c>
      <c r="I53" s="763">
        <v>0.03</v>
      </c>
      <c r="J53" s="1217">
        <f t="shared" si="12"/>
        <v>0</v>
      </c>
      <c r="K53" s="1217">
        <f t="shared" si="13"/>
        <v>0</v>
      </c>
      <c r="L53" s="1217">
        <v>0</v>
      </c>
      <c r="M53" s="1217">
        <f t="shared" si="14"/>
        <v>0</v>
      </c>
      <c r="N53" s="1217">
        <f t="shared" si="14"/>
        <v>0</v>
      </c>
      <c r="AA53" s="1303"/>
      <c r="AB53" s="1303"/>
      <c r="AC53" s="1303"/>
      <c r="AD53" s="1303"/>
      <c r="AE53" s="1303"/>
      <c r="AF53" s="1303"/>
      <c r="AG53" s="1303"/>
      <c r="AH53" s="1303"/>
      <c r="AI53" s="1303"/>
      <c r="AJ53" s="1303"/>
      <c r="AK53" s="1303"/>
    </row>
    <row r="54" spans="1:37" s="1302" customFormat="1" ht="24">
      <c r="A54" s="2748" t="s">
        <v>2830</v>
      </c>
      <c r="B54" s="1655">
        <f>估价对象房地状况!C21</f>
        <v>0</v>
      </c>
      <c r="C54" s="2633"/>
      <c r="D54" s="1218">
        <f t="shared" si="10"/>
        <v>0</v>
      </c>
      <c r="E54" s="765"/>
      <c r="F54" s="2366"/>
      <c r="G54" s="1216"/>
      <c r="H54" s="1220" t="str">
        <f t="shared" si="11"/>
        <v>——</v>
      </c>
      <c r="I54" s="763">
        <v>0.05</v>
      </c>
      <c r="J54" s="1217">
        <f t="shared" si="12"/>
        <v>0</v>
      </c>
      <c r="K54" s="1217">
        <f t="shared" si="13"/>
        <v>0</v>
      </c>
      <c r="L54" s="1217">
        <v>0</v>
      </c>
      <c r="M54" s="1217">
        <f t="shared" si="14"/>
        <v>0</v>
      </c>
      <c r="N54" s="1217">
        <f t="shared" si="14"/>
        <v>0</v>
      </c>
      <c r="AA54" s="1303"/>
      <c r="AB54" s="1303"/>
      <c r="AC54" s="1303"/>
      <c r="AD54" s="1303"/>
      <c r="AE54" s="1303"/>
      <c r="AF54" s="1303"/>
      <c r="AG54" s="1303"/>
      <c r="AH54" s="1303"/>
      <c r="AI54" s="1303"/>
      <c r="AJ54" s="1303"/>
      <c r="AK54" s="1303"/>
    </row>
    <row r="55" spans="1:37" s="1302" customFormat="1" ht="24">
      <c r="A55" s="2748" t="s">
        <v>2831</v>
      </c>
      <c r="B55" s="2745">
        <f>估价对象房地状况!C22</f>
        <v>0</v>
      </c>
      <c r="C55" s="2633"/>
      <c r="D55" s="1218">
        <f t="shared" si="10"/>
        <v>0</v>
      </c>
      <c r="E55" s="765"/>
      <c r="F55" s="2366"/>
      <c r="G55" s="1216"/>
      <c r="H55" s="1220" t="str">
        <f t="shared" si="11"/>
        <v>——</v>
      </c>
      <c r="I55" s="763">
        <v>0.1</v>
      </c>
      <c r="J55" s="1217">
        <f t="shared" si="12"/>
        <v>0</v>
      </c>
      <c r="K55" s="1217">
        <f t="shared" si="13"/>
        <v>0</v>
      </c>
      <c r="L55" s="1217">
        <v>0</v>
      </c>
      <c r="M55" s="1217">
        <f t="shared" si="14"/>
        <v>0</v>
      </c>
      <c r="N55" s="1217">
        <f t="shared" si="14"/>
        <v>0</v>
      </c>
      <c r="AA55" s="1303"/>
      <c r="AB55" s="1303"/>
      <c r="AC55" s="1303"/>
      <c r="AD55" s="1303"/>
      <c r="AE55" s="1303"/>
      <c r="AF55" s="1303"/>
      <c r="AG55" s="1303"/>
      <c r="AH55" s="1303"/>
      <c r="AI55" s="1303"/>
      <c r="AJ55" s="1303"/>
      <c r="AK55" s="1303"/>
    </row>
    <row r="56" spans="1:37" s="1302" customFormat="1" ht="24.75" thickBot="1">
      <c r="A56" s="2749" t="s">
        <v>2832</v>
      </c>
      <c r="B56" s="2750">
        <f>估价对象房地状况!C20</f>
        <v>0</v>
      </c>
      <c r="C56" s="2633"/>
      <c r="D56" s="1218">
        <f t="shared" si="10"/>
        <v>0</v>
      </c>
      <c r="E56" s="768"/>
      <c r="F56" s="2366"/>
      <c r="G56" s="1216"/>
      <c r="H56" s="1220" t="str">
        <f t="shared" si="11"/>
        <v>——</v>
      </c>
      <c r="I56" s="767">
        <v>0.06</v>
      </c>
      <c r="J56" s="1217">
        <f t="shared" si="12"/>
        <v>0</v>
      </c>
      <c r="K56" s="1217">
        <f t="shared" si="13"/>
        <v>0</v>
      </c>
      <c r="L56" s="1217">
        <v>0</v>
      </c>
      <c r="M56" s="1217">
        <f t="shared" si="14"/>
        <v>0</v>
      </c>
      <c r="N56" s="1217">
        <f t="shared" si="14"/>
        <v>0</v>
      </c>
      <c r="AA56" s="1303"/>
      <c r="AB56" s="1303"/>
      <c r="AC56" s="1303"/>
      <c r="AD56" s="1303"/>
      <c r="AE56" s="1303"/>
      <c r="AF56" s="1303"/>
      <c r="AG56" s="1303"/>
      <c r="AH56" s="1303"/>
      <c r="AI56" s="1303"/>
      <c r="AJ56" s="1303"/>
      <c r="AK56" s="1303"/>
    </row>
    <row r="57" spans="1:37" s="1302" customFormat="1" ht="15">
      <c r="A57" s="2737" t="s">
        <v>2833</v>
      </c>
      <c r="B57" s="2738">
        <f>1+E59</f>
        <v>1</v>
      </c>
      <c r="C57" s="757"/>
      <c r="D57" s="757"/>
      <c r="E57" s="758"/>
      <c r="F57" s="2740"/>
      <c r="G57" s="6"/>
      <c r="H57" s="6"/>
      <c r="I57" s="6"/>
      <c r="J57" s="7"/>
      <c r="K57" s="7"/>
      <c r="L57" s="7"/>
      <c r="M57" s="7"/>
      <c r="N57" s="7"/>
      <c r="AA57" s="1303"/>
      <c r="AB57" s="1303"/>
      <c r="AC57" s="1303"/>
      <c r="AD57" s="1303"/>
      <c r="AE57" s="1303"/>
      <c r="AF57" s="1303"/>
      <c r="AG57" s="1303"/>
      <c r="AH57" s="1303"/>
      <c r="AI57" s="1303"/>
      <c r="AJ57" s="1303"/>
      <c r="AK57" s="1303"/>
    </row>
    <row r="58" spans="1:37" s="1302" customFormat="1" ht="24.75">
      <c r="A58" s="2741" t="s">
        <v>2814</v>
      </c>
      <c r="B58" s="1736"/>
      <c r="C58" s="1736" t="s">
        <v>2816</v>
      </c>
      <c r="D58" s="1736" t="s">
        <v>2817</v>
      </c>
      <c r="E58" s="762" t="s">
        <v>2818</v>
      </c>
      <c r="F58" s="2742" t="s">
        <v>2834</v>
      </c>
      <c r="G58" s="1736" t="s">
        <v>754</v>
      </c>
      <c r="H58" s="2743" t="s">
        <v>2820</v>
      </c>
      <c r="I58" s="1736" t="s">
        <v>2821</v>
      </c>
      <c r="J58" s="546" t="s">
        <v>2468</v>
      </c>
      <c r="K58" s="546" t="s">
        <v>2469</v>
      </c>
      <c r="L58" s="546" t="s">
        <v>2470</v>
      </c>
      <c r="M58" s="546" t="s">
        <v>2471</v>
      </c>
      <c r="N58" s="546" t="s">
        <v>2472</v>
      </c>
      <c r="AA58" s="1303"/>
      <c r="AB58" s="1303"/>
      <c r="AC58" s="1303"/>
      <c r="AD58" s="1303"/>
      <c r="AE58" s="1303"/>
      <c r="AF58" s="1303"/>
      <c r="AG58" s="1303"/>
      <c r="AH58" s="1303"/>
      <c r="AI58" s="1303"/>
      <c r="AJ58" s="1303"/>
      <c r="AK58" s="1303"/>
    </row>
    <row r="59" spans="1:37" s="1302" customFormat="1" ht="24">
      <c r="A59" s="2741" t="s">
        <v>2835</v>
      </c>
      <c r="B59" s="2744">
        <f>估价对象房地状况!C17</f>
        <v>0</v>
      </c>
      <c r="C59" s="2633"/>
      <c r="D59" s="1218">
        <f t="shared" ref="D59:D67" si="15">SUMIF($J$58:$N$58,C59,J59:N59)</f>
        <v>0</v>
      </c>
      <c r="E59" s="764">
        <f>ROUND(SUM(D59:D67),4)</f>
        <v>0</v>
      </c>
      <c r="F59" s="2366" t="str">
        <f>IF(E2="办公",SUMIF(L1:L12,G2,N1:N12),"——")</f>
        <v>——</v>
      </c>
      <c r="G59" s="1216"/>
      <c r="H59" s="1220" t="str">
        <f t="shared" ref="H59:H67" si="16">IFERROR(ROUNDDOWN($F$59*I59/2,4),"——")</f>
        <v>——</v>
      </c>
      <c r="I59" s="763">
        <v>0.24</v>
      </c>
      <c r="J59" s="1217">
        <f t="shared" ref="J59:J67" si="17">K59+$G59</f>
        <v>0</v>
      </c>
      <c r="K59" s="1217">
        <f t="shared" ref="K59:K67" si="18">$L59+$G59</f>
        <v>0</v>
      </c>
      <c r="L59" s="1217">
        <v>0</v>
      </c>
      <c r="M59" s="1217">
        <f t="shared" ref="M59:N67" si="19">L59-$G59</f>
        <v>0</v>
      </c>
      <c r="N59" s="1217">
        <f t="shared" si="19"/>
        <v>0</v>
      </c>
      <c r="AA59" s="1303"/>
      <c r="AB59" s="1303"/>
      <c r="AC59" s="1303"/>
      <c r="AD59" s="1303"/>
      <c r="AE59" s="1303"/>
      <c r="AF59" s="1303"/>
      <c r="AG59" s="1303"/>
      <c r="AH59" s="1303"/>
      <c r="AI59" s="1303"/>
      <c r="AJ59" s="1303"/>
      <c r="AK59" s="1303"/>
    </row>
    <row r="60" spans="1:37" s="1302" customFormat="1" ht="51">
      <c r="A60" s="2741" t="s">
        <v>2823</v>
      </c>
      <c r="B60" s="2745" t="str">
        <f>估价对象房地状况!C18</f>
        <v>估价对象周边道路状况、公共交通通达情况、停车便捷程度，综合评价交通便捷度较好</v>
      </c>
      <c r="C60" s="2633"/>
      <c r="D60" s="1218">
        <f t="shared" si="15"/>
        <v>0</v>
      </c>
      <c r="E60" s="765"/>
      <c r="F60" s="2366"/>
      <c r="G60" s="1216"/>
      <c r="H60" s="1220" t="str">
        <f t="shared" si="16"/>
        <v>——</v>
      </c>
      <c r="I60" s="763">
        <v>0.3</v>
      </c>
      <c r="J60" s="1217">
        <f t="shared" si="17"/>
        <v>0</v>
      </c>
      <c r="K60" s="1217">
        <f t="shared" si="18"/>
        <v>0</v>
      </c>
      <c r="L60" s="1217">
        <v>0</v>
      </c>
      <c r="M60" s="1217">
        <f t="shared" si="19"/>
        <v>0</v>
      </c>
      <c r="N60" s="1217">
        <f t="shared" si="19"/>
        <v>0</v>
      </c>
      <c r="AA60" s="1303"/>
      <c r="AB60" s="1303"/>
      <c r="AC60" s="1303"/>
      <c r="AD60" s="1303"/>
      <c r="AE60" s="1303"/>
      <c r="AF60" s="1303"/>
      <c r="AG60" s="1303"/>
      <c r="AH60" s="1303"/>
      <c r="AI60" s="1303"/>
      <c r="AJ60" s="1303"/>
      <c r="AK60" s="1303"/>
    </row>
    <row r="61" spans="1:37" s="1302" customFormat="1" ht="24">
      <c r="A61" s="2741" t="s">
        <v>2824</v>
      </c>
      <c r="B61" s="2745">
        <f>估价对象房地状况!C19</f>
        <v>0</v>
      </c>
      <c r="C61" s="2633"/>
      <c r="D61" s="1218">
        <f t="shared" si="15"/>
        <v>0</v>
      </c>
      <c r="E61" s="765"/>
      <c r="F61" s="2366"/>
      <c r="G61" s="1216"/>
      <c r="H61" s="1220" t="str">
        <f t="shared" si="16"/>
        <v>——</v>
      </c>
      <c r="I61" s="763">
        <v>0.08</v>
      </c>
      <c r="J61" s="1217">
        <f t="shared" si="17"/>
        <v>0</v>
      </c>
      <c r="K61" s="1217">
        <f t="shared" si="18"/>
        <v>0</v>
      </c>
      <c r="L61" s="1217">
        <v>0</v>
      </c>
      <c r="M61" s="1217">
        <f t="shared" si="19"/>
        <v>0</v>
      </c>
      <c r="N61" s="1217">
        <f t="shared" si="19"/>
        <v>0</v>
      </c>
      <c r="AA61" s="1303"/>
      <c r="AB61" s="1303"/>
      <c r="AC61" s="1303"/>
      <c r="AD61" s="1303"/>
      <c r="AE61" s="1303"/>
      <c r="AF61" s="1303"/>
      <c r="AG61" s="1303"/>
      <c r="AH61" s="1303"/>
      <c r="AI61" s="1303"/>
      <c r="AJ61" s="1303"/>
      <c r="AK61" s="1303"/>
    </row>
    <row r="62" spans="1:37" s="1302" customFormat="1" ht="36.75">
      <c r="A62" s="2741" t="s">
        <v>2825</v>
      </c>
      <c r="B62" s="2746" t="s">
        <v>2826</v>
      </c>
      <c r="C62" s="2633"/>
      <c r="D62" s="1218">
        <f t="shared" si="15"/>
        <v>0</v>
      </c>
      <c r="E62" s="765"/>
      <c r="F62" s="2366"/>
      <c r="G62" s="1216"/>
      <c r="H62" s="1220" t="str">
        <f t="shared" si="16"/>
        <v>——</v>
      </c>
      <c r="I62" s="763">
        <v>0.04</v>
      </c>
      <c r="J62" s="1217">
        <f t="shared" si="17"/>
        <v>0</v>
      </c>
      <c r="K62" s="1217">
        <f t="shared" si="18"/>
        <v>0</v>
      </c>
      <c r="L62" s="1217">
        <v>0</v>
      </c>
      <c r="M62" s="1217">
        <f t="shared" si="19"/>
        <v>0</v>
      </c>
      <c r="N62" s="1217">
        <f t="shared" si="19"/>
        <v>0</v>
      </c>
      <c r="AA62" s="1303"/>
      <c r="AB62" s="1303"/>
      <c r="AC62" s="1303"/>
      <c r="AD62" s="1303"/>
      <c r="AE62" s="1303"/>
      <c r="AF62" s="1303"/>
      <c r="AG62" s="1303"/>
      <c r="AH62" s="1303"/>
      <c r="AI62" s="1303"/>
      <c r="AJ62" s="1303"/>
      <c r="AK62" s="1303"/>
    </row>
    <row r="63" spans="1:37" s="1302" customFormat="1" ht="24">
      <c r="A63" s="2741" t="s">
        <v>2827</v>
      </c>
      <c r="B63" s="2745">
        <f>估价对象房地状况!C24</f>
        <v>0</v>
      </c>
      <c r="C63" s="2633"/>
      <c r="D63" s="1218">
        <f t="shared" si="15"/>
        <v>0</v>
      </c>
      <c r="E63" s="765"/>
      <c r="F63" s="2366"/>
      <c r="G63" s="1216"/>
      <c r="H63" s="1220" t="str">
        <f t="shared" si="16"/>
        <v>——</v>
      </c>
      <c r="I63" s="763">
        <v>0.05</v>
      </c>
      <c r="J63" s="1217">
        <f t="shared" si="17"/>
        <v>0</v>
      </c>
      <c r="K63" s="1217">
        <f t="shared" si="18"/>
        <v>0</v>
      </c>
      <c r="L63" s="1217">
        <v>0</v>
      </c>
      <c r="M63" s="1217">
        <f t="shared" si="19"/>
        <v>0</v>
      </c>
      <c r="N63" s="1217">
        <f t="shared" si="19"/>
        <v>0</v>
      </c>
      <c r="AA63" s="1303"/>
      <c r="AB63" s="1303"/>
      <c r="AC63" s="1303"/>
      <c r="AD63" s="1303"/>
      <c r="AE63" s="1303"/>
      <c r="AF63" s="1303"/>
      <c r="AG63" s="1303"/>
      <c r="AH63" s="1303"/>
      <c r="AI63" s="1303"/>
      <c r="AJ63" s="1303"/>
      <c r="AK63" s="1303"/>
    </row>
    <row r="64" spans="1:37" s="1302" customFormat="1" ht="24">
      <c r="A64" s="2741" t="s">
        <v>2828</v>
      </c>
      <c r="B64" s="2747" t="s">
        <v>2829</v>
      </c>
      <c r="C64" s="2633"/>
      <c r="D64" s="1218">
        <f t="shared" si="15"/>
        <v>0</v>
      </c>
      <c r="E64" s="765"/>
      <c r="F64" s="2366"/>
      <c r="G64" s="1216"/>
      <c r="H64" s="1220" t="str">
        <f t="shared" si="16"/>
        <v>——</v>
      </c>
      <c r="I64" s="763">
        <v>0.05</v>
      </c>
      <c r="J64" s="1217">
        <f t="shared" si="17"/>
        <v>0</v>
      </c>
      <c r="K64" s="1217">
        <f t="shared" si="18"/>
        <v>0</v>
      </c>
      <c r="L64" s="1217">
        <v>0</v>
      </c>
      <c r="M64" s="1217">
        <f t="shared" si="19"/>
        <v>0</v>
      </c>
      <c r="N64" s="1217">
        <f t="shared" si="19"/>
        <v>0</v>
      </c>
      <c r="AA64" s="1303"/>
      <c r="AB64" s="1303"/>
      <c r="AC64" s="1303"/>
      <c r="AD64" s="1303"/>
      <c r="AE64" s="1303"/>
      <c r="AF64" s="1303"/>
      <c r="AG64" s="1303"/>
      <c r="AH64" s="1303"/>
      <c r="AI64" s="1303"/>
      <c r="AJ64" s="1303"/>
      <c r="AK64" s="1303"/>
    </row>
    <row r="65" spans="1:37" s="1302" customFormat="1" ht="24">
      <c r="A65" s="2741" t="s">
        <v>2830</v>
      </c>
      <c r="B65" s="1655">
        <f>估价对象房地状况!C21</f>
        <v>0</v>
      </c>
      <c r="C65" s="2633"/>
      <c r="D65" s="1218">
        <f t="shared" si="15"/>
        <v>0</v>
      </c>
      <c r="E65" s="765"/>
      <c r="F65" s="2366"/>
      <c r="G65" s="1216"/>
      <c r="H65" s="1220" t="str">
        <f t="shared" si="16"/>
        <v>——</v>
      </c>
      <c r="I65" s="763">
        <v>0.06</v>
      </c>
      <c r="J65" s="1217">
        <f t="shared" si="17"/>
        <v>0</v>
      </c>
      <c r="K65" s="1217">
        <f t="shared" si="18"/>
        <v>0</v>
      </c>
      <c r="L65" s="1217">
        <v>0</v>
      </c>
      <c r="M65" s="1217">
        <f t="shared" si="19"/>
        <v>0</v>
      </c>
      <c r="N65" s="1217">
        <f t="shared" si="19"/>
        <v>0</v>
      </c>
      <c r="AA65" s="1303"/>
      <c r="AB65" s="1303"/>
      <c r="AC65" s="1303"/>
      <c r="AD65" s="1303"/>
      <c r="AE65" s="1303"/>
      <c r="AF65" s="1303"/>
      <c r="AG65" s="1303"/>
      <c r="AH65" s="1303"/>
      <c r="AI65" s="1303"/>
      <c r="AJ65" s="1303"/>
      <c r="AK65" s="1303"/>
    </row>
    <row r="66" spans="1:37" s="1302" customFormat="1" ht="24">
      <c r="A66" s="2741" t="s">
        <v>2831</v>
      </c>
      <c r="B66" s="1655">
        <f>估价对象房地状况!C22</f>
        <v>0</v>
      </c>
      <c r="C66" s="2633"/>
      <c r="D66" s="1218">
        <f t="shared" si="15"/>
        <v>0</v>
      </c>
      <c r="E66" s="765"/>
      <c r="F66" s="2366"/>
      <c r="G66" s="1216"/>
      <c r="H66" s="1220" t="str">
        <f t="shared" si="16"/>
        <v>——</v>
      </c>
      <c r="I66" s="763">
        <v>0.12</v>
      </c>
      <c r="J66" s="1217">
        <f t="shared" si="17"/>
        <v>0</v>
      </c>
      <c r="K66" s="1217">
        <f t="shared" si="18"/>
        <v>0</v>
      </c>
      <c r="L66" s="1217">
        <v>0</v>
      </c>
      <c r="M66" s="1217">
        <f t="shared" si="19"/>
        <v>0</v>
      </c>
      <c r="N66" s="1217">
        <f t="shared" si="19"/>
        <v>0</v>
      </c>
      <c r="AA66" s="1303"/>
      <c r="AB66" s="1303"/>
      <c r="AC66" s="1303"/>
      <c r="AD66" s="1303"/>
      <c r="AE66" s="1303"/>
      <c r="AF66" s="1303"/>
      <c r="AG66" s="1303"/>
      <c r="AH66" s="1303"/>
      <c r="AI66" s="1303"/>
      <c r="AJ66" s="1303"/>
      <c r="AK66" s="1303"/>
    </row>
    <row r="67" spans="1:37" s="1302" customFormat="1" ht="24.75" thickBot="1">
      <c r="A67" s="2749" t="s">
        <v>2832</v>
      </c>
      <c r="B67" s="2751">
        <f>估价对象房地状况!C20</f>
        <v>0</v>
      </c>
      <c r="C67" s="2633"/>
      <c r="D67" s="1218">
        <f t="shared" si="15"/>
        <v>0</v>
      </c>
      <c r="E67" s="768"/>
      <c r="F67" s="2366"/>
      <c r="G67" s="1216"/>
      <c r="H67" s="1220" t="str">
        <f t="shared" si="16"/>
        <v>——</v>
      </c>
      <c r="I67" s="767">
        <v>0.06</v>
      </c>
      <c r="J67" s="1217">
        <f t="shared" si="17"/>
        <v>0</v>
      </c>
      <c r="K67" s="1217">
        <f t="shared" si="18"/>
        <v>0</v>
      </c>
      <c r="L67" s="1217">
        <v>0</v>
      </c>
      <c r="M67" s="1217">
        <f t="shared" si="19"/>
        <v>0</v>
      </c>
      <c r="N67" s="1217">
        <f t="shared" si="19"/>
        <v>0</v>
      </c>
      <c r="AA67" s="1303"/>
      <c r="AB67" s="1303"/>
      <c r="AC67" s="1303"/>
      <c r="AD67" s="1303"/>
      <c r="AE67" s="1303"/>
      <c r="AF67" s="1303"/>
      <c r="AG67" s="1303"/>
      <c r="AH67" s="1303"/>
      <c r="AI67" s="1303"/>
      <c r="AJ67" s="1303"/>
      <c r="AK67" s="1303"/>
    </row>
    <row r="68" spans="1:37" s="1302" customFormat="1" ht="15">
      <c r="A68" s="2737" t="s">
        <v>2836</v>
      </c>
      <c r="B68" s="2738">
        <f>1+E70</f>
        <v>1</v>
      </c>
      <c r="C68" s="757"/>
      <c r="D68" s="757"/>
      <c r="E68" s="758"/>
      <c r="F68" s="2740"/>
      <c r="G68" s="6"/>
      <c r="H68" s="6"/>
      <c r="I68" s="6"/>
      <c r="J68" s="7"/>
      <c r="K68" s="7"/>
      <c r="L68" s="7"/>
      <c r="M68" s="7"/>
      <c r="N68" s="7"/>
      <c r="AA68" s="1303"/>
      <c r="AB68" s="1303"/>
      <c r="AC68" s="1303"/>
      <c r="AD68" s="1303"/>
      <c r="AE68" s="1303"/>
      <c r="AF68" s="1303"/>
      <c r="AG68" s="1303"/>
      <c r="AH68" s="1303"/>
      <c r="AI68" s="1303"/>
      <c r="AJ68" s="1303"/>
      <c r="AK68" s="1303"/>
    </row>
    <row r="69" spans="1:37" s="1302" customFormat="1" ht="24.75">
      <c r="A69" s="2741" t="s">
        <v>2814</v>
      </c>
      <c r="B69" s="1736"/>
      <c r="C69" s="1736" t="s">
        <v>2816</v>
      </c>
      <c r="D69" s="1736" t="s">
        <v>2817</v>
      </c>
      <c r="E69" s="762" t="s">
        <v>2818</v>
      </c>
      <c r="F69" s="2742" t="s">
        <v>2834</v>
      </c>
      <c r="G69" s="1736" t="s">
        <v>754</v>
      </c>
      <c r="H69" s="2743" t="s">
        <v>2820</v>
      </c>
      <c r="I69" s="1736" t="s">
        <v>2821</v>
      </c>
      <c r="J69" s="546" t="s">
        <v>2468</v>
      </c>
      <c r="K69" s="546" t="s">
        <v>2469</v>
      </c>
      <c r="L69" s="546" t="s">
        <v>2470</v>
      </c>
      <c r="M69" s="546" t="s">
        <v>2471</v>
      </c>
      <c r="N69" s="546" t="s">
        <v>2472</v>
      </c>
      <c r="AA69" s="1303"/>
      <c r="AB69" s="1303"/>
      <c r="AC69" s="1303"/>
      <c r="AD69" s="1303"/>
      <c r="AE69" s="1303"/>
      <c r="AF69" s="1303"/>
      <c r="AG69" s="1303"/>
      <c r="AH69" s="1303"/>
      <c r="AI69" s="1303"/>
      <c r="AJ69" s="1303"/>
      <c r="AK69" s="1303"/>
    </row>
    <row r="70" spans="1:37" s="1302" customFormat="1" ht="51">
      <c r="A70" s="2741" t="s">
        <v>2837</v>
      </c>
      <c r="B70" s="2744" t="str">
        <f>估价对象房地状况!C15</f>
        <v>估价对象周边居住用地比例、居住小区规模和社区发展完善程度，综合评价居住社区成熟度一般</v>
      </c>
      <c r="C70" s="2633"/>
      <c r="D70" s="1218">
        <f t="shared" ref="D70:D78" si="20">SUMIF($J$69:$N$69,C70,J70:N70)</f>
        <v>0</v>
      </c>
      <c r="E70" s="764">
        <f>ROUND(SUM(D70:D78),4)</f>
        <v>0</v>
      </c>
      <c r="F70" s="2366" t="str">
        <f>IF(E2="住宅",SUMIF(L1:L12,G2,N1:N12),"——")</f>
        <v>——</v>
      </c>
      <c r="G70" s="1216"/>
      <c r="H70" s="1220" t="str">
        <f t="shared" ref="H70:H78" si="21">IFERROR(ROUNDDOWN($F$70*I70/2,4),"——")</f>
        <v>——</v>
      </c>
      <c r="I70" s="763">
        <v>0.14000000000000001</v>
      </c>
      <c r="J70" s="1217">
        <f t="shared" ref="J70:J78" si="22">K70+$G70</f>
        <v>0</v>
      </c>
      <c r="K70" s="1217">
        <f t="shared" ref="K70:K78" si="23">$L70+$G70</f>
        <v>0</v>
      </c>
      <c r="L70" s="1217">
        <v>0</v>
      </c>
      <c r="M70" s="1217">
        <f t="shared" ref="M70:N78" si="24">L70-$G70</f>
        <v>0</v>
      </c>
      <c r="N70" s="1217">
        <f t="shared" si="24"/>
        <v>0</v>
      </c>
      <c r="AA70" s="1303"/>
      <c r="AB70" s="1303"/>
      <c r="AC70" s="1303"/>
      <c r="AD70" s="1303"/>
      <c r="AE70" s="1303"/>
      <c r="AF70" s="1303"/>
      <c r="AG70" s="1303"/>
      <c r="AH70" s="1303"/>
      <c r="AI70" s="1303"/>
      <c r="AJ70" s="1303"/>
      <c r="AK70" s="1303"/>
    </row>
    <row r="71" spans="1:37" s="1302" customFormat="1" ht="51">
      <c r="A71" s="2741" t="s">
        <v>2823</v>
      </c>
      <c r="B71" s="2745" t="str">
        <f>估价对象房地状况!C18</f>
        <v>估价对象周边道路状况、公共交通通达情况、停车便捷程度，综合评价交通便捷度较好</v>
      </c>
      <c r="C71" s="2633"/>
      <c r="D71" s="1218">
        <f t="shared" si="20"/>
        <v>0</v>
      </c>
      <c r="E71" s="769"/>
      <c r="F71" s="2366"/>
      <c r="G71" s="1216"/>
      <c r="H71" s="1220" t="str">
        <f t="shared" si="21"/>
        <v>——</v>
      </c>
      <c r="I71" s="763">
        <v>0.3</v>
      </c>
      <c r="J71" s="1217">
        <f t="shared" si="22"/>
        <v>0</v>
      </c>
      <c r="K71" s="1217">
        <f t="shared" si="23"/>
        <v>0</v>
      </c>
      <c r="L71" s="1217">
        <v>0</v>
      </c>
      <c r="M71" s="1217">
        <f t="shared" si="24"/>
        <v>0</v>
      </c>
      <c r="N71" s="1217">
        <f t="shared" si="24"/>
        <v>0</v>
      </c>
      <c r="AA71" s="1303"/>
      <c r="AB71" s="1303"/>
      <c r="AC71" s="1303"/>
      <c r="AD71" s="1303"/>
      <c r="AE71" s="1303"/>
      <c r="AF71" s="1303"/>
      <c r="AG71" s="1303"/>
      <c r="AH71" s="1303"/>
      <c r="AI71" s="1303"/>
      <c r="AJ71" s="1303"/>
      <c r="AK71" s="1303"/>
    </row>
    <row r="72" spans="1:37" s="1302" customFormat="1" ht="24">
      <c r="A72" s="2741" t="s">
        <v>2824</v>
      </c>
      <c r="B72" s="2745">
        <f>估价对象房地状况!C19</f>
        <v>0</v>
      </c>
      <c r="C72" s="2633"/>
      <c r="D72" s="1218">
        <f t="shared" si="20"/>
        <v>0</v>
      </c>
      <c r="E72" s="769"/>
      <c r="F72" s="2366"/>
      <c r="G72" s="1216"/>
      <c r="H72" s="1220" t="str">
        <f t="shared" si="21"/>
        <v>——</v>
      </c>
      <c r="I72" s="763">
        <v>0.08</v>
      </c>
      <c r="J72" s="1217">
        <f t="shared" si="22"/>
        <v>0</v>
      </c>
      <c r="K72" s="1217">
        <f t="shared" si="23"/>
        <v>0</v>
      </c>
      <c r="L72" s="1217">
        <v>0</v>
      </c>
      <c r="M72" s="1217">
        <f t="shared" si="24"/>
        <v>0</v>
      </c>
      <c r="N72" s="1217">
        <f t="shared" si="24"/>
        <v>0</v>
      </c>
      <c r="AA72" s="1303"/>
      <c r="AB72" s="1303"/>
      <c r="AC72" s="1303"/>
      <c r="AD72" s="1303"/>
      <c r="AE72" s="1303"/>
      <c r="AF72" s="1303"/>
      <c r="AG72" s="1303"/>
      <c r="AH72" s="1303"/>
      <c r="AI72" s="1303"/>
      <c r="AJ72" s="1303"/>
      <c r="AK72" s="1303"/>
    </row>
    <row r="73" spans="1:37" s="1302" customFormat="1" ht="14.25">
      <c r="A73" s="2741" t="s">
        <v>2838</v>
      </c>
      <c r="B73" s="2745">
        <f>估价对象房地状况!C24</f>
        <v>0</v>
      </c>
      <c r="C73" s="2633"/>
      <c r="D73" s="1218">
        <f t="shared" si="20"/>
        <v>0</v>
      </c>
      <c r="E73" s="769"/>
      <c r="F73" s="2366"/>
      <c r="G73" s="1216"/>
      <c r="H73" s="1220" t="str">
        <f t="shared" si="21"/>
        <v>——</v>
      </c>
      <c r="I73" s="763">
        <v>0.04</v>
      </c>
      <c r="J73" s="1217">
        <f t="shared" si="22"/>
        <v>0</v>
      </c>
      <c r="K73" s="1217">
        <f t="shared" si="23"/>
        <v>0</v>
      </c>
      <c r="L73" s="1217">
        <v>0</v>
      </c>
      <c r="M73" s="1217">
        <f t="shared" si="24"/>
        <v>0</v>
      </c>
      <c r="N73" s="1217">
        <f t="shared" si="24"/>
        <v>0</v>
      </c>
      <c r="AA73" s="1303"/>
      <c r="AB73" s="1303"/>
      <c r="AC73" s="1303"/>
      <c r="AD73" s="1303"/>
      <c r="AE73" s="1303"/>
      <c r="AF73" s="1303"/>
      <c r="AG73" s="1303"/>
      <c r="AH73" s="1303"/>
      <c r="AI73" s="1303"/>
      <c r="AJ73" s="1303"/>
      <c r="AK73" s="1303"/>
    </row>
    <row r="74" spans="1:37" s="1302" customFormat="1" ht="24">
      <c r="A74" s="2741" t="s">
        <v>2830</v>
      </c>
      <c r="B74" s="1655">
        <f>估价对象房地状况!C21</f>
        <v>0</v>
      </c>
      <c r="C74" s="2633"/>
      <c r="D74" s="1218">
        <f t="shared" si="20"/>
        <v>0</v>
      </c>
      <c r="E74" s="769"/>
      <c r="F74" s="2366"/>
      <c r="G74" s="1216"/>
      <c r="H74" s="1220" t="str">
        <f t="shared" si="21"/>
        <v>——</v>
      </c>
      <c r="I74" s="763">
        <v>0.08</v>
      </c>
      <c r="J74" s="1217">
        <f t="shared" si="22"/>
        <v>0</v>
      </c>
      <c r="K74" s="1217">
        <f t="shared" si="23"/>
        <v>0</v>
      </c>
      <c r="L74" s="1217">
        <v>0</v>
      </c>
      <c r="M74" s="1217">
        <f t="shared" si="24"/>
        <v>0</v>
      </c>
      <c r="N74" s="1217">
        <f t="shared" si="24"/>
        <v>0</v>
      </c>
      <c r="AA74" s="1303"/>
      <c r="AB74" s="1303"/>
      <c r="AC74" s="1303"/>
      <c r="AD74" s="1303"/>
      <c r="AE74" s="1303"/>
      <c r="AF74" s="1303"/>
      <c r="AG74" s="1303"/>
      <c r="AH74" s="1303"/>
      <c r="AI74" s="1303"/>
      <c r="AJ74" s="1303"/>
      <c r="AK74" s="1303"/>
    </row>
    <row r="75" spans="1:37" s="1302" customFormat="1" ht="24">
      <c r="A75" s="2741" t="s">
        <v>2831</v>
      </c>
      <c r="B75" s="1655">
        <f>估价对象房地状况!C22</f>
        <v>0</v>
      </c>
      <c r="C75" s="2633"/>
      <c r="D75" s="1218">
        <f t="shared" si="20"/>
        <v>0</v>
      </c>
      <c r="E75" s="769"/>
      <c r="F75" s="2366"/>
      <c r="G75" s="1216"/>
      <c r="H75" s="1220" t="str">
        <f t="shared" si="21"/>
        <v>——</v>
      </c>
      <c r="I75" s="763">
        <v>0.12</v>
      </c>
      <c r="J75" s="1217">
        <f t="shared" si="22"/>
        <v>0</v>
      </c>
      <c r="K75" s="1217">
        <f t="shared" si="23"/>
        <v>0</v>
      </c>
      <c r="L75" s="1217">
        <v>0</v>
      </c>
      <c r="M75" s="1217">
        <f t="shared" si="24"/>
        <v>0</v>
      </c>
      <c r="N75" s="1217">
        <f t="shared" si="24"/>
        <v>0</v>
      </c>
      <c r="AA75" s="1303"/>
      <c r="AB75" s="1303"/>
      <c r="AC75" s="1303"/>
      <c r="AD75" s="1303"/>
      <c r="AE75" s="1303"/>
      <c r="AF75" s="1303"/>
      <c r="AG75" s="1303"/>
      <c r="AH75" s="1303"/>
      <c r="AI75" s="1303"/>
      <c r="AJ75" s="1303"/>
      <c r="AK75" s="1303"/>
    </row>
    <row r="76" spans="1:37" s="2582" customFormat="1" ht="24">
      <c r="A76" s="2741" t="s">
        <v>2828</v>
      </c>
      <c r="B76" s="2747" t="s">
        <v>2829</v>
      </c>
      <c r="C76" s="2633"/>
      <c r="D76" s="1218">
        <f t="shared" si="20"/>
        <v>0</v>
      </c>
      <c r="E76" s="769"/>
      <c r="F76" s="2366"/>
      <c r="G76" s="1216"/>
      <c r="H76" s="1220" t="str">
        <f t="shared" si="21"/>
        <v>——</v>
      </c>
      <c r="I76" s="763">
        <v>0.05</v>
      </c>
      <c r="J76" s="1217">
        <f t="shared" si="22"/>
        <v>0</v>
      </c>
      <c r="K76" s="1217">
        <f t="shared" si="23"/>
        <v>0</v>
      </c>
      <c r="L76" s="1217">
        <v>0</v>
      </c>
      <c r="M76" s="1217">
        <f t="shared" si="24"/>
        <v>0</v>
      </c>
      <c r="N76" s="1217">
        <f t="shared" si="24"/>
        <v>0</v>
      </c>
      <c r="AA76" s="2752"/>
      <c r="AB76" s="1303"/>
      <c r="AC76" s="1303"/>
      <c r="AD76" s="1303"/>
      <c r="AE76" s="1303"/>
      <c r="AF76" s="1303"/>
      <c r="AG76" s="1303"/>
      <c r="AH76" s="2752"/>
      <c r="AI76" s="2752"/>
      <c r="AJ76" s="2752"/>
      <c r="AK76" s="2752"/>
    </row>
    <row r="77" spans="1:37" ht="24">
      <c r="A77" s="2741" t="s">
        <v>2832</v>
      </c>
      <c r="B77" s="2744">
        <f>估价对象房地状况!C20</f>
        <v>0</v>
      </c>
      <c r="C77" s="2633"/>
      <c r="D77" s="1218">
        <f t="shared" si="20"/>
        <v>0</v>
      </c>
      <c r="E77" s="769"/>
      <c r="F77" s="2366"/>
      <c r="G77" s="1216"/>
      <c r="H77" s="1220" t="str">
        <f t="shared" si="21"/>
        <v>——</v>
      </c>
      <c r="I77" s="763">
        <v>0.15</v>
      </c>
      <c r="J77" s="1217">
        <f t="shared" si="22"/>
        <v>0</v>
      </c>
      <c r="K77" s="1217">
        <f t="shared" si="23"/>
        <v>0</v>
      </c>
      <c r="L77" s="1217">
        <v>0</v>
      </c>
      <c r="M77" s="1217">
        <f t="shared" si="24"/>
        <v>0</v>
      </c>
      <c r="N77" s="1217">
        <f t="shared" si="24"/>
        <v>0</v>
      </c>
      <c r="Z77" s="2583"/>
      <c r="AA77" s="2659"/>
      <c r="AG77" s="1304"/>
      <c r="AK77" s="2659"/>
    </row>
    <row r="78" spans="1:37" ht="24.75" thickBot="1">
      <c r="A78" s="2749" t="s">
        <v>2839</v>
      </c>
      <c r="B78" s="2753"/>
      <c r="C78" s="2633"/>
      <c r="D78" s="1218">
        <f t="shared" si="20"/>
        <v>0</v>
      </c>
      <c r="E78" s="770"/>
      <c r="F78" s="2366"/>
      <c r="G78" s="1216"/>
      <c r="H78" s="1220" t="str">
        <f t="shared" si="21"/>
        <v>——</v>
      </c>
      <c r="I78" s="767">
        <v>0.04</v>
      </c>
      <c r="J78" s="1217">
        <f t="shared" si="22"/>
        <v>0</v>
      </c>
      <c r="K78" s="1217">
        <f t="shared" si="23"/>
        <v>0</v>
      </c>
      <c r="L78" s="1217">
        <v>0</v>
      </c>
      <c r="M78" s="1217">
        <f t="shared" si="24"/>
        <v>0</v>
      </c>
      <c r="N78" s="1217">
        <f t="shared" si="24"/>
        <v>0</v>
      </c>
      <c r="Z78" s="2583"/>
      <c r="AA78" s="2659"/>
      <c r="AG78" s="1304"/>
      <c r="AK78" s="2659"/>
    </row>
    <row r="79" spans="1:37" ht="15">
      <c r="A79" s="2737" t="s">
        <v>2840</v>
      </c>
      <c r="B79" s="2738">
        <f>1+E81</f>
        <v>1</v>
      </c>
      <c r="C79" s="757"/>
      <c r="D79" s="757"/>
      <c r="E79" s="758"/>
      <c r="F79" s="2740"/>
      <c r="G79" s="6"/>
      <c r="H79" s="6"/>
      <c r="I79" s="6"/>
      <c r="J79" s="7"/>
      <c r="K79" s="7"/>
      <c r="L79" s="7"/>
      <c r="M79" s="7"/>
      <c r="N79" s="7"/>
      <c r="Z79" s="2583"/>
      <c r="AA79" s="2659"/>
      <c r="AG79" s="1304"/>
      <c r="AK79" s="2659"/>
    </row>
    <row r="80" spans="1:37" ht="24.75">
      <c r="A80" s="2741" t="s">
        <v>2814</v>
      </c>
      <c r="B80" s="1736"/>
      <c r="C80" s="1736" t="s">
        <v>2816</v>
      </c>
      <c r="D80" s="1736" t="s">
        <v>2817</v>
      </c>
      <c r="E80" s="762" t="s">
        <v>2818</v>
      </c>
      <c r="F80" s="2742" t="s">
        <v>2834</v>
      </c>
      <c r="G80" s="1736" t="s">
        <v>754</v>
      </c>
      <c r="H80" s="2743" t="s">
        <v>2820</v>
      </c>
      <c r="I80" s="1736" t="s">
        <v>2821</v>
      </c>
      <c r="J80" s="546" t="s">
        <v>2468</v>
      </c>
      <c r="K80" s="546" t="s">
        <v>2469</v>
      </c>
      <c r="L80" s="546" t="s">
        <v>2470</v>
      </c>
      <c r="M80" s="546" t="s">
        <v>2471</v>
      </c>
      <c r="N80" s="546" t="s">
        <v>2472</v>
      </c>
      <c r="Z80" s="2583"/>
      <c r="AA80" s="2659"/>
      <c r="AG80" s="1304"/>
      <c r="AK80" s="2659"/>
    </row>
    <row r="81" spans="1:37" ht="24">
      <c r="A81" s="2741" t="s">
        <v>2841</v>
      </c>
      <c r="B81" s="2745">
        <f>估价对象房地状况!G15</f>
        <v>0</v>
      </c>
      <c r="C81" s="2633"/>
      <c r="D81" s="1218">
        <f t="shared" ref="D81:D88" si="25">SUMIF($J$80:$N$80,C81,J81:N81)</f>
        <v>0</v>
      </c>
      <c r="E81" s="764">
        <f>ROUND(SUM(D81:D88),4)</f>
        <v>0</v>
      </c>
      <c r="F81" s="2366" t="str">
        <f>IF(E2="工业",SUMIF(L1:L12,G2,N1:N12),"——")</f>
        <v>——</v>
      </c>
      <c r="G81" s="1216"/>
      <c r="H81" s="1220" t="str">
        <f t="shared" ref="H81:H88" si="26">IFERROR(ROUNDDOWN($F$81*I81/2,4),"——")</f>
        <v>——</v>
      </c>
      <c r="I81" s="763">
        <v>0.26</v>
      </c>
      <c r="J81" s="1217">
        <f t="shared" ref="J81:J88" si="27">K81+$G81</f>
        <v>0</v>
      </c>
      <c r="K81" s="1217">
        <f t="shared" ref="K81:K88" si="28">$L81+$G81</f>
        <v>0</v>
      </c>
      <c r="L81" s="1217">
        <v>0</v>
      </c>
      <c r="M81" s="1217">
        <f t="shared" ref="M81:N88" si="29">L81-$G81</f>
        <v>0</v>
      </c>
      <c r="N81" s="1217">
        <f t="shared" si="29"/>
        <v>0</v>
      </c>
      <c r="Z81" s="2583"/>
      <c r="AA81" s="2659"/>
      <c r="AG81" s="1304"/>
      <c r="AK81" s="2659"/>
    </row>
    <row r="82" spans="1:37" ht="14.25">
      <c r="A82" s="2741" t="s">
        <v>2823</v>
      </c>
      <c r="B82" s="2745">
        <f>估价对象房地状况!G16</f>
        <v>0</v>
      </c>
      <c r="C82" s="2633"/>
      <c r="D82" s="1218">
        <f t="shared" si="25"/>
        <v>0</v>
      </c>
      <c r="E82" s="769"/>
      <c r="F82" s="2366"/>
      <c r="G82" s="1216"/>
      <c r="H82" s="1220" t="str">
        <f t="shared" si="26"/>
        <v>——</v>
      </c>
      <c r="I82" s="763">
        <v>0.33</v>
      </c>
      <c r="J82" s="1217">
        <f t="shared" si="27"/>
        <v>0</v>
      </c>
      <c r="K82" s="1217">
        <f t="shared" si="28"/>
        <v>0</v>
      </c>
      <c r="L82" s="1217">
        <v>0</v>
      </c>
      <c r="M82" s="1217">
        <f t="shared" si="29"/>
        <v>0</v>
      </c>
      <c r="N82" s="1217">
        <f t="shared" si="29"/>
        <v>0</v>
      </c>
      <c r="Z82" s="2583"/>
      <c r="AA82" s="2659"/>
      <c r="AG82" s="1304"/>
      <c r="AK82" s="2659"/>
    </row>
    <row r="83" spans="1:37" ht="24">
      <c r="A83" s="2741" t="s">
        <v>2824</v>
      </c>
      <c r="B83" s="2745">
        <f>估价对象房地状况!G17</f>
        <v>0</v>
      </c>
      <c r="C83" s="2633"/>
      <c r="D83" s="1218">
        <f t="shared" si="25"/>
        <v>0</v>
      </c>
      <c r="E83" s="769"/>
      <c r="F83" s="2366"/>
      <c r="G83" s="1216"/>
      <c r="H83" s="1220" t="str">
        <f t="shared" si="26"/>
        <v>——</v>
      </c>
      <c r="I83" s="763">
        <v>0.05</v>
      </c>
      <c r="J83" s="1217">
        <f t="shared" si="27"/>
        <v>0</v>
      </c>
      <c r="K83" s="1217">
        <f t="shared" si="28"/>
        <v>0</v>
      </c>
      <c r="L83" s="1217">
        <v>0</v>
      </c>
      <c r="M83" s="1217">
        <f t="shared" si="29"/>
        <v>0</v>
      </c>
      <c r="N83" s="1217">
        <f t="shared" si="29"/>
        <v>0</v>
      </c>
      <c r="Z83" s="2583"/>
      <c r="AA83" s="2659"/>
      <c r="AG83" s="1304"/>
      <c r="AK83" s="2659"/>
    </row>
    <row r="84" spans="1:37" ht="14.25">
      <c r="A84" s="2741" t="s">
        <v>2838</v>
      </c>
      <c r="B84" s="2745">
        <f>估价对象房地状况!G22</f>
        <v>0</v>
      </c>
      <c r="C84" s="2633"/>
      <c r="D84" s="1218">
        <f t="shared" si="25"/>
        <v>0</v>
      </c>
      <c r="E84" s="769"/>
      <c r="F84" s="2366"/>
      <c r="G84" s="1216"/>
      <c r="H84" s="1220" t="str">
        <f t="shared" si="26"/>
        <v>——</v>
      </c>
      <c r="I84" s="763">
        <v>0.04</v>
      </c>
      <c r="J84" s="1217">
        <f t="shared" si="27"/>
        <v>0</v>
      </c>
      <c r="K84" s="1217">
        <f t="shared" si="28"/>
        <v>0</v>
      </c>
      <c r="L84" s="1217">
        <v>0</v>
      </c>
      <c r="M84" s="1217">
        <f t="shared" si="29"/>
        <v>0</v>
      </c>
      <c r="N84" s="1217">
        <f t="shared" si="29"/>
        <v>0</v>
      </c>
      <c r="Z84" s="2583"/>
      <c r="AA84" s="2659"/>
      <c r="AG84" s="1304"/>
      <c r="AK84" s="2659"/>
    </row>
    <row r="85" spans="1:37" ht="24">
      <c r="A85" s="2741" t="s">
        <v>2830</v>
      </c>
      <c r="B85" s="1655">
        <f>估价对象房地状况!G19</f>
        <v>0</v>
      </c>
      <c r="C85" s="2633"/>
      <c r="D85" s="1218">
        <f t="shared" si="25"/>
        <v>0</v>
      </c>
      <c r="E85" s="769"/>
      <c r="F85" s="2366"/>
      <c r="G85" s="1216"/>
      <c r="H85" s="1220" t="str">
        <f t="shared" si="26"/>
        <v>——</v>
      </c>
      <c r="I85" s="763">
        <v>0.06</v>
      </c>
      <c r="J85" s="1217">
        <f t="shared" si="27"/>
        <v>0</v>
      </c>
      <c r="K85" s="1217">
        <f t="shared" si="28"/>
        <v>0</v>
      </c>
      <c r="L85" s="1217">
        <v>0</v>
      </c>
      <c r="M85" s="1217">
        <f t="shared" si="29"/>
        <v>0</v>
      </c>
      <c r="N85" s="1217">
        <f t="shared" si="29"/>
        <v>0</v>
      </c>
      <c r="Z85" s="2583"/>
      <c r="AA85" s="2659"/>
      <c r="AG85" s="1304"/>
      <c r="AK85" s="2659"/>
    </row>
    <row r="86" spans="1:37" ht="24">
      <c r="A86" s="2741" t="s">
        <v>2831</v>
      </c>
      <c r="B86" s="1655">
        <f>估价对象房地状况!G20</f>
        <v>0</v>
      </c>
      <c r="C86" s="2633"/>
      <c r="D86" s="1218">
        <f t="shared" si="25"/>
        <v>0</v>
      </c>
      <c r="E86" s="769"/>
      <c r="F86" s="2366"/>
      <c r="G86" s="1216"/>
      <c r="H86" s="1220" t="str">
        <f t="shared" si="26"/>
        <v>——</v>
      </c>
      <c r="I86" s="763">
        <v>0.15</v>
      </c>
      <c r="J86" s="1217">
        <f t="shared" si="27"/>
        <v>0</v>
      </c>
      <c r="K86" s="1217">
        <f t="shared" si="28"/>
        <v>0</v>
      </c>
      <c r="L86" s="1217">
        <v>0</v>
      </c>
      <c r="M86" s="1217">
        <f t="shared" si="29"/>
        <v>0</v>
      </c>
      <c r="N86" s="1217">
        <f t="shared" si="29"/>
        <v>0</v>
      </c>
      <c r="Z86" s="2583"/>
      <c r="AA86" s="2659"/>
      <c r="AG86" s="1304"/>
      <c r="AK86" s="2659"/>
    </row>
    <row r="87" spans="1:37" ht="24">
      <c r="A87" s="2741" t="s">
        <v>2828</v>
      </c>
      <c r="B87" s="2747" t="s">
        <v>2842</v>
      </c>
      <c r="C87" s="2633"/>
      <c r="D87" s="1218">
        <f t="shared" si="25"/>
        <v>0</v>
      </c>
      <c r="E87" s="769"/>
      <c r="F87" s="2366"/>
      <c r="G87" s="1216"/>
      <c r="H87" s="1220" t="str">
        <f t="shared" si="26"/>
        <v>——</v>
      </c>
      <c r="I87" s="763">
        <v>0.05</v>
      </c>
      <c r="J87" s="1217">
        <f t="shared" si="27"/>
        <v>0</v>
      </c>
      <c r="K87" s="1217">
        <f t="shared" si="28"/>
        <v>0</v>
      </c>
      <c r="L87" s="1217">
        <v>0</v>
      </c>
      <c r="M87" s="1217">
        <f t="shared" si="29"/>
        <v>0</v>
      </c>
      <c r="N87" s="1217">
        <f t="shared" si="29"/>
        <v>0</v>
      </c>
      <c r="Z87" s="2583"/>
      <c r="AA87" s="2659"/>
      <c r="AG87" s="1304"/>
      <c r="AK87" s="2659"/>
    </row>
    <row r="88" spans="1:37" ht="15" thickBot="1">
      <c r="A88" s="2749" t="s">
        <v>2843</v>
      </c>
      <c r="B88" s="2754">
        <f>估价对象房地状况!G18</f>
        <v>0</v>
      </c>
      <c r="C88" s="2633"/>
      <c r="D88" s="1218">
        <f t="shared" si="25"/>
        <v>0</v>
      </c>
      <c r="E88" s="770"/>
      <c r="F88" s="2366"/>
      <c r="G88" s="1216"/>
      <c r="H88" s="1220" t="str">
        <f t="shared" si="26"/>
        <v>——</v>
      </c>
      <c r="I88" s="767">
        <v>0.06</v>
      </c>
      <c r="J88" s="1217">
        <f t="shared" si="27"/>
        <v>0</v>
      </c>
      <c r="K88" s="1217">
        <f t="shared" si="28"/>
        <v>0</v>
      </c>
      <c r="L88" s="1217">
        <v>0</v>
      </c>
      <c r="M88" s="1217">
        <f t="shared" si="29"/>
        <v>0</v>
      </c>
      <c r="N88" s="1217">
        <f t="shared" si="29"/>
        <v>0</v>
      </c>
      <c r="Z88" s="2583"/>
      <c r="AA88" s="2659"/>
      <c r="AG88" s="1304"/>
      <c r="AK88" s="2659"/>
    </row>
    <row r="90" spans="1:37">
      <c r="A90" s="3378" t="s">
        <v>2844</v>
      </c>
      <c r="B90" s="3378"/>
      <c r="C90" s="3378"/>
      <c r="D90" s="3378"/>
      <c r="E90" s="3378"/>
      <c r="F90" s="3378"/>
      <c r="G90" s="3378"/>
      <c r="H90" s="3378"/>
      <c r="I90" s="3378"/>
      <c r="J90" s="3378"/>
      <c r="K90" s="2755"/>
      <c r="L90" s="2755"/>
      <c r="M90" s="2755"/>
      <c r="N90" s="2755"/>
    </row>
    <row r="91" spans="1:37">
      <c r="A91" s="3380" t="s">
        <v>2845</v>
      </c>
      <c r="B91" s="3380" t="s">
        <v>2846</v>
      </c>
      <c r="C91" s="2709" t="s">
        <v>2847</v>
      </c>
      <c r="D91" s="2710"/>
      <c r="E91" s="2710"/>
      <c r="F91" s="2710"/>
      <c r="G91" s="2710"/>
      <c r="H91" s="2710"/>
      <c r="I91" s="2710"/>
      <c r="J91" s="2756"/>
      <c r="K91" s="2757"/>
      <c r="L91" s="2757"/>
      <c r="M91" s="2757"/>
      <c r="N91" s="2757"/>
    </row>
    <row r="92" spans="1:37">
      <c r="A92" s="3380"/>
      <c r="B92" s="3380"/>
      <c r="C92" s="888" t="s">
        <v>2711</v>
      </c>
      <c r="D92" s="888" t="s">
        <v>2712</v>
      </c>
      <c r="E92" s="888" t="s">
        <v>2713</v>
      </c>
      <c r="F92" s="888" t="s">
        <v>2714</v>
      </c>
      <c r="G92" s="888" t="s">
        <v>2715</v>
      </c>
      <c r="H92" s="888" t="s">
        <v>2716</v>
      </c>
      <c r="I92" s="888" t="s">
        <v>2717</v>
      </c>
      <c r="J92" s="888" t="s">
        <v>2718</v>
      </c>
      <c r="K92" s="888" t="s">
        <v>2719</v>
      </c>
      <c r="L92" s="888" t="s">
        <v>2720</v>
      </c>
      <c r="M92" s="888" t="s">
        <v>2721</v>
      </c>
      <c r="N92" s="888" t="s">
        <v>2722</v>
      </c>
    </row>
    <row r="93" spans="1:37">
      <c r="A93" s="3381" t="s">
        <v>2848</v>
      </c>
      <c r="B93" s="2758">
        <v>1</v>
      </c>
      <c r="C93" s="2759">
        <v>1.9361999999999999</v>
      </c>
      <c r="D93" s="2759">
        <v>1.9361999999999999</v>
      </c>
      <c r="E93" s="2759">
        <v>1.8629</v>
      </c>
      <c r="F93" s="2759">
        <v>1.8629</v>
      </c>
      <c r="G93" s="2759">
        <v>1.8629</v>
      </c>
      <c r="H93" s="2759">
        <v>1.8629</v>
      </c>
      <c r="I93" s="2759">
        <v>1.8629</v>
      </c>
      <c r="J93" s="2759">
        <v>1.9419999999999999</v>
      </c>
      <c r="K93" s="2759">
        <v>1.9419999999999999</v>
      </c>
      <c r="L93" s="2759">
        <v>1.9419999999999999</v>
      </c>
      <c r="M93" s="2759">
        <v>1.9419999999999999</v>
      </c>
      <c r="N93" s="2759">
        <v>1.9419999999999999</v>
      </c>
    </row>
    <row r="94" spans="1:37">
      <c r="A94" s="3382"/>
      <c r="B94" s="2758">
        <v>2</v>
      </c>
      <c r="C94" s="2759">
        <v>1.4198</v>
      </c>
      <c r="D94" s="2759">
        <v>1.4198</v>
      </c>
      <c r="E94" s="2759">
        <v>1.3371999999999999</v>
      </c>
      <c r="F94" s="2759">
        <v>1.3371999999999999</v>
      </c>
      <c r="G94" s="2759">
        <v>1.3371999999999999</v>
      </c>
      <c r="H94" s="2759">
        <v>1.3371999999999999</v>
      </c>
      <c r="I94" s="2759">
        <v>1.3371999999999999</v>
      </c>
      <c r="J94" s="2759">
        <v>1.2799</v>
      </c>
      <c r="K94" s="2759">
        <v>1.2799</v>
      </c>
      <c r="L94" s="2759">
        <v>1.2799</v>
      </c>
      <c r="M94" s="2759">
        <v>1.2799</v>
      </c>
      <c r="N94" s="2759">
        <v>1.2799</v>
      </c>
    </row>
    <row r="95" spans="1:37">
      <c r="A95" s="3382"/>
      <c r="B95" s="2758">
        <v>3</v>
      </c>
      <c r="C95" s="2759">
        <v>1.1594</v>
      </c>
      <c r="D95" s="2759">
        <v>1.1594</v>
      </c>
      <c r="E95" s="2759">
        <v>1.0788</v>
      </c>
      <c r="F95" s="2759">
        <v>1.0788</v>
      </c>
      <c r="G95" s="2759">
        <v>1.0788</v>
      </c>
      <c r="H95" s="2759">
        <v>1.0788</v>
      </c>
      <c r="I95" s="2759">
        <v>1.0788</v>
      </c>
      <c r="J95" s="2759">
        <v>1.0072000000000001</v>
      </c>
      <c r="K95" s="2759">
        <v>1.0072000000000001</v>
      </c>
      <c r="L95" s="2759">
        <v>1.0072000000000001</v>
      </c>
      <c r="M95" s="2759">
        <v>1.0072000000000001</v>
      </c>
      <c r="N95" s="2759">
        <v>1.0072000000000001</v>
      </c>
    </row>
    <row r="96" spans="1:37">
      <c r="A96" s="3382"/>
      <c r="B96" s="2758">
        <v>4</v>
      </c>
      <c r="C96" s="2759">
        <v>0.96220000000000006</v>
      </c>
      <c r="D96" s="2759">
        <v>0.96220000000000006</v>
      </c>
      <c r="E96" s="2759">
        <v>0.86560000000000004</v>
      </c>
      <c r="F96" s="2759">
        <v>0.86560000000000004</v>
      </c>
      <c r="G96" s="2759">
        <v>0.86560000000000004</v>
      </c>
      <c r="H96" s="2759">
        <v>0.86560000000000004</v>
      </c>
      <c r="I96" s="2759">
        <v>0.86560000000000004</v>
      </c>
      <c r="J96" s="2759">
        <v>0.75249999999999995</v>
      </c>
      <c r="K96" s="2759">
        <v>0.75249999999999995</v>
      </c>
      <c r="L96" s="2759">
        <v>0.75249999999999995</v>
      </c>
      <c r="M96" s="2759">
        <v>0.75249999999999995</v>
      </c>
      <c r="N96" s="2759">
        <v>0.75249999999999995</v>
      </c>
    </row>
    <row r="97" spans="1:14">
      <c r="A97" s="3382"/>
      <c r="B97" s="2758">
        <v>5</v>
      </c>
      <c r="C97" s="2759">
        <v>0.8417</v>
      </c>
      <c r="D97" s="2759">
        <v>0.8417</v>
      </c>
      <c r="E97" s="2759">
        <v>0.73709999999999998</v>
      </c>
      <c r="F97" s="2759">
        <v>0.73709999999999998</v>
      </c>
      <c r="G97" s="2759">
        <v>0.73709999999999998</v>
      </c>
      <c r="H97" s="2759">
        <v>0.73709999999999998</v>
      </c>
      <c r="I97" s="2759">
        <v>0.73709999999999998</v>
      </c>
      <c r="J97" s="2759">
        <v>0.56589999999999996</v>
      </c>
      <c r="K97" s="2759">
        <v>0.56589999999999996</v>
      </c>
      <c r="L97" s="2759">
        <v>0.56589999999999996</v>
      </c>
      <c r="M97" s="2759">
        <v>0.56589999999999996</v>
      </c>
      <c r="N97" s="2759">
        <v>0.56589999999999996</v>
      </c>
    </row>
    <row r="98" spans="1:14">
      <c r="A98" s="3382"/>
      <c r="B98" s="2758">
        <v>6</v>
      </c>
      <c r="C98" s="2759">
        <v>0.76080000000000003</v>
      </c>
      <c r="D98" s="2759">
        <v>0.76080000000000003</v>
      </c>
      <c r="E98" s="2759">
        <v>0.6482</v>
      </c>
      <c r="F98" s="2759">
        <v>0.6482</v>
      </c>
      <c r="G98" s="2759">
        <v>0.6482</v>
      </c>
      <c r="H98" s="2759">
        <v>0.6482</v>
      </c>
      <c r="I98" s="2759">
        <v>0.6482</v>
      </c>
      <c r="J98" s="2759">
        <v>0.45250000000000001</v>
      </c>
      <c r="K98" s="2759">
        <v>0.45250000000000001</v>
      </c>
      <c r="L98" s="2759">
        <v>0.45250000000000001</v>
      </c>
      <c r="M98" s="2759">
        <v>0.45250000000000001</v>
      </c>
      <c r="N98" s="2759">
        <v>0.45250000000000001</v>
      </c>
    </row>
    <row r="99" spans="1:14">
      <c r="A99" s="3382"/>
      <c r="B99" s="2758" t="s">
        <v>2727</v>
      </c>
      <c r="C99" s="2760">
        <f>$I$3</f>
        <v>0</v>
      </c>
      <c r="D99" s="2760">
        <f t="shared" ref="D99:M99" si="30">$I$3</f>
        <v>0</v>
      </c>
      <c r="E99" s="2760">
        <f t="shared" si="30"/>
        <v>0</v>
      </c>
      <c r="F99" s="2760">
        <f t="shared" si="30"/>
        <v>0</v>
      </c>
      <c r="G99" s="2760">
        <f t="shared" si="30"/>
        <v>0</v>
      </c>
      <c r="H99" s="2760">
        <f t="shared" si="30"/>
        <v>0</v>
      </c>
      <c r="I99" s="2760">
        <f t="shared" si="30"/>
        <v>0</v>
      </c>
      <c r="J99" s="2760">
        <f t="shared" si="30"/>
        <v>0</v>
      </c>
      <c r="K99" s="2760">
        <f t="shared" si="30"/>
        <v>0</v>
      </c>
      <c r="L99" s="2760">
        <f t="shared" si="30"/>
        <v>0</v>
      </c>
      <c r="M99" s="2760">
        <f t="shared" si="30"/>
        <v>0</v>
      </c>
      <c r="N99" s="2760">
        <f>$I$3</f>
        <v>0</v>
      </c>
    </row>
    <row r="100" spans="1:14">
      <c r="A100" s="3383"/>
      <c r="B100" s="2758">
        <v>7</v>
      </c>
      <c r="C100" s="2761">
        <f>(-0.163*(C99^2)-0.59*C99+7617)*(10^(-4))</f>
        <v>0.76170000000000004</v>
      </c>
      <c r="D100" s="2761">
        <f>(-0.163*(D99^2)-0.59*D99+7617)*(10^(-4))</f>
        <v>0.76170000000000004</v>
      </c>
      <c r="E100" s="2761">
        <f>(-0.161*(E99^2)-7.509*E99+6533)*(10^(-4))</f>
        <v>0.65329999999999999</v>
      </c>
      <c r="F100" s="2761">
        <f>(-0.161*(F99^2)-7.509*F99+6533)*(10^(-4))</f>
        <v>0.65329999999999999</v>
      </c>
      <c r="G100" s="2761">
        <f>(-0.161*(G99^2)-7.509*G99+6533)*(10^(-4))</f>
        <v>0.65329999999999999</v>
      </c>
      <c r="H100" s="2761">
        <f>(-0.161*(H99^2)-7.509*H99+6533)*(10^(-4))</f>
        <v>0.65329999999999999</v>
      </c>
      <c r="I100" s="2761">
        <f>(-0.161*(I99^2)-7.509*I99+6533)*(10^(-4))</f>
        <v>0.65329999999999999</v>
      </c>
      <c r="J100" s="2761">
        <f>(-0.214*(J99^2)-21.991*J99+4665)*(10^(-4))</f>
        <v>0.46650000000000003</v>
      </c>
      <c r="K100" s="2761">
        <f>(-0.214*(K99^2)-21.991*K99+4665)*(10^(-4))</f>
        <v>0.46650000000000003</v>
      </c>
      <c r="L100" s="2761">
        <f>(-0.214*(L99^2)-21.991*L99+4665)*(10^(-4))</f>
        <v>0.46650000000000003</v>
      </c>
      <c r="M100" s="2761">
        <f>(-0.214*(M99^2)-21.991*M99+4665)*(10^(-4))</f>
        <v>0.46650000000000003</v>
      </c>
      <c r="N100" s="2761">
        <f>(-0.214*(N99^2)-21.991*N99+4665)*(10^(-4))</f>
        <v>0.46650000000000003</v>
      </c>
    </row>
    <row r="101" spans="1:14">
      <c r="A101" s="3381" t="s">
        <v>2849</v>
      </c>
      <c r="B101" s="2762" t="s">
        <v>2850</v>
      </c>
      <c r="C101" s="2763">
        <f>$G$3</f>
        <v>1.9</v>
      </c>
      <c r="D101" s="2763">
        <f t="shared" ref="D101:N101" si="31">$G$3</f>
        <v>1.9</v>
      </c>
      <c r="E101" s="2763">
        <f t="shared" si="31"/>
        <v>1.9</v>
      </c>
      <c r="F101" s="2763">
        <f t="shared" si="31"/>
        <v>1.9</v>
      </c>
      <c r="G101" s="2763">
        <f t="shared" si="31"/>
        <v>1.9</v>
      </c>
      <c r="H101" s="2763">
        <f t="shared" si="31"/>
        <v>1.9</v>
      </c>
      <c r="I101" s="2763">
        <f t="shared" si="31"/>
        <v>1.9</v>
      </c>
      <c r="J101" s="2763">
        <f t="shared" si="31"/>
        <v>1.9</v>
      </c>
      <c r="K101" s="2763">
        <f t="shared" si="31"/>
        <v>1.9</v>
      </c>
      <c r="L101" s="2763">
        <f t="shared" si="31"/>
        <v>1.9</v>
      </c>
      <c r="M101" s="2763">
        <f t="shared" si="31"/>
        <v>1.9</v>
      </c>
      <c r="N101" s="2763">
        <f t="shared" si="31"/>
        <v>1.9</v>
      </c>
    </row>
    <row r="102" spans="1:14">
      <c r="A102" s="3382"/>
      <c r="B102" s="2758">
        <v>1</v>
      </c>
      <c r="C102" s="2759">
        <f>1.9362/C101</f>
        <v>1.0190526315789474</v>
      </c>
      <c r="D102" s="2759">
        <f>1.9362/D101</f>
        <v>1.0190526315789474</v>
      </c>
      <c r="E102" s="2759">
        <f>1.8629/E101</f>
        <v>0.98047368421052639</v>
      </c>
      <c r="F102" s="2759">
        <f>1.8629/F101</f>
        <v>0.98047368421052639</v>
      </c>
      <c r="G102" s="2759">
        <f>1.8629/G101</f>
        <v>0.98047368421052639</v>
      </c>
      <c r="H102" s="2759">
        <f>1.8629/H101</f>
        <v>0.98047368421052639</v>
      </c>
      <c r="I102" s="2759">
        <f>1.8629/I101</f>
        <v>0.98047368421052639</v>
      </c>
      <c r="J102" s="2759">
        <f>1.942/J101</f>
        <v>1.0221052631578948</v>
      </c>
      <c r="K102" s="2759">
        <f>1.942/K101</f>
        <v>1.0221052631578948</v>
      </c>
      <c r="L102" s="2759">
        <f>1.942/L101</f>
        <v>1.0221052631578948</v>
      </c>
      <c r="M102" s="2759">
        <f>1.942/M101</f>
        <v>1.0221052631578948</v>
      </c>
      <c r="N102" s="2759">
        <f>1.942/N101</f>
        <v>1.0221052631578948</v>
      </c>
    </row>
    <row r="103" spans="1:14">
      <c r="A103" s="3382"/>
      <c r="B103" s="2758">
        <v>2</v>
      </c>
      <c r="C103" s="2759">
        <f>1.4198/C101</f>
        <v>0.74726315789473685</v>
      </c>
      <c r="D103" s="2759">
        <f>1.4198/D101</f>
        <v>0.74726315789473685</v>
      </c>
      <c r="E103" s="2759">
        <f>1.3372/E101</f>
        <v>0.70378947368421052</v>
      </c>
      <c r="F103" s="2759">
        <f>1.3372/F101</f>
        <v>0.70378947368421052</v>
      </c>
      <c r="G103" s="2759">
        <f>1.3372/G101</f>
        <v>0.70378947368421052</v>
      </c>
      <c r="H103" s="2759">
        <f>1.3372/H101</f>
        <v>0.70378947368421052</v>
      </c>
      <c r="I103" s="2759">
        <f>1.3372/I101</f>
        <v>0.70378947368421052</v>
      </c>
      <c r="J103" s="2759">
        <f>1.2799/J101</f>
        <v>0.67363157894736847</v>
      </c>
      <c r="K103" s="2759">
        <f>1.2799/K101</f>
        <v>0.67363157894736847</v>
      </c>
      <c r="L103" s="2759">
        <f>1.2799/L101</f>
        <v>0.67363157894736847</v>
      </c>
      <c r="M103" s="2759">
        <f>1.2799/M101</f>
        <v>0.67363157894736847</v>
      </c>
      <c r="N103" s="2759">
        <f>1.2799/N101</f>
        <v>0.67363157894736847</v>
      </c>
    </row>
    <row r="104" spans="1:14">
      <c r="A104" s="3382"/>
      <c r="B104" s="2758">
        <v>3</v>
      </c>
      <c r="C104" s="2759">
        <f>1.1594/C101</f>
        <v>0.61021052631578954</v>
      </c>
      <c r="D104" s="2759">
        <f>1.1594/D101</f>
        <v>0.61021052631578954</v>
      </c>
      <c r="E104" s="2759">
        <f>1.0788/E101</f>
        <v>0.56778947368421051</v>
      </c>
      <c r="F104" s="2759">
        <f>1.0788/F101</f>
        <v>0.56778947368421051</v>
      </c>
      <c r="G104" s="2759">
        <f>1.0788/G101</f>
        <v>0.56778947368421051</v>
      </c>
      <c r="H104" s="2759">
        <f>1.0788/H101</f>
        <v>0.56778947368421051</v>
      </c>
      <c r="I104" s="2759">
        <f>1.0788/I101</f>
        <v>0.56778947368421051</v>
      </c>
      <c r="J104" s="2759">
        <f>1.0072/J101</f>
        <v>0.53010526315789486</v>
      </c>
      <c r="K104" s="2759">
        <f>1.0072/K101</f>
        <v>0.53010526315789486</v>
      </c>
      <c r="L104" s="2759">
        <f>1.0072/L101</f>
        <v>0.53010526315789486</v>
      </c>
      <c r="M104" s="2759">
        <f>1.0072/M101</f>
        <v>0.53010526315789486</v>
      </c>
      <c r="N104" s="2759">
        <f>1.0072/N101</f>
        <v>0.53010526315789486</v>
      </c>
    </row>
    <row r="105" spans="1:14">
      <c r="A105" s="3382"/>
      <c r="B105" s="2758">
        <v>4</v>
      </c>
      <c r="C105" s="2759">
        <f>0.9622/C101</f>
        <v>0.50642105263157899</v>
      </c>
      <c r="D105" s="2759">
        <f>0.9622/D101</f>
        <v>0.50642105263157899</v>
      </c>
      <c r="E105" s="2759">
        <f>0.8656/E101</f>
        <v>0.45557894736842108</v>
      </c>
      <c r="F105" s="2759">
        <f>0.8656/F101</f>
        <v>0.45557894736842108</v>
      </c>
      <c r="G105" s="2759">
        <f>0.8656/G101</f>
        <v>0.45557894736842108</v>
      </c>
      <c r="H105" s="2759">
        <f>0.8656/H101</f>
        <v>0.45557894736842108</v>
      </c>
      <c r="I105" s="2759">
        <f>0.8656/I101</f>
        <v>0.45557894736842108</v>
      </c>
      <c r="J105" s="2759">
        <f>0.7525/J101</f>
        <v>0.39605263157894738</v>
      </c>
      <c r="K105" s="2759">
        <f>0.7525/K101</f>
        <v>0.39605263157894738</v>
      </c>
      <c r="L105" s="2759">
        <f>0.7525/L101</f>
        <v>0.39605263157894738</v>
      </c>
      <c r="M105" s="2759">
        <f>0.7525/M101</f>
        <v>0.39605263157894738</v>
      </c>
      <c r="N105" s="2759">
        <f>0.7525/N101</f>
        <v>0.39605263157894738</v>
      </c>
    </row>
    <row r="106" spans="1:14">
      <c r="A106" s="3382"/>
      <c r="B106" s="2758">
        <v>5</v>
      </c>
      <c r="C106" s="2759">
        <f>0.8417/C101</f>
        <v>0.443</v>
      </c>
      <c r="D106" s="2759">
        <f>0.8417/D101</f>
        <v>0.443</v>
      </c>
      <c r="E106" s="2759">
        <f>0.7371/E101</f>
        <v>0.38794736842105265</v>
      </c>
      <c r="F106" s="2759">
        <f>0.7371/F101</f>
        <v>0.38794736842105265</v>
      </c>
      <c r="G106" s="2759">
        <f>0.7371/G101</f>
        <v>0.38794736842105265</v>
      </c>
      <c r="H106" s="2759">
        <f>0.7371/H101</f>
        <v>0.38794736842105265</v>
      </c>
      <c r="I106" s="2759">
        <f>0.7371/I101</f>
        <v>0.38794736842105265</v>
      </c>
      <c r="J106" s="2759">
        <f>0.5659/J101</f>
        <v>0.29784210526315791</v>
      </c>
      <c r="K106" s="2759">
        <f>0.5659/K101</f>
        <v>0.29784210526315791</v>
      </c>
      <c r="L106" s="2759">
        <f>0.5659/L101</f>
        <v>0.29784210526315791</v>
      </c>
      <c r="M106" s="2759">
        <f>0.5659/M101</f>
        <v>0.29784210526315791</v>
      </c>
      <c r="N106" s="2759">
        <f>0.5659/N101</f>
        <v>0.29784210526315791</v>
      </c>
    </row>
    <row r="107" spans="1:14">
      <c r="A107" s="3382"/>
      <c r="B107" s="2758">
        <v>6</v>
      </c>
      <c r="C107" s="2759">
        <f>0.7608/C101</f>
        <v>0.40042105263157896</v>
      </c>
      <c r="D107" s="2759">
        <f>0.7608/D101</f>
        <v>0.40042105263157896</v>
      </c>
      <c r="E107" s="2759">
        <f>0.6482/E101</f>
        <v>0.3411578947368421</v>
      </c>
      <c r="F107" s="2759">
        <f>0.6482/F101</f>
        <v>0.3411578947368421</v>
      </c>
      <c r="G107" s="2759">
        <f>0.6482/G101</f>
        <v>0.3411578947368421</v>
      </c>
      <c r="H107" s="2759">
        <f>0.6482/H101</f>
        <v>0.3411578947368421</v>
      </c>
      <c r="I107" s="2759">
        <f>0.6482/I101</f>
        <v>0.3411578947368421</v>
      </c>
      <c r="J107" s="2759">
        <f>0.4525/J101</f>
        <v>0.23815789473684212</v>
      </c>
      <c r="K107" s="2759">
        <f>0.4525/K101</f>
        <v>0.23815789473684212</v>
      </c>
      <c r="L107" s="2759">
        <f>0.4525/L101</f>
        <v>0.23815789473684212</v>
      </c>
      <c r="M107" s="2759">
        <f>0.4525/M101</f>
        <v>0.23815789473684212</v>
      </c>
      <c r="N107" s="2759">
        <f>0.4525/N101</f>
        <v>0.23815789473684212</v>
      </c>
    </row>
    <row r="108" spans="1:14">
      <c r="A108" s="3382"/>
      <c r="B108" s="3205" t="s">
        <v>2851</v>
      </c>
      <c r="C108" s="2760">
        <f>C99</f>
        <v>0</v>
      </c>
      <c r="D108" s="2760">
        <f t="shared" ref="D108:N108" si="32">D99</f>
        <v>0</v>
      </c>
      <c r="E108" s="2760">
        <f t="shared" si="32"/>
        <v>0</v>
      </c>
      <c r="F108" s="2760">
        <f t="shared" si="32"/>
        <v>0</v>
      </c>
      <c r="G108" s="2760">
        <f t="shared" si="32"/>
        <v>0</v>
      </c>
      <c r="H108" s="2760">
        <f t="shared" si="32"/>
        <v>0</v>
      </c>
      <c r="I108" s="2760">
        <f t="shared" si="32"/>
        <v>0</v>
      </c>
      <c r="J108" s="2760">
        <f t="shared" si="32"/>
        <v>0</v>
      </c>
      <c r="K108" s="2760">
        <f t="shared" si="32"/>
        <v>0</v>
      </c>
      <c r="L108" s="2760">
        <f t="shared" si="32"/>
        <v>0</v>
      </c>
      <c r="M108" s="2760">
        <f t="shared" si="32"/>
        <v>0</v>
      </c>
      <c r="N108" s="2760">
        <f t="shared" si="32"/>
        <v>0</v>
      </c>
    </row>
    <row r="109" spans="1:14">
      <c r="A109" s="3383"/>
      <c r="B109" s="3206"/>
      <c r="C109" s="2761">
        <f>(-0.163*(C108^2)-0.59*C108+7617)*(10^(-4))/C101</f>
        <v>0.4008947368421053</v>
      </c>
      <c r="D109" s="2761">
        <f>(-0.163*(D108^2)-0.59*D108+7617)*(10^(-4))/D101</f>
        <v>0.4008947368421053</v>
      </c>
      <c r="E109" s="2761">
        <f>(-0.161*(E108^2)-7.509*E108+6533)*(10^(-4))/E101</f>
        <v>0.34384210526315789</v>
      </c>
      <c r="F109" s="2761">
        <f>(-0.161*(F108^2)-7.509*F108+6533)*(10^(-4))/F101</f>
        <v>0.34384210526315789</v>
      </c>
      <c r="G109" s="2761">
        <f>(-0.161*(G108^2)-7.509*G108+6533)*(10^(-4))/G101</f>
        <v>0.34384210526315789</v>
      </c>
      <c r="H109" s="2761">
        <f>(-0.161*(H108^2)-7.509*H108+6533)*(10^(-4))/H101</f>
        <v>0.34384210526315789</v>
      </c>
      <c r="I109" s="2761">
        <f>(-0.161*(I108^2)-7.509*I108+6533)*(10^(-4))/I101</f>
        <v>0.34384210526315789</v>
      </c>
      <c r="J109" s="2761">
        <f>(-0.214*(J108^2)-21.991*J108+4665)*(10^(-4))/J101</f>
        <v>0.2455263157894737</v>
      </c>
      <c r="K109" s="2761">
        <f>(-0.214*(K108^2)-21.991*K108+4665)*(10^(-4))/K101</f>
        <v>0.2455263157894737</v>
      </c>
      <c r="L109" s="2761">
        <f>(-0.214*(L108^2)-21.991*L108+4665)*(10^(-4))/L101</f>
        <v>0.2455263157894737</v>
      </c>
      <c r="M109" s="2761">
        <f>(-0.214*(M108^2)-21.991*M108+4665)*(10^(-4))/M101</f>
        <v>0.2455263157894737</v>
      </c>
      <c r="N109" s="2761">
        <f>(-0.214*(N108^2)-21.991*N108+4665)*(10^(-4))/N101</f>
        <v>0.2455263157894737</v>
      </c>
    </row>
    <row r="110" spans="1:14">
      <c r="A110" s="3379" t="s">
        <v>2852</v>
      </c>
      <c r="B110" s="3379"/>
      <c r="C110" s="3379"/>
      <c r="D110" s="3379"/>
      <c r="E110" s="3379"/>
      <c r="F110" s="3379"/>
      <c r="G110" s="3379"/>
      <c r="H110" s="3379"/>
      <c r="I110" s="3379"/>
      <c r="J110" s="3379"/>
      <c r="K110" s="2764"/>
      <c r="L110" s="2764"/>
      <c r="M110" s="2764"/>
      <c r="N110" s="2764"/>
    </row>
    <row r="112" spans="1:14" ht="13.5" thickBot="1"/>
    <row r="113" spans="1:13" ht="25.5" thickBot="1">
      <c r="A113" s="846" t="s">
        <v>2853</v>
      </c>
      <c r="B113" s="1219">
        <f>G3</f>
        <v>1.9</v>
      </c>
      <c r="C113" s="847" t="s">
        <v>2854</v>
      </c>
      <c r="D113" s="848">
        <f>SUMPRODUCT((A115:A118=F113)*(B114:M114=H113)*B115:M118)</f>
        <v>0</v>
      </c>
      <c r="E113" s="2587" t="s">
        <v>2684</v>
      </c>
      <c r="F113" s="2766">
        <f>E2</f>
        <v>0</v>
      </c>
      <c r="G113" s="2587" t="s">
        <v>2685</v>
      </c>
      <c r="H113" s="2766">
        <f>G2</f>
        <v>0</v>
      </c>
      <c r="I113" s="2587"/>
      <c r="J113" s="2767"/>
      <c r="K113" s="2767"/>
      <c r="L113" s="2767"/>
      <c r="M113" s="2767"/>
    </row>
    <row r="114" spans="1:13">
      <c r="A114" s="851"/>
      <c r="B114" s="2768" t="s">
        <v>2855</v>
      </c>
      <c r="C114" s="2768" t="s">
        <v>2856</v>
      </c>
      <c r="D114" s="2768" t="s">
        <v>2857</v>
      </c>
      <c r="E114" s="2769" t="s">
        <v>2858</v>
      </c>
      <c r="F114" s="2769" t="s">
        <v>2859</v>
      </c>
      <c r="G114" s="2769" t="s">
        <v>2860</v>
      </c>
      <c r="H114" s="2770" t="s">
        <v>2861</v>
      </c>
      <c r="I114" s="2770" t="s">
        <v>2862</v>
      </c>
      <c r="J114" s="2771" t="s">
        <v>2863</v>
      </c>
      <c r="K114" s="2771" t="s">
        <v>2864</v>
      </c>
      <c r="L114" s="2771" t="s">
        <v>2865</v>
      </c>
      <c r="M114" s="2772" t="s">
        <v>2866</v>
      </c>
    </row>
    <row r="115" spans="1:13">
      <c r="A115" s="852" t="s">
        <v>2749</v>
      </c>
      <c r="B115" s="853">
        <f>ROUND(0.9335-0.0094*B113,4)</f>
        <v>0.91559999999999997</v>
      </c>
      <c r="C115" s="853">
        <f>B115</f>
        <v>0.91559999999999997</v>
      </c>
      <c r="D115" s="853">
        <f>ROUND(0.8331-0.0109*B113,4)</f>
        <v>0.81240000000000001</v>
      </c>
      <c r="E115" s="853">
        <f>D115</f>
        <v>0.81240000000000001</v>
      </c>
      <c r="F115" s="853">
        <f>E115</f>
        <v>0.81240000000000001</v>
      </c>
      <c r="G115" s="853">
        <f>F115</f>
        <v>0.81240000000000001</v>
      </c>
      <c r="H115" s="853">
        <f>G115</f>
        <v>0.81240000000000001</v>
      </c>
      <c r="I115" s="853">
        <f>ROUND(0.689-0.0155*B113,4)</f>
        <v>0.65959999999999996</v>
      </c>
      <c r="J115" s="853">
        <f t="shared" ref="J115:M118" si="33">I115</f>
        <v>0.65959999999999996</v>
      </c>
      <c r="K115" s="853">
        <f t="shared" si="33"/>
        <v>0.65959999999999996</v>
      </c>
      <c r="L115" s="853">
        <f t="shared" si="33"/>
        <v>0.65959999999999996</v>
      </c>
      <c r="M115" s="854">
        <f t="shared" si="33"/>
        <v>0.65959999999999996</v>
      </c>
    </row>
    <row r="116" spans="1:13">
      <c r="A116" s="852" t="s">
        <v>2750</v>
      </c>
      <c r="B116" s="853">
        <f>ROUND(0.949-0.012*B113,4)</f>
        <v>0.92620000000000002</v>
      </c>
      <c r="C116" s="853">
        <f>B116</f>
        <v>0.92620000000000002</v>
      </c>
      <c r="D116" s="853">
        <f>ROUND(0.8567-0.013*B113,4)</f>
        <v>0.83199999999999996</v>
      </c>
      <c r="E116" s="853">
        <f t="shared" ref="E116:H117" si="34">D116</f>
        <v>0.83199999999999996</v>
      </c>
      <c r="F116" s="853">
        <f t="shared" si="34"/>
        <v>0.83199999999999996</v>
      </c>
      <c r="G116" s="853">
        <f t="shared" si="34"/>
        <v>0.83199999999999996</v>
      </c>
      <c r="H116" s="853">
        <f t="shared" si="34"/>
        <v>0.83199999999999996</v>
      </c>
      <c r="I116" s="853">
        <f>ROUND(0.7694-0.014*B113,4)</f>
        <v>0.74280000000000002</v>
      </c>
      <c r="J116" s="853">
        <f t="shared" si="33"/>
        <v>0.74280000000000002</v>
      </c>
      <c r="K116" s="853">
        <f t="shared" si="33"/>
        <v>0.74280000000000002</v>
      </c>
      <c r="L116" s="853">
        <f t="shared" si="33"/>
        <v>0.74280000000000002</v>
      </c>
      <c r="M116" s="854">
        <f t="shared" si="33"/>
        <v>0.74280000000000002</v>
      </c>
    </row>
    <row r="117" spans="1:13">
      <c r="A117" s="852" t="s">
        <v>2751</v>
      </c>
      <c r="B117" s="853">
        <f>ROUND(0.8808-0.006*B113,4)</f>
        <v>0.86939999999999995</v>
      </c>
      <c r="C117" s="853">
        <f>B117</f>
        <v>0.86939999999999995</v>
      </c>
      <c r="D117" s="853">
        <f>ROUND(0.8748-0.008*B113,4)</f>
        <v>0.85960000000000003</v>
      </c>
      <c r="E117" s="853">
        <f t="shared" si="34"/>
        <v>0.85960000000000003</v>
      </c>
      <c r="F117" s="853">
        <f t="shared" si="34"/>
        <v>0.85960000000000003</v>
      </c>
      <c r="G117" s="853">
        <f t="shared" si="34"/>
        <v>0.85960000000000003</v>
      </c>
      <c r="H117" s="853">
        <f t="shared" si="34"/>
        <v>0.85960000000000003</v>
      </c>
      <c r="I117" s="853">
        <f>ROUND(0.7412-0.0095*B113,4)</f>
        <v>0.72319999999999995</v>
      </c>
      <c r="J117" s="853">
        <f t="shared" si="33"/>
        <v>0.72319999999999995</v>
      </c>
      <c r="K117" s="853">
        <f t="shared" si="33"/>
        <v>0.72319999999999995</v>
      </c>
      <c r="L117" s="853">
        <f t="shared" si="33"/>
        <v>0.72319999999999995</v>
      </c>
      <c r="M117" s="854">
        <f t="shared" si="33"/>
        <v>0.72319999999999995</v>
      </c>
    </row>
    <row r="118" spans="1:13" ht="13.5" thickBot="1">
      <c r="A118" s="657" t="s">
        <v>2752</v>
      </c>
      <c r="B118" s="855">
        <f>ROUND(0.7275-0.01*B113,4)</f>
        <v>0.70850000000000002</v>
      </c>
      <c r="C118" s="855">
        <f>B118</f>
        <v>0.70850000000000002</v>
      </c>
      <c r="D118" s="855">
        <f>ROUND(0.7043-0.012*B113,4)</f>
        <v>0.68149999999999999</v>
      </c>
      <c r="E118" s="855">
        <f>D118</f>
        <v>0.68149999999999999</v>
      </c>
      <c r="F118" s="855">
        <f>E118</f>
        <v>0.68149999999999999</v>
      </c>
      <c r="G118" s="855">
        <f>ROUND(0.6299-0.0122*B113,4)</f>
        <v>0.60670000000000002</v>
      </c>
      <c r="H118" s="855">
        <f>G118</f>
        <v>0.60670000000000002</v>
      </c>
      <c r="I118" s="855">
        <f>ROUND(0.5667-0.0136*B113,4)</f>
        <v>0.54090000000000005</v>
      </c>
      <c r="J118" s="855">
        <f t="shared" si="33"/>
        <v>0.54090000000000005</v>
      </c>
      <c r="K118" s="855">
        <f t="shared" si="33"/>
        <v>0.54090000000000005</v>
      </c>
      <c r="L118" s="855">
        <f t="shared" si="33"/>
        <v>0.54090000000000005</v>
      </c>
      <c r="M118" s="856">
        <f t="shared" si="33"/>
        <v>0.54090000000000005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86" customWidth="1"/>
    <col min="2" max="2" width="37.25" style="1886" customWidth="1"/>
    <col min="3" max="3" width="11.375" style="1886" customWidth="1"/>
    <col min="4" max="4" width="31.75" style="1886" customWidth="1"/>
    <col min="5" max="5" width="0.5" style="1886" customWidth="1"/>
    <col min="6" max="7" width="13" style="1886" customWidth="1"/>
    <col min="8" max="16384" width="9" style="1886"/>
  </cols>
  <sheetData>
    <row r="1" spans="1:5" ht="18.75">
      <c r="A1" s="1884" t="s">
        <v>1621</v>
      </c>
      <c r="B1" s="1885"/>
      <c r="C1" s="1885"/>
      <c r="D1" s="1885"/>
      <c r="E1" s="1885"/>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887"/>
      <c r="B4" s="3051" t="s">
        <v>1630</v>
      </c>
      <c r="C4" s="3051"/>
      <c r="D4" s="3051"/>
      <c r="E4" s="1887"/>
    </row>
    <row r="5" spans="1:5" ht="16.5" thickTop="1">
      <c r="A5" s="1885"/>
      <c r="B5" s="3049" t="s">
        <v>1622</v>
      </c>
      <c r="C5" s="1888" t="s">
        <v>1623</v>
      </c>
      <c r="D5" s="986">
        <f ca="1">结果表!H101</f>
        <v>337651</v>
      </c>
      <c r="E5" s="1885"/>
    </row>
    <row r="6" spans="1:5" ht="15.75">
      <c r="A6" s="1885"/>
      <c r="B6" s="3049"/>
      <c r="C6" s="1888" t="s">
        <v>1624</v>
      </c>
      <c r="D6" s="986" t="str">
        <f ca="1">NUMBERSTRING(INT(D5*10000),2)&amp;"元整"</f>
        <v>叁拾叁亿柒仟陆佰伍拾壹万元整</v>
      </c>
      <c r="E6" s="1885"/>
    </row>
    <row r="7" spans="1:5" ht="15.75">
      <c r="A7" s="1885"/>
      <c r="B7" s="3054"/>
      <c r="C7" s="1889" t="s">
        <v>1625</v>
      </c>
      <c r="D7" s="987">
        <f ca="1">结果表!H102</f>
        <v>28266</v>
      </c>
      <c r="E7" s="1885"/>
    </row>
    <row r="8" spans="1:5" ht="15.75">
      <c r="A8" s="1885"/>
      <c r="B8" s="3055" t="str">
        <f>结果表!E103</f>
        <v>2.估价师知悉的法定优先受偿款</v>
      </c>
      <c r="C8" s="1890" t="s">
        <v>1626</v>
      </c>
      <c r="D8" s="987">
        <f>结果表!H103</f>
        <v>16404</v>
      </c>
      <c r="E8" s="1885"/>
    </row>
    <row r="9" spans="1:5" ht="15.75">
      <c r="A9" s="1885"/>
      <c r="B9" s="3057"/>
      <c r="C9" s="1888" t="s">
        <v>1624</v>
      </c>
      <c r="D9" s="986" t="str">
        <f>NUMBERSTRING(INT(D8*10000),2)&amp;"元整"</f>
        <v>壹亿陆仟肆佰零肆万元整</v>
      </c>
      <c r="E9" s="1885"/>
    </row>
    <row r="10" spans="1:5" ht="15">
      <c r="A10" s="1885"/>
      <c r="B10" s="1891" t="s">
        <v>1629</v>
      </c>
      <c r="C10" s="1892" t="s">
        <v>1627</v>
      </c>
      <c r="D10" s="988">
        <f>结果表!H104</f>
        <v>0</v>
      </c>
      <c r="E10" s="1885"/>
    </row>
    <row r="11" spans="1:5" ht="15">
      <c r="A11" s="1885"/>
      <c r="B11" s="1891" t="s">
        <v>1631</v>
      </c>
      <c r="C11" s="1892" t="s">
        <v>1632</v>
      </c>
      <c r="D11" s="988">
        <f>结果表!H105</f>
        <v>0</v>
      </c>
      <c r="E11" s="1885"/>
    </row>
    <row r="12" spans="1:5" ht="15">
      <c r="A12" s="1885"/>
      <c r="B12" s="1891" t="s">
        <v>1633</v>
      </c>
      <c r="C12" s="1892" t="s">
        <v>1632</v>
      </c>
      <c r="D12" s="988">
        <f>结果表!H106</f>
        <v>16404</v>
      </c>
      <c r="E12" s="1885"/>
    </row>
    <row r="13" spans="1:5" ht="15.75">
      <c r="A13" s="1885"/>
      <c r="B13" s="3048" t="str">
        <f>结果表!E107</f>
        <v>——</v>
      </c>
      <c r="C13" s="1893" t="s">
        <v>1623</v>
      </c>
      <c r="D13" s="989" t="str">
        <f>结果表!H107</f>
        <v>——</v>
      </c>
      <c r="E13" s="1885"/>
    </row>
    <row r="14" spans="1:5" ht="15.75">
      <c r="A14" s="1885"/>
      <c r="B14" s="3049"/>
      <c r="C14" s="1888" t="s">
        <v>1624</v>
      </c>
      <c r="D14" s="986" t="e">
        <f>NUMBERSTRING(INT(D13*10000),2)&amp;"元整"</f>
        <v>#VALUE!</v>
      </c>
      <c r="E14" s="1885"/>
    </row>
    <row r="15" spans="1:5" ht="15">
      <c r="A15" s="1885"/>
      <c r="B15" s="3054"/>
      <c r="C15" s="1889" t="s">
        <v>1634</v>
      </c>
      <c r="D15" s="998" t="e">
        <f>结果表!H108</f>
        <v>#VALUE!</v>
      </c>
      <c r="E15" s="1885"/>
    </row>
    <row r="16" spans="1:5" ht="15">
      <c r="A16" s="1885"/>
      <c r="B16" s="3055" t="str">
        <f>结果表!E109</f>
        <v>3.抵押担保权已注销时的房地产抵押价值</v>
      </c>
      <c r="C16" s="1893" t="s">
        <v>1635</v>
      </c>
      <c r="D16" s="1894">
        <f ca="1">结果表!H109</f>
        <v>321247</v>
      </c>
      <c r="E16" s="1885"/>
    </row>
    <row r="17" spans="1:5" ht="15.75">
      <c r="A17" s="1885"/>
      <c r="B17" s="3056"/>
      <c r="C17" s="1888" t="s">
        <v>1636</v>
      </c>
      <c r="D17" s="986" t="str">
        <f ca="1">NUMBERSTRING(INT(D16*10000),2)&amp;"元整"</f>
        <v>叁拾贰亿壹仟贰佰肆拾柒万元整</v>
      </c>
      <c r="E17" s="1885"/>
    </row>
    <row r="18" spans="1:5" ht="15">
      <c r="A18" s="1885"/>
      <c r="B18" s="3057"/>
      <c r="C18" s="1889" t="s">
        <v>1625</v>
      </c>
      <c r="D18" s="998">
        <f ca="1">结果表!H110</f>
        <v>26893</v>
      </c>
      <c r="E18" s="1885"/>
    </row>
    <row r="19" spans="1:5" ht="15.75">
      <c r="A19" s="1885"/>
      <c r="B19" s="3048" t="str">
        <f>结果表!E111</f>
        <v>——</v>
      </c>
      <c r="C19" s="1893" t="s">
        <v>1623</v>
      </c>
      <c r="D19" s="987" t="str">
        <f>结果表!H111</f>
        <v>——</v>
      </c>
      <c r="E19" s="1885"/>
    </row>
    <row r="20" spans="1:5" ht="15.75">
      <c r="A20" s="1885"/>
      <c r="B20" s="3049"/>
      <c r="C20" s="1888" t="s">
        <v>1636</v>
      </c>
      <c r="D20" s="986" t="e">
        <f>NUMBERSTRING(INT(D19*10000),2)&amp;"元整"</f>
        <v>#VALUE!</v>
      </c>
      <c r="E20" s="1885"/>
    </row>
    <row r="21" spans="1:5" ht="15.75" thickBot="1">
      <c r="A21" s="1885"/>
      <c r="B21" s="3050"/>
      <c r="C21" s="1895" t="s">
        <v>1634</v>
      </c>
      <c r="D21" s="999" t="str">
        <f>结果表!H112</f>
        <v>——</v>
      </c>
      <c r="E21" s="1885"/>
    </row>
    <row r="22" spans="1:5" ht="15" thickTop="1">
      <c r="A22" s="1885"/>
      <c r="B22" s="1896" t="s">
        <v>1637</v>
      </c>
      <c r="C22" s="1885"/>
      <c r="D22" s="1885"/>
      <c r="E22" s="1885"/>
    </row>
    <row r="23" spans="1:5">
      <c r="A23" s="1885"/>
      <c r="B23" s="1885"/>
      <c r="C23" s="1885"/>
      <c r="D23" s="1885"/>
      <c r="E23" s="1885"/>
    </row>
    <row r="24" spans="1:5" ht="18.75">
      <c r="A24" s="1897"/>
      <c r="B24" s="1898" t="s">
        <v>1628</v>
      </c>
      <c r="C24" s="1897"/>
      <c r="D24" s="1897"/>
      <c r="E24" s="1897"/>
    </row>
    <row r="25" spans="1:5">
      <c r="A25" s="1897"/>
      <c r="B25" s="1897"/>
      <c r="C25" s="1897"/>
      <c r="D25" s="1897"/>
      <c r="E25" s="1897"/>
    </row>
    <row r="26" spans="1:5">
      <c r="A26" s="1897"/>
      <c r="B26" s="1897"/>
      <c r="C26" s="1897"/>
      <c r="D26" s="1897"/>
      <c r="E26" s="1897"/>
    </row>
    <row r="27" spans="1:5">
      <c r="A27" s="1897"/>
      <c r="B27" s="1897"/>
      <c r="C27" s="1897"/>
      <c r="D27" s="1897"/>
      <c r="E27" s="1897"/>
    </row>
    <row r="28" spans="1:5">
      <c r="A28" s="1897"/>
      <c r="B28" s="1897"/>
      <c r="C28" s="1897"/>
      <c r="D28" s="1897"/>
      <c r="E28" s="1897"/>
    </row>
    <row r="29" spans="1:5">
      <c r="A29" s="1897"/>
      <c r="B29" s="1897"/>
      <c r="C29" s="1897"/>
      <c r="D29" s="1897"/>
      <c r="E29" s="1897"/>
    </row>
    <row r="30" spans="1:5">
      <c r="A30" s="1897"/>
      <c r="B30" s="1897"/>
      <c r="C30" s="1897"/>
      <c r="D30" s="1897"/>
      <c r="E30" s="1897"/>
    </row>
    <row r="31" spans="1:5">
      <c r="A31" s="1897"/>
      <c r="B31" s="1897"/>
      <c r="C31" s="1897"/>
      <c r="D31" s="1897"/>
      <c r="E31" s="1897"/>
    </row>
    <row r="32" spans="1:5">
      <c r="A32" s="1897"/>
      <c r="B32" s="1897"/>
      <c r="C32" s="1897"/>
      <c r="D32" s="1897"/>
      <c r="E32" s="1897"/>
    </row>
    <row r="33" spans="1:5">
      <c r="A33" s="1897"/>
      <c r="B33" s="1897"/>
      <c r="C33" s="1897"/>
      <c r="D33" s="1897"/>
      <c r="E33" s="1897"/>
    </row>
    <row r="34" spans="1:5">
      <c r="A34" s="1897"/>
      <c r="B34" s="1897"/>
      <c r="C34" s="1897"/>
      <c r="D34" s="1897"/>
      <c r="E34" s="1897"/>
    </row>
    <row r="35" spans="1:5">
      <c r="A35" s="1897"/>
      <c r="B35" s="1897"/>
      <c r="C35" s="1897"/>
      <c r="D35" s="1897"/>
      <c r="E35" s="1897"/>
    </row>
    <row r="36" spans="1:5">
      <c r="A36" s="1897"/>
      <c r="B36" s="1897"/>
      <c r="C36" s="1897"/>
      <c r="D36" s="1897"/>
      <c r="E36" s="1897"/>
    </row>
    <row r="37" spans="1:5">
      <c r="A37" s="1897"/>
      <c r="B37" s="1897"/>
      <c r="C37" s="1897"/>
      <c r="D37" s="1897"/>
      <c r="E37" s="1897"/>
    </row>
    <row r="38" spans="1:5">
      <c r="A38" s="1897"/>
      <c r="B38" s="1897"/>
      <c r="C38" s="1897"/>
      <c r="D38" s="1897"/>
      <c r="E38" s="1897"/>
    </row>
    <row r="39" spans="1:5">
      <c r="A39" s="1897"/>
      <c r="B39" s="1897"/>
      <c r="C39" s="1897"/>
      <c r="D39" s="1897"/>
      <c r="E39" s="1897"/>
    </row>
    <row r="40" spans="1:5">
      <c r="A40" s="1897"/>
      <c r="B40" s="1897"/>
      <c r="C40" s="1897"/>
      <c r="D40" s="1897"/>
      <c r="E40" s="1897"/>
    </row>
    <row r="41" spans="1:5">
      <c r="A41" s="1897"/>
      <c r="B41" s="1897"/>
      <c r="C41" s="1897"/>
      <c r="D41" s="1897"/>
      <c r="E41" s="1897"/>
    </row>
    <row r="42" spans="1:5">
      <c r="A42" s="1897"/>
      <c r="B42" s="1897"/>
      <c r="C42" s="1897"/>
      <c r="D42" s="1897"/>
      <c r="E42" s="18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6" spans="1:13" ht="19.5" customHeight="1">
      <c r="A16" s="819" t="s">
        <v>556</v>
      </c>
      <c r="B16" s="819"/>
      <c r="C16" s="820"/>
      <c r="D16" s="820"/>
      <c r="E16" s="819"/>
      <c r="F16" s="820"/>
      <c r="G16" s="820"/>
    </row>
    <row r="17" spans="1:9" ht="19.5" customHeight="1">
      <c r="A17" s="761" t="s">
        <v>557</v>
      </c>
      <c r="B17" s="822" t="s">
        <v>558</v>
      </c>
      <c r="C17" s="879" t="s">
        <v>758</v>
      </c>
      <c r="D17" s="823"/>
      <c r="E17" s="761" t="s">
        <v>559</v>
      </c>
      <c r="F17" s="824"/>
      <c r="G17" s="824"/>
    </row>
    <row r="18" spans="1:9" s="830" customFormat="1" ht="19.5" customHeight="1">
      <c r="A18" s="3396" t="s">
        <v>183</v>
      </c>
      <c r="B18" s="825" t="s">
        <v>560</v>
      </c>
      <c r="C18" s="826" t="s">
        <v>561</v>
      </c>
      <c r="D18" s="827"/>
      <c r="E18" s="825">
        <v>1</v>
      </c>
      <c r="F18" s="828" t="s">
        <v>562</v>
      </c>
      <c r="G18" s="829"/>
      <c r="H18" s="821"/>
      <c r="I18" s="821"/>
    </row>
    <row r="19" spans="1:9" s="830" customFormat="1" ht="19.5" customHeight="1">
      <c r="A19" s="3396"/>
      <c r="B19" s="3396" t="s">
        <v>563</v>
      </c>
      <c r="C19" s="826" t="s">
        <v>564</v>
      </c>
      <c r="D19" s="827"/>
      <c r="E19" s="825">
        <v>0.9</v>
      </c>
      <c r="F19" s="828" t="s">
        <v>565</v>
      </c>
      <c r="G19" s="829"/>
      <c r="H19" s="821"/>
      <c r="I19" s="821"/>
    </row>
    <row r="20" spans="1:9" s="830" customFormat="1" ht="19.5" customHeight="1">
      <c r="A20" s="3396"/>
      <c r="B20" s="3396"/>
      <c r="C20" s="826" t="s">
        <v>566</v>
      </c>
      <c r="D20" s="827"/>
      <c r="E20" s="825">
        <v>1.1000000000000001</v>
      </c>
      <c r="F20" s="828" t="s">
        <v>567</v>
      </c>
      <c r="G20" s="829"/>
      <c r="H20" s="821"/>
      <c r="I20" s="821"/>
    </row>
    <row r="21" spans="1:9" s="830" customFormat="1" ht="19.5" customHeight="1">
      <c r="A21" s="3396"/>
      <c r="B21" s="3396"/>
      <c r="C21" s="826" t="s">
        <v>568</v>
      </c>
      <c r="D21" s="827"/>
      <c r="E21" s="825">
        <v>0.8</v>
      </c>
      <c r="F21" s="828" t="s">
        <v>569</v>
      </c>
      <c r="G21" s="829"/>
      <c r="H21" s="821"/>
      <c r="I21" s="821"/>
    </row>
    <row r="22" spans="1:9" s="830" customFormat="1" ht="19.5" customHeight="1">
      <c r="A22" s="3396"/>
      <c r="B22" s="3396"/>
      <c r="C22" s="826" t="s">
        <v>570</v>
      </c>
      <c r="D22" s="827"/>
      <c r="E22" s="825">
        <v>0.5</v>
      </c>
      <c r="F22" s="828"/>
      <c r="G22" s="829"/>
      <c r="H22" s="821"/>
      <c r="I22" s="821"/>
    </row>
    <row r="23" spans="1:9" s="830" customFormat="1" ht="19.5" customHeight="1">
      <c r="A23" s="3396" t="s">
        <v>184</v>
      </c>
      <c r="B23" s="825" t="s">
        <v>560</v>
      </c>
      <c r="C23" s="826" t="s">
        <v>571</v>
      </c>
      <c r="D23" s="827"/>
      <c r="E23" s="825">
        <v>1</v>
      </c>
      <c r="F23" s="828" t="s">
        <v>572</v>
      </c>
      <c r="G23" s="829"/>
      <c r="H23" s="821"/>
      <c r="I23" s="821"/>
    </row>
    <row r="24" spans="1:9" s="830" customFormat="1" ht="19.5" customHeight="1">
      <c r="A24" s="3396"/>
      <c r="B24" s="3396" t="s">
        <v>563</v>
      </c>
      <c r="C24" s="826" t="s">
        <v>573</v>
      </c>
      <c r="D24" s="827"/>
      <c r="E24" s="825">
        <v>0.5</v>
      </c>
      <c r="F24" s="828"/>
      <c r="G24" s="829"/>
      <c r="H24" s="821"/>
      <c r="I24" s="821"/>
    </row>
    <row r="25" spans="1:9" s="830" customFormat="1" ht="19.5" customHeight="1">
      <c r="A25" s="3396"/>
      <c r="B25" s="3396"/>
      <c r="C25" s="826" t="s">
        <v>574</v>
      </c>
      <c r="D25" s="827"/>
      <c r="E25" s="825">
        <v>1.1000000000000001</v>
      </c>
      <c r="F25" s="828"/>
      <c r="G25" s="829"/>
      <c r="H25" s="821"/>
      <c r="I25" s="821"/>
    </row>
    <row r="26" spans="1:9" s="830" customFormat="1" ht="19.5" customHeight="1">
      <c r="A26" s="3396"/>
      <c r="B26" s="3396"/>
      <c r="C26" s="826" t="s">
        <v>575</v>
      </c>
      <c r="D26" s="827"/>
      <c r="E26" s="825">
        <v>1.1000000000000001</v>
      </c>
      <c r="F26" s="828"/>
      <c r="G26" s="829"/>
      <c r="H26" s="821"/>
      <c r="I26" s="821"/>
    </row>
    <row r="27" spans="1:9" s="830" customFormat="1" ht="19.5" customHeight="1">
      <c r="A27" s="3396"/>
      <c r="B27" s="3396"/>
      <c r="C27" s="826" t="s">
        <v>576</v>
      </c>
      <c r="D27" s="827"/>
      <c r="E27" s="825">
        <v>0.9</v>
      </c>
      <c r="F27" s="828" t="s">
        <v>577</v>
      </c>
      <c r="G27" s="829"/>
      <c r="H27" s="821"/>
      <c r="I27" s="821"/>
    </row>
    <row r="28" spans="1:9" s="830" customFormat="1" ht="19.5" customHeight="1">
      <c r="A28" s="3396"/>
      <c r="B28" s="3396"/>
      <c r="C28" s="826" t="s">
        <v>578</v>
      </c>
      <c r="D28" s="827"/>
      <c r="E28" s="825">
        <v>0.9</v>
      </c>
      <c r="F28" s="828" t="s">
        <v>579</v>
      </c>
      <c r="G28" s="829"/>
      <c r="H28" s="821"/>
      <c r="I28" s="821"/>
    </row>
    <row r="29" spans="1:9" s="830" customFormat="1" ht="19.5" customHeight="1">
      <c r="A29" s="3396"/>
      <c r="B29" s="3396"/>
      <c r="C29" s="826" t="s">
        <v>580</v>
      </c>
      <c r="D29" s="827"/>
      <c r="E29" s="825">
        <v>0.9</v>
      </c>
      <c r="F29" s="828" t="s">
        <v>581</v>
      </c>
      <c r="G29" s="829"/>
      <c r="H29" s="821"/>
      <c r="I29" s="821"/>
    </row>
    <row r="30" spans="1:9" s="830" customFormat="1" ht="19.5" customHeight="1">
      <c r="A30" s="3396"/>
      <c r="B30" s="3396"/>
      <c r="C30" s="826" t="s">
        <v>582</v>
      </c>
      <c r="D30" s="827"/>
      <c r="E30" s="825">
        <v>0.9</v>
      </c>
      <c r="F30" s="828" t="s">
        <v>583</v>
      </c>
      <c r="G30" s="829"/>
      <c r="H30" s="821"/>
      <c r="I30" s="821"/>
    </row>
    <row r="31" spans="1:9" s="830" customFormat="1" ht="19.5" customHeight="1">
      <c r="A31" s="3396"/>
      <c r="B31" s="3396"/>
      <c r="C31" s="826" t="s">
        <v>584</v>
      </c>
      <c r="D31" s="827"/>
      <c r="E31" s="825">
        <v>0.8</v>
      </c>
      <c r="F31" s="828" t="s">
        <v>585</v>
      </c>
      <c r="G31" s="829"/>
      <c r="H31" s="821"/>
      <c r="I31" s="821"/>
    </row>
    <row r="32" spans="1:9" s="830" customFormat="1" ht="19.5" customHeight="1">
      <c r="A32" s="3396"/>
      <c r="B32" s="3396"/>
      <c r="C32" s="826" t="s">
        <v>586</v>
      </c>
      <c r="D32" s="827"/>
      <c r="E32" s="825">
        <v>0.8</v>
      </c>
      <c r="F32" s="828" t="s">
        <v>587</v>
      </c>
      <c r="G32" s="829"/>
      <c r="H32" s="821"/>
      <c r="I32" s="821"/>
    </row>
    <row r="33" spans="1:9" s="830" customFormat="1" ht="19.5" customHeight="1">
      <c r="A33" s="3396" t="s">
        <v>185</v>
      </c>
      <c r="B33" s="825" t="s">
        <v>560</v>
      </c>
      <c r="C33" s="826" t="s">
        <v>588</v>
      </c>
      <c r="D33" s="827"/>
      <c r="E33" s="825">
        <v>1</v>
      </c>
      <c r="F33" s="828" t="s">
        <v>589</v>
      </c>
      <c r="G33" s="829"/>
      <c r="H33" s="821"/>
      <c r="I33" s="821"/>
    </row>
    <row r="34" spans="1:9" s="830" customFormat="1" ht="19.5" customHeight="1">
      <c r="A34" s="3396"/>
      <c r="B34" s="825" t="s">
        <v>563</v>
      </c>
      <c r="C34" s="826" t="s">
        <v>590</v>
      </c>
      <c r="D34" s="827"/>
      <c r="E34" s="825">
        <v>1.5</v>
      </c>
      <c r="F34" s="828" t="s">
        <v>591</v>
      </c>
      <c r="G34" s="829"/>
      <c r="H34" s="821"/>
      <c r="I34" s="821"/>
    </row>
    <row r="35" spans="1:9" s="830" customFormat="1" ht="19.5" customHeight="1">
      <c r="A35" s="3396" t="s">
        <v>186</v>
      </c>
      <c r="B35" s="825" t="s">
        <v>560</v>
      </c>
      <c r="C35" s="826" t="s">
        <v>592</v>
      </c>
      <c r="D35" s="827"/>
      <c r="E35" s="825">
        <v>1</v>
      </c>
      <c r="F35" s="828" t="s">
        <v>593</v>
      </c>
      <c r="G35" s="829"/>
      <c r="H35" s="821"/>
      <c r="I35" s="821"/>
    </row>
    <row r="36" spans="1:9" s="830" customFormat="1" ht="19.5" customHeight="1">
      <c r="A36" s="3396"/>
      <c r="B36" s="3396" t="s">
        <v>563</v>
      </c>
      <c r="C36" s="826" t="s">
        <v>594</v>
      </c>
      <c r="D36" s="827"/>
      <c r="E36" s="825">
        <v>1</v>
      </c>
      <c r="F36" s="828" t="s">
        <v>595</v>
      </c>
      <c r="G36" s="829"/>
      <c r="H36" s="821"/>
      <c r="I36" s="821"/>
    </row>
    <row r="37" spans="1:9" s="830" customFormat="1" ht="19.5" customHeight="1">
      <c r="A37" s="3396"/>
      <c r="B37" s="3396"/>
      <c r="C37" s="826" t="s">
        <v>596</v>
      </c>
      <c r="D37" s="827"/>
      <c r="E37" s="825">
        <v>1.5</v>
      </c>
      <c r="F37" s="828" t="s">
        <v>597</v>
      </c>
      <c r="G37" s="829"/>
      <c r="H37" s="821"/>
      <c r="I37" s="821"/>
    </row>
    <row r="38" spans="1:9" s="830" customFormat="1" ht="19.5" customHeight="1">
      <c r="A38" s="3396"/>
      <c r="B38" s="3396"/>
      <c r="C38" s="826" t="s">
        <v>598</v>
      </c>
      <c r="D38" s="827"/>
      <c r="E38" s="825">
        <v>1</v>
      </c>
      <c r="F38" s="828" t="s">
        <v>599</v>
      </c>
      <c r="G38" s="829"/>
      <c r="H38" s="821"/>
      <c r="I38" s="821"/>
    </row>
    <row r="39" spans="1:9" s="830" customFormat="1" ht="19.5" customHeight="1">
      <c r="A39" s="3396"/>
      <c r="B39" s="3396"/>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6"/>
      <c r="B60" s="886"/>
      <c r="C60" s="886" t="s">
        <v>745</v>
      </c>
      <c r="D60" s="886"/>
      <c r="E60" s="838" t="s">
        <v>1</v>
      </c>
      <c r="F60" s="886" t="s">
        <v>1</v>
      </c>
    </row>
    <row r="61" spans="1:8" s="821" customFormat="1" ht="24">
      <c r="A61" s="825">
        <v>1</v>
      </c>
      <c r="B61" s="3396" t="s">
        <v>614</v>
      </c>
      <c r="C61" s="761" t="s">
        <v>615</v>
      </c>
      <c r="D61" s="761" t="s">
        <v>616</v>
      </c>
      <c r="E61" s="838">
        <v>0.5</v>
      </c>
      <c r="F61" s="825">
        <v>80</v>
      </c>
    </row>
    <row r="62" spans="1:8" s="821" customFormat="1" ht="24">
      <c r="A62" s="825">
        <v>2</v>
      </c>
      <c r="B62" s="3396"/>
      <c r="C62" s="761" t="s">
        <v>617</v>
      </c>
      <c r="D62" s="761" t="s">
        <v>618</v>
      </c>
      <c r="E62" s="838">
        <v>0.5</v>
      </c>
      <c r="F62" s="825">
        <v>80</v>
      </c>
    </row>
    <row r="63" spans="1:8" s="821" customFormat="1" ht="36">
      <c r="A63" s="825">
        <v>3</v>
      </c>
      <c r="B63" s="3396"/>
      <c r="C63" s="761" t="s">
        <v>619</v>
      </c>
      <c r="D63" s="761" t="s">
        <v>620</v>
      </c>
      <c r="E63" s="838">
        <v>0.5</v>
      </c>
      <c r="F63" s="825">
        <v>80</v>
      </c>
    </row>
    <row r="64" spans="1:8" s="821" customFormat="1" ht="36">
      <c r="A64" s="825">
        <v>4</v>
      </c>
      <c r="B64" s="3396"/>
      <c r="C64" s="761" t="s">
        <v>621</v>
      </c>
      <c r="D64" s="761" t="s">
        <v>622</v>
      </c>
      <c r="E64" s="838">
        <v>0.4</v>
      </c>
      <c r="F64" s="825">
        <v>60</v>
      </c>
    </row>
    <row r="65" spans="1:6" s="821" customFormat="1" ht="36">
      <c r="A65" s="825">
        <v>5</v>
      </c>
      <c r="B65" s="3396"/>
      <c r="C65" s="761" t="s">
        <v>623</v>
      </c>
      <c r="D65" s="761" t="s">
        <v>624</v>
      </c>
      <c r="E65" s="838">
        <v>0.2</v>
      </c>
      <c r="F65" s="825">
        <v>30</v>
      </c>
    </row>
    <row r="66" spans="1:6" s="821" customFormat="1" ht="36">
      <c r="A66" s="825">
        <v>6</v>
      </c>
      <c r="B66" s="3396"/>
      <c r="C66" s="761" t="s">
        <v>625</v>
      </c>
      <c r="D66" s="761" t="s">
        <v>626</v>
      </c>
      <c r="E66" s="838">
        <v>0.3</v>
      </c>
      <c r="F66" s="825">
        <v>50</v>
      </c>
    </row>
    <row r="67" spans="1:6" s="821" customFormat="1" ht="36">
      <c r="A67" s="825">
        <v>7</v>
      </c>
      <c r="B67" s="3396"/>
      <c r="C67" s="761" t="s">
        <v>627</v>
      </c>
      <c r="D67" s="761" t="s">
        <v>628</v>
      </c>
      <c r="E67" s="838">
        <v>0.2</v>
      </c>
      <c r="F67" s="825">
        <v>30</v>
      </c>
    </row>
    <row r="68" spans="1:6" s="821" customFormat="1" ht="36">
      <c r="A68" s="825">
        <v>8</v>
      </c>
      <c r="B68" s="3396"/>
      <c r="C68" s="761" t="s">
        <v>629</v>
      </c>
      <c r="D68" s="761" t="s">
        <v>630</v>
      </c>
      <c r="E68" s="838">
        <v>0.2</v>
      </c>
      <c r="F68" s="825">
        <v>30</v>
      </c>
    </row>
    <row r="69" spans="1:6" s="821" customFormat="1" ht="36">
      <c r="A69" s="825">
        <v>9</v>
      </c>
      <c r="B69" s="3396"/>
      <c r="C69" s="761" t="s">
        <v>631</v>
      </c>
      <c r="D69" s="761" t="s">
        <v>632</v>
      </c>
      <c r="E69" s="838">
        <v>0.2</v>
      </c>
      <c r="F69" s="825">
        <v>30</v>
      </c>
    </row>
    <row r="70" spans="1:6" s="821" customFormat="1" ht="48">
      <c r="A70" s="825">
        <v>10</v>
      </c>
      <c r="B70" s="3396"/>
      <c r="C70" s="761" t="s">
        <v>633</v>
      </c>
      <c r="D70" s="761" t="s">
        <v>634</v>
      </c>
      <c r="E70" s="838">
        <v>0.2</v>
      </c>
      <c r="F70" s="825">
        <v>30</v>
      </c>
    </row>
    <row r="71" spans="1:6" s="821" customFormat="1" ht="48">
      <c r="A71" s="825">
        <v>11</v>
      </c>
      <c r="B71" s="3396"/>
      <c r="C71" s="761" t="s">
        <v>635</v>
      </c>
      <c r="D71" s="761" t="s">
        <v>636</v>
      </c>
      <c r="E71" s="838">
        <v>0.2</v>
      </c>
      <c r="F71" s="825">
        <v>30</v>
      </c>
    </row>
    <row r="72" spans="1:6" s="821" customFormat="1" ht="36">
      <c r="A72" s="825">
        <v>12</v>
      </c>
      <c r="B72" s="3396"/>
      <c r="C72" s="761" t="s">
        <v>637</v>
      </c>
      <c r="D72" s="761" t="s">
        <v>638</v>
      </c>
      <c r="E72" s="838">
        <v>0.5</v>
      </c>
      <c r="F72" s="825">
        <v>80</v>
      </c>
    </row>
    <row r="73" spans="1:6" s="821" customFormat="1" ht="24">
      <c r="A73" s="825">
        <v>13</v>
      </c>
      <c r="B73" s="3396"/>
      <c r="C73" s="761" t="s">
        <v>639</v>
      </c>
      <c r="D73" s="761" t="s">
        <v>640</v>
      </c>
      <c r="E73" s="838">
        <v>0.4</v>
      </c>
      <c r="F73" s="825">
        <v>60</v>
      </c>
    </row>
    <row r="74" spans="1:6" s="821" customFormat="1" ht="24">
      <c r="A74" s="825">
        <v>14</v>
      </c>
      <c r="B74" s="3396"/>
      <c r="C74" s="761" t="s">
        <v>641</v>
      </c>
      <c r="D74" s="761" t="s">
        <v>642</v>
      </c>
      <c r="E74" s="838">
        <v>0.2</v>
      </c>
      <c r="F74" s="825">
        <v>30</v>
      </c>
    </row>
    <row r="75" spans="1:6" s="821" customFormat="1" ht="24">
      <c r="A75" s="825">
        <v>15</v>
      </c>
      <c r="B75" s="3396"/>
      <c r="C75" s="761" t="s">
        <v>643</v>
      </c>
      <c r="D75" s="761" t="s">
        <v>644</v>
      </c>
      <c r="E75" s="838">
        <v>0.2</v>
      </c>
      <c r="F75" s="825">
        <v>30</v>
      </c>
    </row>
    <row r="76" spans="1:6" s="821" customFormat="1" ht="24">
      <c r="A76" s="825">
        <v>16</v>
      </c>
      <c r="B76" s="3396" t="s">
        <v>645</v>
      </c>
      <c r="C76" s="761" t="s">
        <v>646</v>
      </c>
      <c r="D76" s="761" t="s">
        <v>647</v>
      </c>
      <c r="E76" s="838">
        <v>0.5</v>
      </c>
      <c r="F76" s="825">
        <v>80</v>
      </c>
    </row>
    <row r="77" spans="1:6" s="821" customFormat="1" ht="24">
      <c r="A77" s="825">
        <v>17</v>
      </c>
      <c r="B77" s="3396"/>
      <c r="C77" s="761" t="s">
        <v>648</v>
      </c>
      <c r="D77" s="761" t="s">
        <v>649</v>
      </c>
      <c r="E77" s="838">
        <v>0.5</v>
      </c>
      <c r="F77" s="825">
        <v>80</v>
      </c>
    </row>
    <row r="78" spans="1:6" s="821" customFormat="1" ht="24">
      <c r="A78" s="825">
        <v>18</v>
      </c>
      <c r="B78" s="3396"/>
      <c r="C78" s="761" t="s">
        <v>650</v>
      </c>
      <c r="D78" s="761" t="s">
        <v>651</v>
      </c>
      <c r="E78" s="838">
        <v>0.2</v>
      </c>
      <c r="F78" s="825">
        <v>30</v>
      </c>
    </row>
    <row r="79" spans="1:6" s="821" customFormat="1" ht="24">
      <c r="A79" s="825">
        <v>19</v>
      </c>
      <c r="B79" s="3396"/>
      <c r="C79" s="761" t="s">
        <v>652</v>
      </c>
      <c r="D79" s="761" t="s">
        <v>653</v>
      </c>
      <c r="E79" s="838">
        <v>0.5</v>
      </c>
      <c r="F79" s="825">
        <v>80</v>
      </c>
    </row>
    <row r="80" spans="1:6" s="821" customFormat="1" ht="36">
      <c r="A80" s="825">
        <v>20</v>
      </c>
      <c r="B80" s="3396"/>
      <c r="C80" s="761" t="s">
        <v>654</v>
      </c>
      <c r="D80" s="761" t="s">
        <v>655</v>
      </c>
      <c r="E80" s="838">
        <v>0.2</v>
      </c>
      <c r="F80" s="825">
        <v>30</v>
      </c>
    </row>
    <row r="81" spans="1:6" s="821" customFormat="1" ht="36">
      <c r="A81" s="825">
        <v>21</v>
      </c>
      <c r="B81" s="3396"/>
      <c r="C81" s="761" t="s">
        <v>656</v>
      </c>
      <c r="D81" s="761" t="s">
        <v>657</v>
      </c>
      <c r="E81" s="838">
        <v>0.2</v>
      </c>
      <c r="F81" s="825">
        <v>30</v>
      </c>
    </row>
    <row r="82" spans="1:6" s="821" customFormat="1" ht="48">
      <c r="A82" s="825">
        <v>22</v>
      </c>
      <c r="B82" s="3396"/>
      <c r="C82" s="761" t="s">
        <v>658</v>
      </c>
      <c r="D82" s="761" t="s">
        <v>659</v>
      </c>
      <c r="E82" s="838">
        <v>0.2</v>
      </c>
      <c r="F82" s="825">
        <v>30</v>
      </c>
    </row>
    <row r="83" spans="1:6" s="821" customFormat="1" ht="48">
      <c r="A83" s="825">
        <v>23</v>
      </c>
      <c r="B83" s="3396"/>
      <c r="C83" s="761" t="s">
        <v>660</v>
      </c>
      <c r="D83" s="761" t="s">
        <v>661</v>
      </c>
      <c r="E83" s="838">
        <v>0.2</v>
      </c>
      <c r="F83" s="825">
        <v>30</v>
      </c>
    </row>
    <row r="84" spans="1:6" s="821" customFormat="1" ht="36">
      <c r="A84" s="825">
        <v>24</v>
      </c>
      <c r="B84" s="3396"/>
      <c r="C84" s="761" t="s">
        <v>662</v>
      </c>
      <c r="D84" s="761" t="s">
        <v>663</v>
      </c>
      <c r="E84" s="838">
        <v>0.2</v>
      </c>
      <c r="F84" s="825">
        <v>30</v>
      </c>
    </row>
    <row r="85" spans="1:6" s="821" customFormat="1" ht="36">
      <c r="A85" s="825">
        <v>25</v>
      </c>
      <c r="B85" s="3396"/>
      <c r="C85" s="761" t="s">
        <v>664</v>
      </c>
      <c r="D85" s="761" t="s">
        <v>665</v>
      </c>
      <c r="E85" s="838">
        <v>0.5</v>
      </c>
      <c r="F85" s="825">
        <v>80</v>
      </c>
    </row>
    <row r="86" spans="1:6" s="821" customFormat="1" ht="36">
      <c r="A86" s="825">
        <v>26</v>
      </c>
      <c r="B86" s="3396"/>
      <c r="C86" s="761" t="s">
        <v>666</v>
      </c>
      <c r="D86" s="761" t="s">
        <v>667</v>
      </c>
      <c r="E86" s="838">
        <v>0.2</v>
      </c>
      <c r="F86" s="825">
        <v>30</v>
      </c>
    </row>
    <row r="87" spans="1:6" s="821" customFormat="1" ht="36">
      <c r="A87" s="825">
        <v>27</v>
      </c>
      <c r="B87" s="3396"/>
      <c r="C87" s="761" t="s">
        <v>668</v>
      </c>
      <c r="D87" s="761" t="s">
        <v>669</v>
      </c>
      <c r="E87" s="838">
        <v>0.2</v>
      </c>
      <c r="F87" s="825">
        <v>30</v>
      </c>
    </row>
    <row r="88" spans="1:6" s="821" customFormat="1" ht="36">
      <c r="A88" s="825">
        <v>28</v>
      </c>
      <c r="B88" s="3396"/>
      <c r="C88" s="761" t="s">
        <v>670</v>
      </c>
      <c r="D88" s="761" t="s">
        <v>671</v>
      </c>
      <c r="E88" s="838">
        <v>0.2</v>
      </c>
      <c r="F88" s="825">
        <v>30</v>
      </c>
    </row>
    <row r="89" spans="1:6" s="821" customFormat="1" ht="24">
      <c r="A89" s="825">
        <v>29</v>
      </c>
      <c r="B89" s="3396"/>
      <c r="C89" s="761" t="s">
        <v>672</v>
      </c>
      <c r="D89" s="761" t="s">
        <v>673</v>
      </c>
      <c r="E89" s="838">
        <v>0.2</v>
      </c>
      <c r="F89" s="825">
        <v>30</v>
      </c>
    </row>
    <row r="90" spans="1:6" s="821" customFormat="1" ht="24">
      <c r="A90" s="825">
        <v>30</v>
      </c>
      <c r="B90" s="3396"/>
      <c r="C90" s="761" t="s">
        <v>674</v>
      </c>
      <c r="D90" s="761" t="s">
        <v>675</v>
      </c>
      <c r="E90" s="838">
        <v>0.2</v>
      </c>
      <c r="F90" s="825">
        <v>30</v>
      </c>
    </row>
    <row r="91" spans="1:6" s="821" customFormat="1" ht="36">
      <c r="A91" s="825">
        <v>31</v>
      </c>
      <c r="B91" s="3396"/>
      <c r="C91" s="761" t="s">
        <v>676</v>
      </c>
      <c r="D91" s="761" t="s">
        <v>677</v>
      </c>
      <c r="E91" s="838">
        <v>0.2</v>
      </c>
      <c r="F91" s="825">
        <v>30</v>
      </c>
    </row>
    <row r="92" spans="1:6" s="821" customFormat="1" ht="24">
      <c r="A92" s="825">
        <v>32</v>
      </c>
      <c r="B92" s="3396" t="s">
        <v>678</v>
      </c>
      <c r="C92" s="825" t="s">
        <v>679</v>
      </c>
      <c r="D92" s="761" t="s">
        <v>680</v>
      </c>
      <c r="E92" s="838">
        <v>0.2</v>
      </c>
      <c r="F92" s="825">
        <v>30</v>
      </c>
    </row>
    <row r="93" spans="1:6" s="821" customFormat="1" ht="36">
      <c r="A93" s="825">
        <v>33</v>
      </c>
      <c r="B93" s="3396"/>
      <c r="C93" s="825" t="s">
        <v>681</v>
      </c>
      <c r="D93" s="761" t="s">
        <v>682</v>
      </c>
      <c r="E93" s="838">
        <v>0.2</v>
      </c>
      <c r="F93" s="825">
        <v>30</v>
      </c>
    </row>
    <row r="94" spans="1:6" s="821" customFormat="1" ht="48">
      <c r="A94" s="825">
        <v>34</v>
      </c>
      <c r="B94" s="3396"/>
      <c r="C94" s="825" t="s">
        <v>683</v>
      </c>
      <c r="D94" s="761" t="s">
        <v>684</v>
      </c>
      <c r="E94" s="838">
        <v>0.2</v>
      </c>
      <c r="F94" s="825">
        <v>30</v>
      </c>
    </row>
    <row r="95" spans="1:6" s="821" customFormat="1" ht="36">
      <c r="A95" s="825">
        <v>35</v>
      </c>
      <c r="B95" s="3396"/>
      <c r="C95" s="825" t="s">
        <v>685</v>
      </c>
      <c r="D95" s="761" t="s">
        <v>686</v>
      </c>
      <c r="E95" s="838">
        <v>0.2</v>
      </c>
      <c r="F95" s="825">
        <v>30</v>
      </c>
    </row>
    <row r="96" spans="1:6" s="821" customFormat="1" ht="48">
      <c r="A96" s="825">
        <v>36</v>
      </c>
      <c r="B96" s="3396"/>
      <c r="C96" s="761" t="s">
        <v>687</v>
      </c>
      <c r="D96" s="761" t="s">
        <v>688</v>
      </c>
      <c r="E96" s="838">
        <v>0.2</v>
      </c>
      <c r="F96" s="825">
        <v>30</v>
      </c>
    </row>
    <row r="97" spans="1:6" s="821" customFormat="1" ht="36">
      <c r="A97" s="825">
        <v>37</v>
      </c>
      <c r="B97" s="3396"/>
      <c r="C97" s="825" t="s">
        <v>689</v>
      </c>
      <c r="D97" s="761" t="s">
        <v>690</v>
      </c>
      <c r="E97" s="838">
        <v>0.2</v>
      </c>
      <c r="F97" s="825">
        <v>30</v>
      </c>
    </row>
    <row r="98" spans="1:6" s="821" customFormat="1" ht="36">
      <c r="A98" s="825">
        <v>38</v>
      </c>
      <c r="B98" s="3396"/>
      <c r="C98" s="825" t="s">
        <v>691</v>
      </c>
      <c r="D98" s="761" t="s">
        <v>692</v>
      </c>
      <c r="E98" s="838">
        <v>0.2</v>
      </c>
      <c r="F98" s="825">
        <v>30</v>
      </c>
    </row>
    <row r="99" spans="1:6" s="821" customFormat="1" ht="36">
      <c r="A99" s="825">
        <v>39</v>
      </c>
      <c r="B99" s="3396" t="s">
        <v>693</v>
      </c>
      <c r="C99" s="825" t="s">
        <v>694</v>
      </c>
      <c r="D99" s="761" t="s">
        <v>695</v>
      </c>
      <c r="E99" s="838">
        <v>0.3</v>
      </c>
      <c r="F99" s="825">
        <v>50</v>
      </c>
    </row>
    <row r="100" spans="1:6" s="821" customFormat="1" ht="24">
      <c r="A100" s="825">
        <v>40</v>
      </c>
      <c r="B100" s="3396"/>
      <c r="C100" s="825" t="s">
        <v>696</v>
      </c>
      <c r="D100" s="761" t="s">
        <v>697</v>
      </c>
      <c r="E100" s="838">
        <v>0.2</v>
      </c>
      <c r="F100" s="825">
        <v>30</v>
      </c>
    </row>
    <row r="101" spans="1:6" s="821" customFormat="1" ht="36">
      <c r="A101" s="825">
        <v>41</v>
      </c>
      <c r="B101" s="3396"/>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396" t="s">
        <v>708</v>
      </c>
      <c r="C105" s="825" t="s">
        <v>709</v>
      </c>
      <c r="D105" s="761" t="s">
        <v>710</v>
      </c>
      <c r="E105" s="838">
        <v>0.2</v>
      </c>
      <c r="F105" s="825">
        <v>30</v>
      </c>
    </row>
    <row r="106" spans="1:6" s="821" customFormat="1" ht="36">
      <c r="A106" s="825">
        <v>46</v>
      </c>
      <c r="B106" s="3396"/>
      <c r="C106" s="825" t="s">
        <v>711</v>
      </c>
      <c r="D106" s="761" t="s">
        <v>712</v>
      </c>
      <c r="E106" s="838">
        <v>0.2</v>
      </c>
      <c r="F106" s="825">
        <v>30</v>
      </c>
    </row>
    <row r="107" spans="1:6" s="821" customFormat="1" ht="36">
      <c r="A107" s="825">
        <v>47</v>
      </c>
      <c r="B107" s="3396" t="s">
        <v>713</v>
      </c>
      <c r="C107" s="825" t="s">
        <v>714</v>
      </c>
      <c r="D107" s="761" t="s">
        <v>715</v>
      </c>
      <c r="E107" s="838">
        <v>0.3</v>
      </c>
      <c r="F107" s="825">
        <v>50</v>
      </c>
    </row>
    <row r="108" spans="1:6" s="821" customFormat="1" ht="36">
      <c r="A108" s="825">
        <v>48</v>
      </c>
      <c r="B108" s="3396"/>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396" t="s">
        <v>724</v>
      </c>
      <c r="C111" s="825" t="s">
        <v>725</v>
      </c>
      <c r="D111" s="761" t="s">
        <v>726</v>
      </c>
      <c r="E111" s="838">
        <v>0.2</v>
      </c>
      <c r="F111" s="825">
        <v>30</v>
      </c>
    </row>
    <row r="112" spans="1:6" s="821" customFormat="1" ht="24">
      <c r="A112" s="825">
        <v>52</v>
      </c>
      <c r="B112" s="3396"/>
      <c r="C112" s="825" t="s">
        <v>727</v>
      </c>
      <c r="D112" s="761" t="s">
        <v>728</v>
      </c>
      <c r="E112" s="838">
        <v>0.2</v>
      </c>
      <c r="F112" s="825">
        <v>30</v>
      </c>
    </row>
    <row r="113" spans="1:6" s="821" customFormat="1" ht="24">
      <c r="A113" s="825">
        <v>53</v>
      </c>
      <c r="B113" s="3396"/>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396" t="s">
        <v>737</v>
      </c>
      <c r="C116" s="825" t="s">
        <v>738</v>
      </c>
      <c r="D116" s="761" t="s">
        <v>739</v>
      </c>
      <c r="E116" s="838">
        <v>0.2</v>
      </c>
      <c r="F116" s="825">
        <v>30</v>
      </c>
    </row>
    <row r="117" spans="1:6" ht="36">
      <c r="A117" s="825">
        <v>57</v>
      </c>
      <c r="B117" s="3396"/>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0</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9" sqref="C39"/>
    </sheetView>
  </sheetViews>
  <sheetFormatPr defaultRowHeight="14.25"/>
  <cols>
    <col min="1" max="1" width="23.375" style="1871" customWidth="1"/>
    <col min="2" max="2" width="12.5" style="1871" customWidth="1"/>
    <col min="3" max="3" width="12.125" style="1871" customWidth="1"/>
    <col min="4" max="4" width="14.125" style="1871" customWidth="1"/>
    <col min="5" max="5" width="12.5" style="1871" customWidth="1"/>
    <col min="6" max="16384" width="9" style="1871"/>
  </cols>
  <sheetData>
    <row r="1" spans="1:5" ht="21">
      <c r="A1" s="2426" t="s">
        <v>2875</v>
      </c>
    </row>
    <row r="2" spans="1:5" ht="15.75">
      <c r="A2" s="2773" t="s">
        <v>2867</v>
      </c>
      <c r="B2" s="2774" t="e">
        <f ca="1">SUMIF(B6:B13,"&lt;&gt;#ref!",B6:B13)</f>
        <v>#DIV/0!</v>
      </c>
      <c r="C2" s="2773" t="s">
        <v>2868</v>
      </c>
      <c r="D2" s="2773" t="s">
        <v>2869</v>
      </c>
      <c r="E2" s="2774">
        <f ca="1">SUMIF(E6:E13,"&lt;&gt;#ref!",E6:E13)</f>
        <v>0</v>
      </c>
    </row>
    <row r="3" spans="1:5" ht="15.75">
      <c r="A3" s="2773" t="s">
        <v>2870</v>
      </c>
      <c r="B3" s="2774" t="e">
        <f ca="1">ROUND(B2*10000/E2,0)</f>
        <v>#DIV/0!</v>
      </c>
      <c r="C3" s="2773" t="s">
        <v>2876</v>
      </c>
      <c r="D3" s="2775"/>
      <c r="E3" s="2775"/>
    </row>
    <row r="4" spans="1:5" ht="15.75">
      <c r="A4" s="2776"/>
      <c r="B4" s="2775"/>
      <c r="C4" s="2775"/>
      <c r="D4" s="2775"/>
      <c r="E4" s="2775"/>
    </row>
    <row r="5" spans="1:5" ht="28.5">
      <c r="A5" s="2777" t="s">
        <v>2871</v>
      </c>
      <c r="B5" s="2773" t="s">
        <v>2872</v>
      </c>
      <c r="C5" s="2774"/>
      <c r="D5" s="2775"/>
      <c r="E5" s="2773" t="s">
        <v>2873</v>
      </c>
    </row>
    <row r="6" spans="1:5" ht="15.75">
      <c r="A6" s="2778" t="s">
        <v>2874</v>
      </c>
      <c r="B6" s="2774" t="e">
        <f ca="1">SUMIF(INDIRECT("'"&amp;A6&amp;"'"&amp;"!A:A"),"总价",INDIRECT("'"&amp;A6&amp;"'"&amp;"!B:B"))</f>
        <v>#DIV/0!</v>
      </c>
      <c r="C6" s="2773" t="s">
        <v>2868</v>
      </c>
      <c r="D6" s="2775"/>
      <c r="E6" s="2440">
        <f ca="1">SUMIF(INDIRECT("'"&amp;A6&amp;"'"&amp;"!C:C"),"建筑面积",INDIRECT("'"&amp;A6&amp;"'"&amp;"!D:D"))</f>
        <v>0</v>
      </c>
    </row>
    <row r="7" spans="1:5" ht="15.75">
      <c r="A7" s="2778"/>
      <c r="B7" s="2774" t="e">
        <f ca="1">SUMIF(INDIRECT("'"&amp;A7&amp;"'"&amp;"!A:A"),"总价",INDIRECT("'"&amp;A7&amp;"'"&amp;"!B:B"))</f>
        <v>#REF!</v>
      </c>
      <c r="C7" s="2773" t="s">
        <v>2868</v>
      </c>
      <c r="D7" s="2775"/>
      <c r="E7" s="2440" t="e">
        <f t="shared" ref="E7:E13" ca="1" si="0">SUMIF(INDIRECT("'"&amp;A7&amp;"'"&amp;"!C:C"),"建筑面积",INDIRECT("'"&amp;A7&amp;"'"&amp;"!D:D"))</f>
        <v>#REF!</v>
      </c>
    </row>
    <row r="8" spans="1:5" ht="15.75">
      <c r="A8" s="2778"/>
      <c r="B8" s="2774" t="e">
        <f t="shared" ref="B8:B13" ca="1" si="1">SUMIF(INDIRECT("'"&amp;A8&amp;"'"&amp;"!A:A"),"总价",INDIRECT("'"&amp;A8&amp;"'"&amp;"!B:B"))</f>
        <v>#REF!</v>
      </c>
      <c r="C8" s="2773" t="s">
        <v>2868</v>
      </c>
      <c r="D8" s="2775"/>
      <c r="E8" s="2440" t="e">
        <f t="shared" ca="1" si="0"/>
        <v>#REF!</v>
      </c>
    </row>
    <row r="9" spans="1:5" ht="15.75">
      <c r="A9" s="2778"/>
      <c r="B9" s="2774" t="e">
        <f t="shared" ca="1" si="1"/>
        <v>#REF!</v>
      </c>
      <c r="C9" s="2773" t="s">
        <v>2868</v>
      </c>
      <c r="D9" s="2775"/>
      <c r="E9" s="2440" t="e">
        <f t="shared" ca="1" si="0"/>
        <v>#REF!</v>
      </c>
    </row>
    <row r="10" spans="1:5" ht="15.75">
      <c r="A10" s="2778"/>
      <c r="B10" s="2774" t="e">
        <f t="shared" ca="1" si="1"/>
        <v>#REF!</v>
      </c>
      <c r="C10" s="2773" t="s">
        <v>2868</v>
      </c>
      <c r="D10" s="2775"/>
      <c r="E10" s="2440" t="e">
        <f t="shared" ca="1" si="0"/>
        <v>#REF!</v>
      </c>
    </row>
    <row r="11" spans="1:5" ht="15.75">
      <c r="A11" s="2778"/>
      <c r="B11" s="2774" t="e">
        <f t="shared" ca="1" si="1"/>
        <v>#REF!</v>
      </c>
      <c r="C11" s="2773" t="s">
        <v>2868</v>
      </c>
      <c r="D11" s="2775"/>
      <c r="E11" s="2440" t="e">
        <f t="shared" ca="1" si="0"/>
        <v>#REF!</v>
      </c>
    </row>
    <row r="12" spans="1:5" ht="15.75">
      <c r="A12" s="2778"/>
      <c r="B12" s="2774" t="e">
        <f t="shared" ca="1" si="1"/>
        <v>#REF!</v>
      </c>
      <c r="C12" s="2773" t="s">
        <v>2868</v>
      </c>
      <c r="D12" s="2775"/>
      <c r="E12" s="2440" t="e">
        <f t="shared" ca="1" si="0"/>
        <v>#REF!</v>
      </c>
    </row>
    <row r="13" spans="1:5" ht="15.75">
      <c r="A13" s="2778"/>
      <c r="B13" s="2774" t="e">
        <f t="shared" ca="1" si="1"/>
        <v>#REF!</v>
      </c>
      <c r="C13" s="2773" t="s">
        <v>2868</v>
      </c>
      <c r="D13" s="2775"/>
      <c r="E13" s="244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9" sqref="C39"/>
    </sheetView>
  </sheetViews>
  <sheetFormatPr defaultRowHeight="12.75"/>
  <cols>
    <col min="1" max="1" width="9" style="1402"/>
    <col min="2" max="6" width="9" style="1402" customWidth="1"/>
    <col min="7" max="7" width="9" style="1417"/>
    <col min="8" max="8" width="9" style="1402"/>
    <col min="9" max="12" width="9" style="1402" customWidth="1"/>
    <col min="13" max="13" width="2.25" style="1402" customWidth="1"/>
    <col min="14" max="14" width="9" style="1417" customWidth="1"/>
    <col min="15" max="17" width="9" style="1402" customWidth="1"/>
    <col min="18" max="18" width="2.375" style="1402" customWidth="1"/>
    <col min="19" max="19" width="7.125" style="1417" customWidth="1"/>
    <col min="20" max="22" width="7.125" style="1402" customWidth="1"/>
    <col min="23" max="23" width="24.25" style="1402" customWidth="1"/>
    <col min="24" max="25" width="9" style="1402"/>
    <col min="26" max="27" width="11.625" style="1402" customWidth="1"/>
    <col min="28" max="28" width="9" style="1402"/>
    <col min="29" max="29" width="2" style="1402" customWidth="1"/>
    <col min="30" max="16384" width="9" style="1402"/>
  </cols>
  <sheetData>
    <row r="1" spans="1:34" s="1376" customFormat="1">
      <c r="B1" s="3402" t="s">
        <v>1150</v>
      </c>
      <c r="C1" s="3402"/>
      <c r="D1" s="3402"/>
      <c r="E1" s="3402"/>
      <c r="F1" s="3402"/>
      <c r="G1" s="3398" t="s">
        <v>1151</v>
      </c>
      <c r="H1" s="3398"/>
      <c r="I1" s="3398"/>
      <c r="J1" s="3398"/>
      <c r="K1" s="3398"/>
      <c r="L1" s="3398"/>
      <c r="N1" s="3398" t="s">
        <v>1152</v>
      </c>
      <c r="O1" s="3398"/>
      <c r="P1" s="3398"/>
      <c r="Q1" s="3398"/>
      <c r="R1" s="1377"/>
      <c r="S1" s="3398" t="s">
        <v>1153</v>
      </c>
      <c r="T1" s="3398"/>
      <c r="U1" s="3398"/>
      <c r="V1" s="3398"/>
      <c r="X1" s="3397" t="s">
        <v>1154</v>
      </c>
      <c r="Y1" s="3398"/>
      <c r="Z1" s="3398"/>
      <c r="AA1" s="3398"/>
      <c r="AB1" s="3398"/>
      <c r="AD1" s="3397" t="s">
        <v>1155</v>
      </c>
      <c r="AE1" s="3398"/>
      <c r="AF1" s="3398"/>
      <c r="AG1" s="3398"/>
      <c r="AH1" s="3398"/>
    </row>
    <row r="2" spans="1:34" s="1378" customFormat="1" ht="14.25" thickBot="1">
      <c r="B2" s="1379" t="s">
        <v>1156</v>
      </c>
      <c r="C2" s="1379" t="s">
        <v>1157</v>
      </c>
      <c r="D2" s="1380" t="s">
        <v>1158</v>
      </c>
      <c r="E2" s="1380" t="s">
        <v>1159</v>
      </c>
      <c r="F2" s="1379" t="s">
        <v>1160</v>
      </c>
      <c r="G2" s="1381"/>
      <c r="H2" s="1382"/>
      <c r="I2" s="1379" t="s">
        <v>1156</v>
      </c>
      <c r="J2" s="1380" t="s">
        <v>1385</v>
      </c>
      <c r="K2" s="1380" t="s">
        <v>751</v>
      </c>
      <c r="L2" s="1379" t="s">
        <v>1160</v>
      </c>
      <c r="N2" s="1379" t="s">
        <v>1156</v>
      </c>
      <c r="O2" s="1380" t="s">
        <v>1385</v>
      </c>
      <c r="P2" s="1380" t="s">
        <v>751</v>
      </c>
      <c r="Q2" s="1379" t="s">
        <v>1160</v>
      </c>
      <c r="R2" s="1383"/>
      <c r="S2" s="1379" t="s">
        <v>1156</v>
      </c>
      <c r="T2" s="1380" t="s">
        <v>1385</v>
      </c>
      <c r="U2" s="1380" t="s">
        <v>751</v>
      </c>
      <c r="V2" s="1379" t="s">
        <v>1160</v>
      </c>
      <c r="X2" s="1379" t="s">
        <v>1156</v>
      </c>
      <c r="Y2" s="1379" t="s">
        <v>1157</v>
      </c>
      <c r="Z2" s="1380" t="s">
        <v>1158</v>
      </c>
      <c r="AA2" s="1380" t="s">
        <v>1159</v>
      </c>
      <c r="AB2" s="1379" t="s">
        <v>1160</v>
      </c>
      <c r="AD2" s="1379" t="s">
        <v>1156</v>
      </c>
      <c r="AE2" s="1379" t="s">
        <v>1157</v>
      </c>
      <c r="AF2" s="1380" t="s">
        <v>1158</v>
      </c>
      <c r="AG2" s="1380" t="s">
        <v>1159</v>
      </c>
      <c r="AH2" s="1379" t="s">
        <v>1160</v>
      </c>
    </row>
    <row r="3" spans="1:34" s="2792" customFormat="1" ht="14.25">
      <c r="A3" s="2801" t="s">
        <v>2910</v>
      </c>
      <c r="B3" s="2793"/>
      <c r="C3" s="2793"/>
      <c r="D3" s="2794"/>
      <c r="E3" s="2794"/>
      <c r="F3" s="2793"/>
      <c r="G3" s="2795"/>
      <c r="H3" s="2796"/>
      <c r="I3" s="2797">
        <f>ROUND(AVERAGE($I8:$I23),2)</f>
        <v>2.4500000000000002</v>
      </c>
      <c r="J3" s="2797">
        <f>ROUND(AVERAGE($J8:$J23),2)</f>
        <v>1.65</v>
      </c>
      <c r="K3" s="2797">
        <f>ROUND(AVERAGE($K8:$K23),2)</f>
        <v>2.71</v>
      </c>
      <c r="L3" s="2797">
        <f>ROUND(AVERAGE($L8:$L23),2)</f>
        <v>1.39</v>
      </c>
      <c r="N3" s="2795"/>
      <c r="O3" s="2798"/>
      <c r="P3" s="2798"/>
      <c r="Q3" s="2798"/>
      <c r="R3" s="2798"/>
      <c r="S3" s="2795"/>
      <c r="T3" s="2798"/>
      <c r="U3" s="2798"/>
      <c r="V3" s="2798"/>
      <c r="W3" s="2790"/>
      <c r="X3" s="2799">
        <f>ROUND(SUMPRODUCT(PRODUCT(1+N3:N$22)),4)</f>
        <v>1.4517</v>
      </c>
      <c r="Y3" s="2799">
        <f>ROUND(SUMPRODUCT(PRODUCT(1+O3:O$22)),4)</f>
        <v>1.2928999999999999</v>
      </c>
      <c r="Z3" s="2799">
        <f t="shared" ref="Z3:Z20" si="0">Y3</f>
        <v>1.2928999999999999</v>
      </c>
      <c r="AA3" s="2799">
        <f>ROUND(SUMPRODUCT(PRODUCT(1+P3:P$22)),4)</f>
        <v>1.5068999999999999</v>
      </c>
      <c r="AB3" s="2799">
        <f>ROUND(SUMPRODUCT(PRODUCT(1+Q3:Q$22)),4)</f>
        <v>1.2557</v>
      </c>
      <c r="AD3" s="2800">
        <f>ROUND(AVERAGE(I3:I$23)/100,4)</f>
        <v>2.1600000000000001E-2</v>
      </c>
      <c r="AE3" s="2800">
        <f>ROUND(AVERAGE(J3:J$23)/100,4)</f>
        <v>1.4999999999999999E-2</v>
      </c>
      <c r="AF3" s="2800">
        <f t="shared" ref="AF3:AF21" si="1">AE3</f>
        <v>1.4999999999999999E-2</v>
      </c>
      <c r="AG3" s="2800">
        <f>ROUND(AVERAGE(K3:K$23)/100,4)</f>
        <v>2.3900000000000001E-2</v>
      </c>
      <c r="AH3" s="2800">
        <f>ROUND(AVERAGE(L3:L$23)/100,4)</f>
        <v>1.2800000000000001E-2</v>
      </c>
    </row>
    <row r="4" spans="1:34" s="1384" customFormat="1" ht="14.25">
      <c r="B4" s="1385"/>
      <c r="C4" s="1385"/>
      <c r="D4" s="1386"/>
      <c r="E4" s="1386"/>
      <c r="F4" s="1385"/>
      <c r="G4" s="1387"/>
      <c r="H4" s="1388"/>
      <c r="I4" s="2786"/>
      <c r="J4" s="2786"/>
      <c r="K4" s="2786"/>
      <c r="L4" s="2786"/>
      <c r="N4" s="1387"/>
      <c r="O4" s="1389"/>
      <c r="P4" s="1389"/>
      <c r="Q4" s="1389"/>
      <c r="R4" s="1389"/>
      <c r="S4" s="1387"/>
      <c r="T4" s="1389"/>
      <c r="U4" s="1389"/>
      <c r="V4" s="1389"/>
      <c r="X4" s="1390"/>
      <c r="Y4" s="1390"/>
      <c r="Z4" s="1390"/>
      <c r="AA4" s="1390"/>
      <c r="AB4" s="1390"/>
      <c r="AD4" s="1391"/>
      <c r="AE4" s="1391"/>
      <c r="AF4" s="1391"/>
      <c r="AG4" s="1391"/>
      <c r="AH4" s="1391"/>
    </row>
    <row r="5" spans="1:34" s="1661" customFormat="1">
      <c r="A5" s="1659" t="s">
        <v>2917</v>
      </c>
      <c r="B5" s="1719">
        <f t="shared" ref="B5" si="2">B6*(1+N5)</f>
        <v>446.46299999999997</v>
      </c>
      <c r="C5" s="1719">
        <f t="shared" ref="C5" si="3">C6*(1+O5)</f>
        <v>333.27840000000003</v>
      </c>
      <c r="D5" s="1719">
        <f t="shared" ref="D5" si="4">C5</f>
        <v>333.27840000000003</v>
      </c>
      <c r="E5" s="1719">
        <f t="shared" ref="E5" si="5">E6*(1+P5)</f>
        <v>637.28279999999995</v>
      </c>
      <c r="F5" s="1719">
        <f t="shared" ref="F5" si="6">F6*(1+Q5)</f>
        <v>288.68830000000003</v>
      </c>
      <c r="G5" s="2804">
        <v>2018</v>
      </c>
      <c r="H5" s="1660">
        <v>3</v>
      </c>
      <c r="I5" s="2787">
        <v>0</v>
      </c>
      <c r="J5" s="2787">
        <v>0</v>
      </c>
      <c r="K5" s="2787">
        <v>0</v>
      </c>
      <c r="L5" s="2787">
        <v>0</v>
      </c>
      <c r="N5" s="1398">
        <f>I5/100</f>
        <v>0</v>
      </c>
      <c r="O5" s="1398">
        <f t="shared" ref="O5" si="7">J5/100</f>
        <v>0</v>
      </c>
      <c r="P5" s="1398">
        <f t="shared" ref="P5" si="8">K5/100</f>
        <v>0</v>
      </c>
      <c r="Q5" s="1398">
        <f t="shared" ref="Q5" si="9">L5/100</f>
        <v>0</v>
      </c>
      <c r="R5" s="1662"/>
      <c r="S5" s="1663"/>
      <c r="T5" s="1662"/>
      <c r="U5" s="1662"/>
      <c r="V5" s="1662"/>
      <c r="W5" s="2791" t="s">
        <v>2911</v>
      </c>
      <c r="X5" s="1656">
        <f>ROUND(SUMPRODUCT(PRODUCT(1+N5:N$22)),4)</f>
        <v>1.4517</v>
      </c>
      <c r="Y5" s="1656">
        <f>ROUND(SUMPRODUCT(PRODUCT(1+O5:O$22)),4)</f>
        <v>1.2928999999999999</v>
      </c>
      <c r="Z5" s="1656">
        <f t="shared" ref="Z5" si="10">Y5</f>
        <v>1.2928999999999999</v>
      </c>
      <c r="AA5" s="1656">
        <f>ROUND(SUMPRODUCT(PRODUCT(1+P5:P$22)),4)</f>
        <v>1.5068999999999999</v>
      </c>
      <c r="AB5" s="1656">
        <f>ROUND(SUMPRODUCT(PRODUCT(1+Q5:Q$22)),4)</f>
        <v>1.2557</v>
      </c>
      <c r="AD5" s="1399">
        <f>ROUND(AVERAGE(I5:I$23)/100,4)</f>
        <v>2.1499999999999998E-2</v>
      </c>
      <c r="AE5" s="1399">
        <f>ROUND(AVERAGE(J5:J$23)/100,4)</f>
        <v>1.49E-2</v>
      </c>
      <c r="AF5" s="1399">
        <f t="shared" ref="AF5" si="11">AE5</f>
        <v>1.49E-2</v>
      </c>
      <c r="AG5" s="1399">
        <f>ROUND(AVERAGE(K5:K$23)/100,4)</f>
        <v>2.3699999999999999E-2</v>
      </c>
      <c r="AH5" s="1399">
        <f>ROUND(AVERAGE(L5:L$23)/100,4)</f>
        <v>1.2800000000000001E-2</v>
      </c>
    </row>
    <row r="6" spans="1:34" s="1397" customFormat="1" ht="13.5" thickBot="1">
      <c r="A6" s="1392" t="s">
        <v>2918</v>
      </c>
      <c r="B6" s="1408">
        <f t="shared" ref="B6" si="12">B7*(1+N6)</f>
        <v>446.46299999999997</v>
      </c>
      <c r="C6" s="1408">
        <f t="shared" ref="C6" si="13">C7*(1+O6)</f>
        <v>333.27840000000003</v>
      </c>
      <c r="D6" s="1408">
        <f t="shared" ref="D6" si="14">C6</f>
        <v>333.27840000000003</v>
      </c>
      <c r="E6" s="1408">
        <f t="shared" ref="E6" si="15">E7*(1+P6)</f>
        <v>637.28279999999995</v>
      </c>
      <c r="F6" s="1408">
        <f t="shared" ref="F6" si="16">F7*(1+Q6)</f>
        <v>288.68830000000003</v>
      </c>
      <c r="G6" s="2802"/>
      <c r="H6" s="1395">
        <v>2</v>
      </c>
      <c r="I6" s="1395">
        <v>0</v>
      </c>
      <c r="J6" s="1395">
        <v>0</v>
      </c>
      <c r="K6" s="1395">
        <v>0</v>
      </c>
      <c r="L6" s="1409">
        <v>0</v>
      </c>
      <c r="M6" s="1402"/>
      <c r="N6" s="1403">
        <f t="shared" ref="N6" si="17">I6/100</f>
        <v>0</v>
      </c>
      <c r="O6" s="1404">
        <f t="shared" ref="O6" si="18">J6/100</f>
        <v>0</v>
      </c>
      <c r="P6" s="1404">
        <f t="shared" ref="P6" si="19">K6/100</f>
        <v>0</v>
      </c>
      <c r="Q6" s="1404">
        <f t="shared" ref="Q6" si="20">L6/100</f>
        <v>0</v>
      </c>
      <c r="R6" s="1405"/>
      <c r="S6" s="1403"/>
      <c r="T6" s="1404"/>
      <c r="U6" s="1404"/>
      <c r="V6" s="1404"/>
      <c r="W6" s="1718"/>
      <c r="X6" s="1716">
        <f>ROUND(SUMPRODUCT(PRODUCT(1+N6:N$22)),4)</f>
        <v>1.4517</v>
      </c>
      <c r="Y6" s="1716">
        <f>ROUND(SUMPRODUCT(PRODUCT(1+O6:O$22)),4)</f>
        <v>1.2928999999999999</v>
      </c>
      <c r="Z6" s="1716">
        <f t="shared" ref="Z6" si="21">Y6</f>
        <v>1.2928999999999999</v>
      </c>
      <c r="AA6" s="1716">
        <f>ROUND(SUMPRODUCT(PRODUCT(1+P6:P$22)),4)</f>
        <v>1.5068999999999999</v>
      </c>
      <c r="AB6" s="1716">
        <f>ROUND(SUMPRODUCT(PRODUCT(1+Q6:Q$22)),4)</f>
        <v>1.2557</v>
      </c>
      <c r="AC6" s="1718"/>
      <c r="AD6" s="1717">
        <f>ROUND(AVERAGE(I6:I$23)/100,4)</f>
        <v>2.2700000000000001E-2</v>
      </c>
      <c r="AE6" s="1717">
        <f>ROUND(AVERAGE(J6:J$23)/100,4)</f>
        <v>1.5699999999999999E-2</v>
      </c>
      <c r="AF6" s="1717">
        <f t="shared" ref="AF6" si="22">AE6</f>
        <v>1.5699999999999999E-2</v>
      </c>
      <c r="AG6" s="1717">
        <f>ROUND(AVERAGE(K6:K$23)/100,4)</f>
        <v>2.5000000000000001E-2</v>
      </c>
      <c r="AH6" s="1717">
        <f>ROUND(AVERAGE(L6:L$23)/100,4)</f>
        <v>1.35E-2</v>
      </c>
    </row>
    <row r="7" spans="1:34" s="1397" customFormat="1" ht="13.5" thickBot="1">
      <c r="A7" s="1392" t="s">
        <v>2909</v>
      </c>
      <c r="B7" s="1408">
        <f t="shared" ref="B7" si="23">B8*(1+N7)</f>
        <v>446.46299999999997</v>
      </c>
      <c r="C7" s="1408">
        <f t="shared" ref="C7" si="24">C8*(1+O7)</f>
        <v>333.27840000000003</v>
      </c>
      <c r="D7" s="1408">
        <f t="shared" ref="D7" si="25">C7</f>
        <v>333.27840000000003</v>
      </c>
      <c r="E7" s="1408">
        <f t="shared" ref="E7" si="26">E8*(1+P7)</f>
        <v>637.28279999999995</v>
      </c>
      <c r="F7" s="1408">
        <f t="shared" ref="F7" si="27">F8*(1+Q7)</f>
        <v>288.68830000000003</v>
      </c>
      <c r="G7" s="2802"/>
      <c r="H7" s="1395">
        <v>1</v>
      </c>
      <c r="I7" s="1395">
        <v>1.7</v>
      </c>
      <c r="J7" s="1395">
        <v>1.92</v>
      </c>
      <c r="K7" s="1395">
        <v>1.64</v>
      </c>
      <c r="L7" s="1409">
        <v>2.0099999999999998</v>
      </c>
      <c r="M7" s="1402"/>
      <c r="N7" s="1403">
        <f t="shared" ref="N7:N12" si="28">I7/100</f>
        <v>1.7000000000000001E-2</v>
      </c>
      <c r="O7" s="1404">
        <f t="shared" ref="O7" si="29">J7/100</f>
        <v>1.9199999999999998E-2</v>
      </c>
      <c r="P7" s="1404">
        <f t="shared" ref="P7" si="30">K7/100</f>
        <v>1.6399999999999998E-2</v>
      </c>
      <c r="Q7" s="1404">
        <f t="shared" ref="Q7" si="31">L7/100</f>
        <v>2.0099999999999996E-2</v>
      </c>
      <c r="R7" s="1405"/>
      <c r="S7" s="1403">
        <f>B7/B8-1</f>
        <v>1.6999999999999904E-2</v>
      </c>
      <c r="T7" s="1404">
        <f t="shared" ref="T7" si="32">C7/C8-1</f>
        <v>1.9200000000000106E-2</v>
      </c>
      <c r="U7" s="1404">
        <f t="shared" ref="U7" si="33">D7/D8-1</f>
        <v>1.9200000000000106E-2</v>
      </c>
      <c r="V7" s="1404">
        <f t="shared" ref="V7" si="34">E7/E8-1</f>
        <v>1.639999999999997E-2</v>
      </c>
      <c r="W7" s="1718"/>
      <c r="X7" s="1716">
        <f>ROUND(SUMPRODUCT(PRODUCT(1+N7:N$22)),4)</f>
        <v>1.4517</v>
      </c>
      <c r="Y7" s="1716">
        <f>ROUND(SUMPRODUCT(PRODUCT(1+O7:O$22)),4)</f>
        <v>1.2928999999999999</v>
      </c>
      <c r="Z7" s="1716">
        <f t="shared" ref="Z7" si="35">Y7</f>
        <v>1.2928999999999999</v>
      </c>
      <c r="AA7" s="1716">
        <f>ROUND(SUMPRODUCT(PRODUCT(1+P7:P$22)),4)</f>
        <v>1.5068999999999999</v>
      </c>
      <c r="AB7" s="1716">
        <f>ROUND(SUMPRODUCT(PRODUCT(1+Q7:Q$22)),4)</f>
        <v>1.2557</v>
      </c>
      <c r="AC7" s="1718"/>
      <c r="AD7" s="1717">
        <f>ROUND(AVERAGE(I7:I$23)/100,4)</f>
        <v>2.4E-2</v>
      </c>
      <c r="AE7" s="1717">
        <f>ROUND(AVERAGE(J7:J$23)/100,4)</f>
        <v>1.66E-2</v>
      </c>
      <c r="AF7" s="1717">
        <f t="shared" ref="AF7" si="36">AE7</f>
        <v>1.66E-2</v>
      </c>
      <c r="AG7" s="1717">
        <f>ROUND(AVERAGE(K7:K$23)/100,4)</f>
        <v>2.6499999999999999E-2</v>
      </c>
      <c r="AH7" s="1717">
        <f>ROUND(AVERAGE(L7:L$23)/100,4)</f>
        <v>1.43E-2</v>
      </c>
    </row>
    <row r="8" spans="1:34">
      <c r="A8" s="1392" t="s">
        <v>2906</v>
      </c>
      <c r="B8" s="1400">
        <v>439</v>
      </c>
      <c r="C8" s="1400">
        <v>327</v>
      </c>
      <c r="D8" s="1400">
        <f>C8</f>
        <v>327</v>
      </c>
      <c r="E8" s="1400">
        <v>627</v>
      </c>
      <c r="F8" s="1401">
        <v>283</v>
      </c>
      <c r="G8" s="2789">
        <v>2017</v>
      </c>
      <c r="H8" s="1393">
        <v>4</v>
      </c>
      <c r="I8" s="1393">
        <v>1.71</v>
      </c>
      <c r="J8" s="1393">
        <v>1.78</v>
      </c>
      <c r="K8" s="1393">
        <v>1.71</v>
      </c>
      <c r="L8" s="1394">
        <v>1.43</v>
      </c>
      <c r="N8" s="1403">
        <f t="shared" si="28"/>
        <v>1.7100000000000001E-2</v>
      </c>
      <c r="O8" s="1404">
        <f t="shared" ref="O8" si="37">J8/100</f>
        <v>1.78E-2</v>
      </c>
      <c r="P8" s="1404">
        <f t="shared" ref="P8" si="38">K8/100</f>
        <v>1.7100000000000001E-2</v>
      </c>
      <c r="Q8" s="1404">
        <f t="shared" ref="Q8" si="39">L8/100</f>
        <v>1.43E-2</v>
      </c>
      <c r="R8" s="1405"/>
      <c r="S8" s="1406"/>
      <c r="T8" s="1407"/>
      <c r="U8" s="1407"/>
      <c r="V8" s="1407"/>
      <c r="X8" s="1390">
        <f>ROUND(SUMPRODUCT(PRODUCT(1+N8:N$22)),4)</f>
        <v>1.4274</v>
      </c>
      <c r="Y8" s="1390">
        <f>ROUND(SUMPRODUCT(PRODUCT(1+O8:O$22)),4)</f>
        <v>1.2685</v>
      </c>
      <c r="Z8" s="1390">
        <f t="shared" si="0"/>
        <v>1.2685</v>
      </c>
      <c r="AA8" s="1390">
        <f>ROUND(SUMPRODUCT(PRODUCT(1+P8:P$22)),4)</f>
        <v>1.4825999999999999</v>
      </c>
      <c r="AB8" s="1390">
        <f>ROUND(SUMPRODUCT(PRODUCT(1+Q8:Q$22)),4)</f>
        <v>1.2309000000000001</v>
      </c>
      <c r="AD8" s="1391">
        <f>ROUND(AVERAGE(I8:I$23)/100,4)</f>
        <v>2.4500000000000001E-2</v>
      </c>
      <c r="AE8" s="1391">
        <f>ROUND(AVERAGE(J8:J$23)/100,4)</f>
        <v>1.6500000000000001E-2</v>
      </c>
      <c r="AF8" s="1391">
        <f t="shared" si="1"/>
        <v>1.6500000000000001E-2</v>
      </c>
      <c r="AG8" s="1391">
        <f>ROUND(AVERAGE(K8:K$23)/100,4)</f>
        <v>2.7099999999999999E-2</v>
      </c>
      <c r="AH8" s="1391">
        <f>ROUND(AVERAGE(L8:L$23)/100,4)</f>
        <v>1.3899999999999999E-2</v>
      </c>
    </row>
    <row r="9" spans="1:34" s="1397" customFormat="1" ht="13.5" thickBot="1">
      <c r="A9" s="1392" t="s">
        <v>2907</v>
      </c>
      <c r="B9" s="1408">
        <f t="shared" ref="B9:B10" si="40">B10*(1+N9)</f>
        <v>431.80730811680002</v>
      </c>
      <c r="C9" s="1408">
        <f t="shared" ref="C9:C10" si="41">C10*(1+O9)</f>
        <v>320.57880516480003</v>
      </c>
      <c r="D9" s="1408">
        <f t="shared" ref="D9:D10" si="42">C9</f>
        <v>320.57880516480003</v>
      </c>
      <c r="E9" s="1408">
        <f t="shared" ref="E9:E10" si="43">E10*(1+P9)</f>
        <v>615.96110553196797</v>
      </c>
      <c r="F9" s="1408">
        <f t="shared" ref="F9:F10" si="44">F10*(1+Q9)</f>
        <v>279.46777300108801</v>
      </c>
      <c r="G9" s="2785"/>
      <c r="H9" s="1395">
        <v>3</v>
      </c>
      <c r="I9" s="1395">
        <v>2.98</v>
      </c>
      <c r="J9" s="1395">
        <v>2.11</v>
      </c>
      <c r="K9" s="1395">
        <v>3.24</v>
      </c>
      <c r="L9" s="1409">
        <v>1.72</v>
      </c>
      <c r="M9" s="1402"/>
      <c r="N9" s="1403">
        <f t="shared" si="28"/>
        <v>2.98E-2</v>
      </c>
      <c r="O9" s="1404">
        <f t="shared" ref="O9" si="45">J9/100</f>
        <v>2.1099999999999997E-2</v>
      </c>
      <c r="P9" s="1404">
        <f t="shared" ref="P9" si="46">K9/100</f>
        <v>3.2400000000000005E-2</v>
      </c>
      <c r="Q9" s="1404">
        <f t="shared" ref="Q9" si="47">L9/100</f>
        <v>1.72E-2</v>
      </c>
      <c r="R9" s="1405"/>
      <c r="S9" s="1403"/>
      <c r="T9" s="1404"/>
      <c r="U9" s="1404"/>
      <c r="V9" s="1404"/>
      <c r="W9" s="1718"/>
      <c r="X9" s="1716">
        <f>ROUND(SUMPRODUCT(PRODUCT(1+N9:N$22)),4)</f>
        <v>1.4034</v>
      </c>
      <c r="Y9" s="1716">
        <f>ROUND(SUMPRODUCT(PRODUCT(1+O9:O$22)),4)</f>
        <v>1.2463</v>
      </c>
      <c r="Z9" s="1716">
        <f t="shared" si="0"/>
        <v>1.2463</v>
      </c>
      <c r="AA9" s="1716">
        <f>ROUND(SUMPRODUCT(PRODUCT(1+P9:P$22)),4)</f>
        <v>1.4577</v>
      </c>
      <c r="AB9" s="1716">
        <f>ROUND(SUMPRODUCT(PRODUCT(1+Q9:Q$22)),4)</f>
        <v>1.2136</v>
      </c>
      <c r="AC9" s="1718"/>
      <c r="AD9" s="1717">
        <f>ROUND(AVERAGE(I9:I$23)/100,4)</f>
        <v>2.4899999999999999E-2</v>
      </c>
      <c r="AE9" s="1717">
        <f>ROUND(AVERAGE(J9:J$23)/100,4)</f>
        <v>1.6400000000000001E-2</v>
      </c>
      <c r="AF9" s="1717">
        <f t="shared" si="1"/>
        <v>1.6400000000000001E-2</v>
      </c>
      <c r="AG9" s="1717">
        <f>ROUND(AVERAGE(K9:K$23)/100,4)</f>
        <v>2.7799999999999998E-2</v>
      </c>
      <c r="AH9" s="1717">
        <f>ROUND(AVERAGE(L9:L$23)/100,4)</f>
        <v>1.3899999999999999E-2</v>
      </c>
    </row>
    <row r="10" spans="1:34" s="1661" customFormat="1">
      <c r="A10" s="1392" t="s">
        <v>1386</v>
      </c>
      <c r="B10" s="1408">
        <f t="shared" si="40"/>
        <v>419.31181600000002</v>
      </c>
      <c r="C10" s="1408">
        <f t="shared" si="41"/>
        <v>313.95436800000004</v>
      </c>
      <c r="D10" s="1408">
        <f t="shared" si="42"/>
        <v>313.95436800000004</v>
      </c>
      <c r="E10" s="1408">
        <f t="shared" si="43"/>
        <v>596.63028431999999</v>
      </c>
      <c r="F10" s="1408">
        <f t="shared" si="44"/>
        <v>274.74220703999998</v>
      </c>
      <c r="G10" s="2784"/>
      <c r="H10" s="1396">
        <v>2</v>
      </c>
      <c r="I10" s="1396">
        <v>3.4</v>
      </c>
      <c r="J10" s="1396">
        <v>2</v>
      </c>
      <c r="K10" s="1396">
        <v>3.82</v>
      </c>
      <c r="L10" s="1410">
        <v>1.68</v>
      </c>
      <c r="M10" s="1402"/>
      <c r="N10" s="1403">
        <f t="shared" si="28"/>
        <v>3.4000000000000002E-2</v>
      </c>
      <c r="O10" s="1404">
        <f t="shared" ref="O10" si="48">J10/100</f>
        <v>0.02</v>
      </c>
      <c r="P10" s="1404">
        <f t="shared" ref="P10" si="49">K10/100</f>
        <v>3.8199999999999998E-2</v>
      </c>
      <c r="Q10" s="1404">
        <f t="shared" ref="Q10" si="50">L10/100</f>
        <v>1.6799999999999999E-2</v>
      </c>
      <c r="R10" s="1405"/>
      <c r="S10" s="1406"/>
      <c r="T10" s="1407"/>
      <c r="U10" s="1407"/>
      <c r="V10" s="1407"/>
      <c r="W10" s="1384"/>
      <c r="X10" s="1716">
        <f>ROUND(SUMPRODUCT(PRODUCT(1+N10:N$22)),4)</f>
        <v>1.3628</v>
      </c>
      <c r="Y10" s="1716">
        <f>ROUND(SUMPRODUCT(PRODUCT(1+O10:O$22)),4)</f>
        <v>1.2205999999999999</v>
      </c>
      <c r="Z10" s="1716">
        <f t="shared" si="0"/>
        <v>1.2205999999999999</v>
      </c>
      <c r="AA10" s="1716">
        <f>ROUND(SUMPRODUCT(PRODUCT(1+P10:P$22)),4)</f>
        <v>1.4118999999999999</v>
      </c>
      <c r="AB10" s="1716">
        <f>ROUND(SUMPRODUCT(PRODUCT(1+Q10:Q$22)),4)</f>
        <v>1.1930000000000001</v>
      </c>
      <c r="AC10" s="1384"/>
      <c r="AD10" s="1717">
        <f>ROUND(AVERAGE(I10:I$23)/100,4)</f>
        <v>2.46E-2</v>
      </c>
      <c r="AE10" s="1717">
        <f>ROUND(AVERAGE(J10:J$23)/100,4)</f>
        <v>1.6E-2</v>
      </c>
      <c r="AF10" s="1717">
        <f t="shared" si="1"/>
        <v>1.6E-2</v>
      </c>
      <c r="AG10" s="1717">
        <f>ROUND(AVERAGE(K10:K$23)/100,4)</f>
        <v>2.75E-2</v>
      </c>
      <c r="AH10" s="1717">
        <f>ROUND(AVERAGE(L10:L$23)/100,4)</f>
        <v>1.37E-2</v>
      </c>
    </row>
    <row r="11" spans="1:34" s="1397" customFormat="1" ht="13.5" thickBot="1">
      <c r="A11" s="1392" t="s">
        <v>1161</v>
      </c>
      <c r="B11" s="1408">
        <f>B12*(1+N11)</f>
        <v>405.524</v>
      </c>
      <c r="C11" s="1408">
        <f>C12*(1+O11)</f>
        <v>307.79840000000002</v>
      </c>
      <c r="D11" s="1408">
        <f>C11</f>
        <v>307.79840000000002</v>
      </c>
      <c r="E11" s="1408">
        <f>E12*(1+P11)</f>
        <v>574.67759999999998</v>
      </c>
      <c r="F11" s="1408">
        <f>F12*(1+Q11)</f>
        <v>270.20280000000002</v>
      </c>
      <c r="G11" s="2785"/>
      <c r="H11" s="1395">
        <v>1</v>
      </c>
      <c r="I11" s="1395">
        <v>3.45</v>
      </c>
      <c r="J11" s="1395">
        <v>1.92</v>
      </c>
      <c r="K11" s="1395">
        <v>3.92</v>
      </c>
      <c r="L11" s="1409">
        <v>1.58</v>
      </c>
      <c r="M11" s="1402"/>
      <c r="N11" s="1403">
        <f t="shared" si="28"/>
        <v>3.4500000000000003E-2</v>
      </c>
      <c r="O11" s="1404">
        <f t="shared" ref="O11:Q26" si="51">J11/100</f>
        <v>1.9199999999999998E-2</v>
      </c>
      <c r="P11" s="1404">
        <f t="shared" si="51"/>
        <v>3.9199999999999999E-2</v>
      </c>
      <c r="Q11" s="1404">
        <f t="shared" si="51"/>
        <v>1.5800000000000002E-2</v>
      </c>
      <c r="R11" s="1405"/>
      <c r="S11" s="1403">
        <f>B11/B12-1</f>
        <v>3.4499999999999975E-2</v>
      </c>
      <c r="T11" s="1404">
        <f t="shared" ref="T11:V11" si="52">C11/C12-1</f>
        <v>1.9200000000000106E-2</v>
      </c>
      <c r="U11" s="1404">
        <f t="shared" si="52"/>
        <v>1.9200000000000106E-2</v>
      </c>
      <c r="V11" s="1404">
        <f t="shared" si="52"/>
        <v>3.9199999999999902E-2</v>
      </c>
      <c r="W11" s="1718"/>
      <c r="X11" s="1716">
        <f>ROUND(SUMPRODUCT(PRODUCT(1+N11:N$22)),4)</f>
        <v>1.3180000000000001</v>
      </c>
      <c r="Y11" s="1716">
        <f>ROUND(SUMPRODUCT(PRODUCT(1+O11:O$22)),4)</f>
        <v>1.1966000000000001</v>
      </c>
      <c r="Z11" s="1716">
        <f t="shared" si="0"/>
        <v>1.1966000000000001</v>
      </c>
      <c r="AA11" s="1716">
        <f>ROUND(SUMPRODUCT(PRODUCT(1+P11:P$22)),4)</f>
        <v>1.36</v>
      </c>
      <c r="AB11" s="1716">
        <f>ROUND(SUMPRODUCT(PRODUCT(1+Q11:Q$22)),4)</f>
        <v>1.1733</v>
      </c>
      <c r="AC11" s="1718"/>
      <c r="AD11" s="1717">
        <f>ROUND(AVERAGE(I11:I$23)/100,4)</f>
        <v>2.3900000000000001E-2</v>
      </c>
      <c r="AE11" s="1717">
        <f>ROUND(AVERAGE(J11:J$23)/100,4)</f>
        <v>1.5699999999999999E-2</v>
      </c>
      <c r="AF11" s="1717">
        <f t="shared" si="1"/>
        <v>1.5699999999999999E-2</v>
      </c>
      <c r="AG11" s="1717">
        <f>ROUND(AVERAGE(K11:K$23)/100,4)</f>
        <v>2.6599999999999999E-2</v>
      </c>
      <c r="AH11" s="1717">
        <f>ROUND(AVERAGE(L11:L$23)/100,4)</f>
        <v>1.34E-2</v>
      </c>
    </row>
    <row r="12" spans="1:34">
      <c r="A12" s="1392" t="s">
        <v>154</v>
      </c>
      <c r="B12" s="1400">
        <v>392</v>
      </c>
      <c r="C12" s="1400">
        <v>302</v>
      </c>
      <c r="D12" s="1400">
        <f>C12</f>
        <v>302</v>
      </c>
      <c r="E12" s="1400">
        <v>553</v>
      </c>
      <c r="F12" s="1401">
        <v>266</v>
      </c>
      <c r="G12" s="3403">
        <v>2016</v>
      </c>
      <c r="H12" s="1393">
        <v>4</v>
      </c>
      <c r="I12" s="1393">
        <v>4.5599999999999996</v>
      </c>
      <c r="J12" s="1393">
        <v>2.15</v>
      </c>
      <c r="K12" s="1393">
        <v>5.32</v>
      </c>
      <c r="L12" s="1394">
        <v>1.57</v>
      </c>
      <c r="N12" s="1403">
        <f t="shared" si="28"/>
        <v>4.5599999999999995E-2</v>
      </c>
      <c r="O12" s="1404">
        <f t="shared" si="51"/>
        <v>2.1499999999999998E-2</v>
      </c>
      <c r="P12" s="1404">
        <f t="shared" si="51"/>
        <v>5.3200000000000004E-2</v>
      </c>
      <c r="Q12" s="1404">
        <f t="shared" si="51"/>
        <v>1.5700000000000002E-2</v>
      </c>
      <c r="R12" s="1405"/>
      <c r="S12" s="1406"/>
      <c r="T12" s="1407"/>
      <c r="U12" s="1407"/>
      <c r="V12" s="1407"/>
      <c r="X12" s="1390">
        <f>ROUND(SUMPRODUCT(PRODUCT(1+N12:N$22)),4)</f>
        <v>1.274</v>
      </c>
      <c r="Y12" s="1390">
        <f>ROUND(SUMPRODUCT(PRODUCT(1+O12:O$22)),4)</f>
        <v>1.1740999999999999</v>
      </c>
      <c r="Z12" s="1390">
        <f t="shared" si="0"/>
        <v>1.1740999999999999</v>
      </c>
      <c r="AA12" s="1390">
        <f>ROUND(SUMPRODUCT(PRODUCT(1+P12:P$22)),4)</f>
        <v>1.3087</v>
      </c>
      <c r="AB12" s="1390">
        <f>ROUND(SUMPRODUCT(PRODUCT(1+Q12:Q$22)),4)</f>
        <v>1.1551</v>
      </c>
      <c r="AD12" s="1391">
        <f>ROUND(AVERAGE(I12:I$23)/100,4)</f>
        <v>2.3E-2</v>
      </c>
      <c r="AE12" s="1391">
        <f>ROUND(AVERAGE(J12:J$23)/100,4)</f>
        <v>1.55E-2</v>
      </c>
      <c r="AF12" s="1391">
        <f t="shared" si="1"/>
        <v>1.55E-2</v>
      </c>
      <c r="AG12" s="1391">
        <f>ROUND(AVERAGE(K12:K$23)/100,4)</f>
        <v>2.5600000000000001E-2</v>
      </c>
      <c r="AH12" s="1391">
        <f>ROUND(AVERAGE(L12:L$23)/100,4)</f>
        <v>1.32E-2</v>
      </c>
    </row>
    <row r="13" spans="1:34">
      <c r="A13" s="1392" t="s">
        <v>153</v>
      </c>
      <c r="B13" s="1408">
        <f t="shared" ref="B13:C15" si="53">B12/(1+N12)</f>
        <v>374.90436113236416</v>
      </c>
      <c r="C13" s="1408">
        <f t="shared" si="53"/>
        <v>295.64366128242779</v>
      </c>
      <c r="D13" s="1408">
        <f t="shared" ref="D13:D72" si="54">C13</f>
        <v>295.64366128242779</v>
      </c>
      <c r="E13" s="1408">
        <f t="shared" ref="E13:F15" si="55">E12/(1+P12)</f>
        <v>525.06646410938095</v>
      </c>
      <c r="F13" s="1408">
        <f t="shared" si="55"/>
        <v>261.88835286009646</v>
      </c>
      <c r="G13" s="3400"/>
      <c r="H13" s="1395">
        <v>3</v>
      </c>
      <c r="I13" s="1395">
        <v>4.12</v>
      </c>
      <c r="J13" s="1395">
        <v>2</v>
      </c>
      <c r="K13" s="1395">
        <v>4.79</v>
      </c>
      <c r="L13" s="1409">
        <v>1.97</v>
      </c>
      <c r="N13" s="1403">
        <f t="shared" ref="N13:Q47" si="56">I13/100</f>
        <v>4.1200000000000001E-2</v>
      </c>
      <c r="O13" s="1404">
        <f t="shared" si="51"/>
        <v>0.02</v>
      </c>
      <c r="P13" s="1404">
        <f t="shared" si="51"/>
        <v>4.7899999999999998E-2</v>
      </c>
      <c r="Q13" s="1404">
        <f t="shared" si="51"/>
        <v>1.9699999999999999E-2</v>
      </c>
      <c r="R13" s="1405"/>
      <c r="S13" s="1403"/>
      <c r="T13" s="1404"/>
      <c r="U13" s="1404"/>
      <c r="V13" s="1404"/>
      <c r="X13" s="1390">
        <f>ROUND(SUMPRODUCT(PRODUCT(1+N13:N$22)),4)</f>
        <v>1.2184999999999999</v>
      </c>
      <c r="Y13" s="1390">
        <f>ROUND(SUMPRODUCT(PRODUCT(1+O13:O$22)),4)</f>
        <v>1.1494</v>
      </c>
      <c r="Z13" s="1390">
        <f t="shared" si="0"/>
        <v>1.1494</v>
      </c>
      <c r="AA13" s="1390">
        <f>ROUND(SUMPRODUCT(PRODUCT(1+P13:P$22)),4)</f>
        <v>1.2425999999999999</v>
      </c>
      <c r="AB13" s="1390">
        <f>ROUND(SUMPRODUCT(PRODUCT(1+Q13:Q$22)),4)</f>
        <v>1.1372</v>
      </c>
      <c r="AD13" s="1391">
        <f>ROUND(AVERAGE(I13:I$23)/100,4)</f>
        <v>2.0899999999999998E-2</v>
      </c>
      <c r="AE13" s="1391">
        <f>ROUND(AVERAGE(J13:J$23)/100,4)</f>
        <v>1.49E-2</v>
      </c>
      <c r="AF13" s="1391">
        <f t="shared" si="1"/>
        <v>1.49E-2</v>
      </c>
      <c r="AG13" s="1391">
        <f>ROUND(AVERAGE(K13:K$23)/100,4)</f>
        <v>2.3099999999999999E-2</v>
      </c>
      <c r="AH13" s="1391">
        <f>ROUND(AVERAGE(L13:L$23)/100,4)</f>
        <v>1.2999999999999999E-2</v>
      </c>
    </row>
    <row r="14" spans="1:34">
      <c r="A14" s="1392" t="s">
        <v>143</v>
      </c>
      <c r="B14" s="1408">
        <f t="shared" si="53"/>
        <v>360.06949782209392</v>
      </c>
      <c r="C14" s="1408">
        <f t="shared" si="53"/>
        <v>289.84672674747821</v>
      </c>
      <c r="D14" s="1408">
        <f t="shared" si="54"/>
        <v>289.84672674747821</v>
      </c>
      <c r="E14" s="1408">
        <f t="shared" si="55"/>
        <v>501.06543001181495</v>
      </c>
      <c r="F14" s="1408">
        <f t="shared" si="55"/>
        <v>256.82882500744967</v>
      </c>
      <c r="G14" s="3400"/>
      <c r="H14" s="1396">
        <v>2</v>
      </c>
      <c r="I14" s="1396">
        <v>3.85</v>
      </c>
      <c r="J14" s="1396">
        <v>1.95</v>
      </c>
      <c r="K14" s="1396">
        <v>4.4800000000000004</v>
      </c>
      <c r="L14" s="1410">
        <v>1.41</v>
      </c>
      <c r="N14" s="1403">
        <f t="shared" si="56"/>
        <v>3.85E-2</v>
      </c>
      <c r="O14" s="1404">
        <f t="shared" si="51"/>
        <v>1.95E-2</v>
      </c>
      <c r="P14" s="1404">
        <f t="shared" si="51"/>
        <v>4.4800000000000006E-2</v>
      </c>
      <c r="Q14" s="1404">
        <f t="shared" si="51"/>
        <v>1.41E-2</v>
      </c>
      <c r="R14" s="1405"/>
      <c r="S14" s="1403"/>
      <c r="T14" s="1404"/>
      <c r="U14" s="1404"/>
      <c r="V14" s="1404"/>
      <c r="X14" s="1390">
        <f>ROUND(SUMPRODUCT(PRODUCT(1+N14:N$22)),4)</f>
        <v>1.1702999999999999</v>
      </c>
      <c r="Y14" s="1390">
        <f>ROUND(SUMPRODUCT(PRODUCT(1+O14:O$22)),4)</f>
        <v>1.1269</v>
      </c>
      <c r="Z14" s="1390">
        <f t="shared" si="0"/>
        <v>1.1269</v>
      </c>
      <c r="AA14" s="1390">
        <f>ROUND(SUMPRODUCT(PRODUCT(1+P14:P$22)),4)</f>
        <v>1.1858</v>
      </c>
      <c r="AB14" s="1390">
        <f>ROUND(SUMPRODUCT(PRODUCT(1+Q14:Q$22)),4)</f>
        <v>1.1152</v>
      </c>
      <c r="AD14" s="1391">
        <f>ROUND(AVERAGE(I14:I$23)/100,4)</f>
        <v>1.89E-2</v>
      </c>
      <c r="AE14" s="1391">
        <f>ROUND(AVERAGE(J14:J$23)/100,4)</f>
        <v>1.44E-2</v>
      </c>
      <c r="AF14" s="1391">
        <f t="shared" si="1"/>
        <v>1.44E-2</v>
      </c>
      <c r="AG14" s="1391">
        <f>ROUND(AVERAGE(K14:K$23)/100,4)</f>
        <v>2.06E-2</v>
      </c>
      <c r="AH14" s="1391">
        <f>ROUND(AVERAGE(L14:L$23)/100,4)</f>
        <v>1.23E-2</v>
      </c>
    </row>
    <row r="15" spans="1:34" ht="13.5" thickBot="1">
      <c r="A15" s="1392" t="s">
        <v>152</v>
      </c>
      <c r="B15" s="1408">
        <f t="shared" si="53"/>
        <v>346.720748986128</v>
      </c>
      <c r="C15" s="1408">
        <f t="shared" si="53"/>
        <v>284.30282172386285</v>
      </c>
      <c r="D15" s="1408">
        <f t="shared" si="54"/>
        <v>284.30282172386285</v>
      </c>
      <c r="E15" s="1408">
        <f t="shared" si="55"/>
        <v>479.58023546306947</v>
      </c>
      <c r="F15" s="1408">
        <f t="shared" si="55"/>
        <v>253.25788877571213</v>
      </c>
      <c r="G15" s="3401"/>
      <c r="H15" s="1395">
        <v>1</v>
      </c>
      <c r="I15" s="1395">
        <v>4.09</v>
      </c>
      <c r="J15" s="1395">
        <v>2.93</v>
      </c>
      <c r="K15" s="1395">
        <v>4.54</v>
      </c>
      <c r="L15" s="1409">
        <v>1.48</v>
      </c>
      <c r="N15" s="1403">
        <f t="shared" si="56"/>
        <v>4.0899999999999999E-2</v>
      </c>
      <c r="O15" s="1404">
        <f t="shared" si="51"/>
        <v>2.9300000000000003E-2</v>
      </c>
      <c r="P15" s="1404">
        <f t="shared" si="51"/>
        <v>4.5400000000000003E-2</v>
      </c>
      <c r="Q15" s="1404">
        <f t="shared" si="51"/>
        <v>1.4800000000000001E-2</v>
      </c>
      <c r="R15" s="1405"/>
      <c r="S15" s="1411">
        <f>B15/B16-1</f>
        <v>4.1203450408792808E-2</v>
      </c>
      <c r="T15" s="1412">
        <f>C15/C16-1</f>
        <v>2.6363977342465095E-2</v>
      </c>
      <c r="U15" s="1412">
        <f>E15/E16-1</f>
        <v>4.4837114298626357E-2</v>
      </c>
      <c r="V15" s="1412">
        <f>F15/F16-1</f>
        <v>1.7099954922538574E-2</v>
      </c>
      <c r="X15" s="1390">
        <f>ROUND(SUMPRODUCT(PRODUCT(1+N15:N$22)),4)</f>
        <v>1.1269</v>
      </c>
      <c r="Y15" s="1390">
        <f>ROUND(SUMPRODUCT(PRODUCT(1+O15:O$22)),4)</f>
        <v>1.1052999999999999</v>
      </c>
      <c r="Z15" s="1390">
        <f t="shared" si="0"/>
        <v>1.1052999999999999</v>
      </c>
      <c r="AA15" s="1390">
        <f>ROUND(SUMPRODUCT(PRODUCT(1+P15:P$22)),4)</f>
        <v>1.1349</v>
      </c>
      <c r="AB15" s="1390">
        <f>ROUND(SUMPRODUCT(PRODUCT(1+Q15:Q$22)),4)</f>
        <v>1.0996999999999999</v>
      </c>
      <c r="AD15" s="1391">
        <f>ROUND(AVERAGE(I15:I$23)/100,4)</f>
        <v>1.67E-2</v>
      </c>
      <c r="AE15" s="1391">
        <f>ROUND(AVERAGE(J15:J$23)/100,4)</f>
        <v>1.38E-2</v>
      </c>
      <c r="AF15" s="1391">
        <f t="shared" si="1"/>
        <v>1.38E-2</v>
      </c>
      <c r="AG15" s="1391">
        <f>ROUND(AVERAGE(K15:K$23)/100,4)</f>
        <v>1.7899999999999999E-2</v>
      </c>
      <c r="AH15" s="1391">
        <f>ROUND(AVERAGE(L15:L$23)/100,4)</f>
        <v>1.21E-2</v>
      </c>
    </row>
    <row r="16" spans="1:34" ht="13.5" thickBot="1">
      <c r="A16" s="1392" t="s">
        <v>151</v>
      </c>
      <c r="B16" s="1400">
        <v>333</v>
      </c>
      <c r="C16" s="1400">
        <v>277</v>
      </c>
      <c r="D16" s="1400">
        <f t="shared" si="54"/>
        <v>277</v>
      </c>
      <c r="E16" s="1400">
        <v>459</v>
      </c>
      <c r="F16" s="1401">
        <v>249</v>
      </c>
      <c r="G16" s="3399">
        <v>2015</v>
      </c>
      <c r="H16" s="1413">
        <v>4</v>
      </c>
      <c r="I16" s="1413">
        <v>1.63</v>
      </c>
      <c r="J16" s="1413">
        <v>1.1100000000000001</v>
      </c>
      <c r="K16" s="1413">
        <v>1.77</v>
      </c>
      <c r="L16" s="1414">
        <v>1.89</v>
      </c>
      <c r="N16" s="1415">
        <f t="shared" si="56"/>
        <v>1.6299999999999999E-2</v>
      </c>
      <c r="O16" s="1416">
        <f t="shared" si="51"/>
        <v>1.11E-2</v>
      </c>
      <c r="P16" s="1416">
        <f t="shared" si="51"/>
        <v>1.77E-2</v>
      </c>
      <c r="Q16" s="1416">
        <f t="shared" si="51"/>
        <v>1.89E-2</v>
      </c>
      <c r="R16" s="1405"/>
      <c r="X16" s="1390">
        <f>ROUND(SUMPRODUCT(PRODUCT(1+N16:N$22)),4)</f>
        <v>1.0826</v>
      </c>
      <c r="Y16" s="1390">
        <f>ROUND(SUMPRODUCT(PRODUCT(1+O16:O$22)),4)</f>
        <v>1.0738000000000001</v>
      </c>
      <c r="Z16" s="1390">
        <f t="shared" si="0"/>
        <v>1.0738000000000001</v>
      </c>
      <c r="AA16" s="1390">
        <f>ROUND(SUMPRODUCT(PRODUCT(1+P16:P$22)),4)</f>
        <v>1.0855999999999999</v>
      </c>
      <c r="AB16" s="1390">
        <f>ROUND(SUMPRODUCT(PRODUCT(1+Q16:Q$22)),4)</f>
        <v>1.0837000000000001</v>
      </c>
      <c r="AD16" s="1391">
        <f>ROUND(AVERAGE(I16:I$23)/100,4)</f>
        <v>1.37E-2</v>
      </c>
      <c r="AE16" s="1391">
        <f>ROUND(AVERAGE(J16:J$23)/100,4)</f>
        <v>1.1900000000000001E-2</v>
      </c>
      <c r="AF16" s="1391">
        <f t="shared" si="1"/>
        <v>1.1900000000000001E-2</v>
      </c>
      <c r="AG16" s="1391">
        <f>ROUND(AVERAGE(K16:K$23)/100,4)</f>
        <v>1.4500000000000001E-2</v>
      </c>
      <c r="AH16" s="1391">
        <f>ROUND(AVERAGE(L16:L$23)/100,4)</f>
        <v>1.18E-2</v>
      </c>
    </row>
    <row r="17" spans="1:34">
      <c r="A17" s="1392" t="s">
        <v>150</v>
      </c>
      <c r="B17" s="1408">
        <f t="shared" ref="B17:C19" si="57">B16/(1+N16)</f>
        <v>327.65915576109415</v>
      </c>
      <c r="C17" s="1408">
        <f t="shared" si="57"/>
        <v>273.95905449510434</v>
      </c>
      <c r="D17" s="1408">
        <f t="shared" si="54"/>
        <v>273.95905449510434</v>
      </c>
      <c r="E17" s="1408">
        <f t="shared" ref="E17:F19" si="58">E16/(1+P16)</f>
        <v>451.01699911565294</v>
      </c>
      <c r="F17" s="1408">
        <f t="shared" si="58"/>
        <v>244.38119540681129</v>
      </c>
      <c r="G17" s="3400"/>
      <c r="H17" s="1418">
        <v>3</v>
      </c>
      <c r="I17" s="1418">
        <v>1.65</v>
      </c>
      <c r="J17" s="1418">
        <v>0.92</v>
      </c>
      <c r="K17" s="1418">
        <v>1.88</v>
      </c>
      <c r="L17" s="1419">
        <v>1.26</v>
      </c>
      <c r="N17" s="1403">
        <f t="shared" si="56"/>
        <v>1.6500000000000001E-2</v>
      </c>
      <c r="O17" s="1420">
        <f t="shared" si="51"/>
        <v>9.1999999999999998E-3</v>
      </c>
      <c r="P17" s="1420">
        <f t="shared" si="51"/>
        <v>1.8799999999999997E-2</v>
      </c>
      <c r="Q17" s="1420">
        <f t="shared" si="51"/>
        <v>1.26E-2</v>
      </c>
      <c r="R17" s="1405"/>
      <c r="S17" s="1403"/>
      <c r="T17" s="1404"/>
      <c r="U17" s="1404"/>
      <c r="V17" s="1404"/>
      <c r="X17" s="1390">
        <f>ROUND(SUMPRODUCT(PRODUCT(1+N17:N$22)),4)</f>
        <v>1.0651999999999999</v>
      </c>
      <c r="Y17" s="1390">
        <f>ROUND(SUMPRODUCT(PRODUCT(1+O17:O$22)),4)</f>
        <v>1.0621</v>
      </c>
      <c r="Z17" s="1390">
        <f t="shared" si="0"/>
        <v>1.0621</v>
      </c>
      <c r="AA17" s="1390">
        <f>ROUND(SUMPRODUCT(PRODUCT(1+P17:P$22)),4)</f>
        <v>1.0668</v>
      </c>
      <c r="AB17" s="1390">
        <f>ROUND(SUMPRODUCT(PRODUCT(1+Q17:Q$22)),4)</f>
        <v>1.0636000000000001</v>
      </c>
      <c r="AD17" s="1391">
        <f>ROUND(AVERAGE(I17:I$23)/100,4)</f>
        <v>1.3299999999999999E-2</v>
      </c>
      <c r="AE17" s="1391">
        <f>ROUND(AVERAGE(J17:J$23)/100,4)</f>
        <v>1.2E-2</v>
      </c>
      <c r="AF17" s="1391">
        <f t="shared" si="1"/>
        <v>1.2E-2</v>
      </c>
      <c r="AG17" s="1391">
        <f>ROUND(AVERAGE(K17:K$23)/100,4)</f>
        <v>1.4E-2</v>
      </c>
      <c r="AH17" s="1391">
        <f>ROUND(AVERAGE(L17:L$23)/100,4)</f>
        <v>1.0800000000000001E-2</v>
      </c>
    </row>
    <row r="18" spans="1:34">
      <c r="A18" s="1392" t="s">
        <v>149</v>
      </c>
      <c r="B18" s="1408">
        <f t="shared" si="57"/>
        <v>322.34053690220776</v>
      </c>
      <c r="C18" s="1408">
        <f t="shared" si="57"/>
        <v>271.46160770422546</v>
      </c>
      <c r="D18" s="1408">
        <f t="shared" si="54"/>
        <v>271.46160770422546</v>
      </c>
      <c r="E18" s="1408">
        <f t="shared" si="58"/>
        <v>442.69434542172456</v>
      </c>
      <c r="F18" s="1408">
        <f t="shared" si="58"/>
        <v>241.34030753190925</v>
      </c>
      <c r="G18" s="3400"/>
      <c r="H18" s="1396">
        <v>2</v>
      </c>
      <c r="I18" s="1396">
        <v>0.77</v>
      </c>
      <c r="J18" s="1396">
        <v>0.69</v>
      </c>
      <c r="K18" s="1396">
        <v>0.8</v>
      </c>
      <c r="L18" s="1410">
        <v>0.88</v>
      </c>
      <c r="N18" s="1403">
        <f t="shared" si="56"/>
        <v>7.7000000000000002E-3</v>
      </c>
      <c r="O18" s="1420">
        <f t="shared" si="51"/>
        <v>6.8999999999999999E-3</v>
      </c>
      <c r="P18" s="1420">
        <f t="shared" si="51"/>
        <v>8.0000000000000002E-3</v>
      </c>
      <c r="Q18" s="1420">
        <f t="shared" si="51"/>
        <v>8.8000000000000005E-3</v>
      </c>
      <c r="R18" s="1405"/>
      <c r="S18" s="1403"/>
      <c r="T18" s="1404"/>
      <c r="U18" s="1404"/>
      <c r="V18" s="1404"/>
      <c r="X18" s="1390">
        <f>ROUND(SUMPRODUCT(PRODUCT(1+N18:N$22)),4)</f>
        <v>1.048</v>
      </c>
      <c r="Y18" s="1390">
        <f>ROUND(SUMPRODUCT(PRODUCT(1+O18:O$22)),4)</f>
        <v>1.0524</v>
      </c>
      <c r="Z18" s="1390">
        <f t="shared" si="0"/>
        <v>1.0524</v>
      </c>
      <c r="AA18" s="1390">
        <f>ROUND(SUMPRODUCT(PRODUCT(1+P18:P$22)),4)</f>
        <v>1.0470999999999999</v>
      </c>
      <c r="AB18" s="1390">
        <f>ROUND(SUMPRODUCT(PRODUCT(1+Q18:Q$22)),4)</f>
        <v>1.0504</v>
      </c>
      <c r="AD18" s="1391">
        <f>ROUND(AVERAGE(I18:I$23)/100,4)</f>
        <v>1.2800000000000001E-2</v>
      </c>
      <c r="AE18" s="1391">
        <f>ROUND(AVERAGE(J18:J$23)/100,4)</f>
        <v>1.2500000000000001E-2</v>
      </c>
      <c r="AF18" s="1391">
        <f t="shared" si="1"/>
        <v>1.2500000000000001E-2</v>
      </c>
      <c r="AG18" s="1391">
        <f>ROUND(AVERAGE(K18:K$23)/100,4)</f>
        <v>1.32E-2</v>
      </c>
      <c r="AH18" s="1391">
        <f>ROUND(AVERAGE(L18:L$23)/100,4)</f>
        <v>1.0500000000000001E-2</v>
      </c>
    </row>
    <row r="19" spans="1:34">
      <c r="A19" s="1392" t="s">
        <v>148</v>
      </c>
      <c r="B19" s="1408">
        <f t="shared" si="57"/>
        <v>319.87748030386797</v>
      </c>
      <c r="C19" s="1408">
        <f t="shared" si="57"/>
        <v>269.60135833173649</v>
      </c>
      <c r="D19" s="1408">
        <f t="shared" si="54"/>
        <v>269.60135833173649</v>
      </c>
      <c r="E19" s="1408">
        <f t="shared" si="58"/>
        <v>439.18089823583784</v>
      </c>
      <c r="F19" s="1408">
        <f t="shared" si="58"/>
        <v>239.23503918706311</v>
      </c>
      <c r="G19" s="3401"/>
      <c r="H19" s="1395">
        <v>1</v>
      </c>
      <c r="I19" s="1395">
        <v>0.51</v>
      </c>
      <c r="J19" s="1395">
        <v>0.54</v>
      </c>
      <c r="K19" s="1395">
        <v>0.48</v>
      </c>
      <c r="L19" s="1409">
        <v>0.93</v>
      </c>
      <c r="N19" s="1411">
        <f t="shared" si="56"/>
        <v>5.1000000000000004E-3</v>
      </c>
      <c r="O19" s="1412">
        <f t="shared" si="51"/>
        <v>5.4000000000000003E-3</v>
      </c>
      <c r="P19" s="1412">
        <f t="shared" si="51"/>
        <v>4.7999999999999996E-3</v>
      </c>
      <c r="Q19" s="1412">
        <f t="shared" si="51"/>
        <v>9.300000000000001E-3</v>
      </c>
      <c r="R19" s="1405"/>
      <c r="S19" s="1411">
        <f>B19/B20-1</f>
        <v>5.9040261127922822E-3</v>
      </c>
      <c r="T19" s="1412">
        <f>C19/C20-1</f>
        <v>5.9752176557332781E-3</v>
      </c>
      <c r="U19" s="1412">
        <f>E19/E20-1</f>
        <v>4.9906138119859556E-3</v>
      </c>
      <c r="V19" s="1412">
        <f>F19/F20-1</f>
        <v>9.4305450930933787E-3</v>
      </c>
      <c r="X19" s="1390">
        <f>ROUND(SUMPRODUCT(PRODUCT(1+N19:N$22)),4)</f>
        <v>1.0399</v>
      </c>
      <c r="Y19" s="1390">
        <f>ROUND(SUMPRODUCT(PRODUCT(1+O19:O$22)),4)</f>
        <v>1.0451999999999999</v>
      </c>
      <c r="Z19" s="1390">
        <f t="shared" si="0"/>
        <v>1.0451999999999999</v>
      </c>
      <c r="AA19" s="1390">
        <f>ROUND(SUMPRODUCT(PRODUCT(1+P19:P$22)),4)</f>
        <v>1.0387999999999999</v>
      </c>
      <c r="AB19" s="1390">
        <f>ROUND(SUMPRODUCT(PRODUCT(1+Q19:Q$22)),4)</f>
        <v>1.0411999999999999</v>
      </c>
      <c r="AD19" s="1391">
        <f>ROUND(AVERAGE(I19:I$23)/100,4)</f>
        <v>1.38E-2</v>
      </c>
      <c r="AE19" s="1391">
        <f>ROUND(AVERAGE(J19:J$23)/100,4)</f>
        <v>1.3599999999999999E-2</v>
      </c>
      <c r="AF19" s="1391">
        <f t="shared" si="1"/>
        <v>1.3599999999999999E-2</v>
      </c>
      <c r="AG19" s="1391">
        <f>ROUND(AVERAGE(K19:K$23)/100,4)</f>
        <v>1.4200000000000001E-2</v>
      </c>
      <c r="AH19" s="1391">
        <f>ROUND(AVERAGE(L19:L$23)/100,4)</f>
        <v>1.0800000000000001E-2</v>
      </c>
    </row>
    <row r="20" spans="1:34" ht="13.5" thickBot="1">
      <c r="A20" s="1392" t="s">
        <v>147</v>
      </c>
      <c r="B20" s="1421">
        <v>318</v>
      </c>
      <c r="C20" s="1421">
        <v>268</v>
      </c>
      <c r="D20" s="1421">
        <f t="shared" si="54"/>
        <v>268</v>
      </c>
      <c r="E20" s="1421">
        <v>437</v>
      </c>
      <c r="F20" s="1422">
        <v>237</v>
      </c>
      <c r="G20" s="3399">
        <v>2014</v>
      </c>
      <c r="H20" s="1413">
        <v>4</v>
      </c>
      <c r="I20" s="1413">
        <v>0.21</v>
      </c>
      <c r="J20" s="1413">
        <v>0.41</v>
      </c>
      <c r="K20" s="1413">
        <v>0.12</v>
      </c>
      <c r="L20" s="1414">
        <v>0.89</v>
      </c>
      <c r="N20" s="1403">
        <f t="shared" si="56"/>
        <v>2.0999999999999999E-3</v>
      </c>
      <c r="O20" s="1404">
        <f t="shared" si="51"/>
        <v>4.0999999999999995E-3</v>
      </c>
      <c r="P20" s="1404">
        <f t="shared" si="51"/>
        <v>1.1999999999999999E-3</v>
      </c>
      <c r="Q20" s="1404">
        <f t="shared" si="51"/>
        <v>8.8999999999999999E-3</v>
      </c>
      <c r="R20" s="1405"/>
      <c r="S20" s="1406"/>
      <c r="T20" s="1407"/>
      <c r="U20" s="1407"/>
      <c r="V20" s="1407"/>
      <c r="X20" s="1390">
        <f>ROUND(SUMPRODUCT(PRODUCT(1+N20:N$22)),4)</f>
        <v>1.0347</v>
      </c>
      <c r="Y20" s="1390">
        <f>ROUND(SUMPRODUCT(PRODUCT(1+O20:O$22)),4)</f>
        <v>1.0395000000000001</v>
      </c>
      <c r="Z20" s="1390">
        <f t="shared" si="0"/>
        <v>1.0395000000000001</v>
      </c>
      <c r="AA20" s="1390">
        <f>ROUND(SUMPRODUCT(PRODUCT(1+P20:P$22)),4)</f>
        <v>1.0338000000000001</v>
      </c>
      <c r="AB20" s="1390">
        <f>ROUND(SUMPRODUCT(PRODUCT(1+Q20:Q$22)),4)</f>
        <v>1.0316000000000001</v>
      </c>
      <c r="AD20" s="1391">
        <f>ROUND(AVERAGE(I20:I$23)/100,4)</f>
        <v>1.6E-2</v>
      </c>
      <c r="AE20" s="1391">
        <f>ROUND(AVERAGE(J20:J$23)/100,4)</f>
        <v>1.5599999999999999E-2</v>
      </c>
      <c r="AF20" s="1391">
        <f t="shared" si="1"/>
        <v>1.5599999999999999E-2</v>
      </c>
      <c r="AG20" s="1391">
        <f>ROUND(AVERAGE(K20:K$23)/100,4)</f>
        <v>1.66E-2</v>
      </c>
      <c r="AH20" s="1391">
        <f>ROUND(AVERAGE(L20:L$23)/100,4)</f>
        <v>1.12E-2</v>
      </c>
    </row>
    <row r="21" spans="1:34">
      <c r="A21" s="1392" t="s">
        <v>146</v>
      </c>
      <c r="B21" s="1408">
        <f t="shared" ref="B21:C23" si="59">B20/(1+N20)</f>
        <v>317.33359944117353</v>
      </c>
      <c r="C21" s="1408">
        <f t="shared" si="59"/>
        <v>266.90568668459315</v>
      </c>
      <c r="D21" s="1408">
        <f t="shared" si="54"/>
        <v>266.90568668459315</v>
      </c>
      <c r="E21" s="1408">
        <f t="shared" ref="E21:F23" si="60">E20/(1+P20)</f>
        <v>436.47622852576905</v>
      </c>
      <c r="F21" s="1408">
        <f t="shared" si="60"/>
        <v>234.90930716622066</v>
      </c>
      <c r="G21" s="3400"/>
      <c r="H21" s="1423">
        <v>3</v>
      </c>
      <c r="I21" s="1423">
        <v>0.83</v>
      </c>
      <c r="J21" s="1423">
        <v>1.47</v>
      </c>
      <c r="K21" s="1423">
        <v>0.65</v>
      </c>
      <c r="L21" s="1424">
        <v>0.72</v>
      </c>
      <c r="N21" s="1403">
        <f t="shared" si="56"/>
        <v>8.3000000000000001E-3</v>
      </c>
      <c r="O21" s="1404">
        <f t="shared" si="51"/>
        <v>1.47E-2</v>
      </c>
      <c r="P21" s="1404">
        <f t="shared" si="51"/>
        <v>6.5000000000000006E-3</v>
      </c>
      <c r="Q21" s="1404">
        <f t="shared" si="51"/>
        <v>7.1999999999999998E-3</v>
      </c>
      <c r="R21" s="1405"/>
      <c r="S21" s="1403"/>
      <c r="T21" s="1404"/>
      <c r="U21" s="1404"/>
      <c r="V21" s="1404"/>
      <c r="X21" s="1390">
        <f>ROUND(SUMPRODUCT(PRODUCT(1+N21:N$22)),4)</f>
        <v>1.0325</v>
      </c>
      <c r="Y21" s="1390">
        <f>ROUND(SUMPRODUCT(PRODUCT(1+O21:O$22)),4)</f>
        <v>1.0353000000000001</v>
      </c>
      <c r="Z21" s="1390">
        <f t="shared" ref="Z21:Z22" si="61">Y21</f>
        <v>1.0353000000000001</v>
      </c>
      <c r="AA21" s="1390">
        <f>ROUND(SUMPRODUCT(PRODUCT(1+P21:P$22)),4)</f>
        <v>1.0326</v>
      </c>
      <c r="AB21" s="1390">
        <f>ROUND(SUMPRODUCT(PRODUCT(1+Q21:Q$22)),4)</f>
        <v>1.0225</v>
      </c>
      <c r="AD21" s="1391">
        <f>ROUND(AVERAGE(I21:I$23)/100,4)</f>
        <v>2.07E-2</v>
      </c>
      <c r="AE21" s="1391">
        <f>ROUND(AVERAGE(J21:J$23)/100,4)</f>
        <v>1.95E-2</v>
      </c>
      <c r="AF21" s="1391">
        <f t="shared" si="1"/>
        <v>1.95E-2</v>
      </c>
      <c r="AG21" s="1391">
        <f>ROUND(AVERAGE(K21:K$23)/100,4)</f>
        <v>2.1700000000000001E-2</v>
      </c>
      <c r="AH21" s="1391">
        <f>ROUND(AVERAGE(L21:L$23)/100,4)</f>
        <v>1.2E-2</v>
      </c>
    </row>
    <row r="22" spans="1:34" ht="13.5" thickBot="1">
      <c r="A22" s="1392" t="s">
        <v>145</v>
      </c>
      <c r="B22" s="1408">
        <f t="shared" si="59"/>
        <v>314.72141172386546</v>
      </c>
      <c r="C22" s="1408">
        <f t="shared" si="59"/>
        <v>263.03901319069001</v>
      </c>
      <c r="D22" s="1408">
        <f t="shared" si="54"/>
        <v>263.03901319069001</v>
      </c>
      <c r="E22" s="1408">
        <f t="shared" si="60"/>
        <v>433.65745506782821</v>
      </c>
      <c r="F22" s="1408">
        <f t="shared" si="60"/>
        <v>233.23005080045735</v>
      </c>
      <c r="G22" s="3400"/>
      <c r="H22" s="1413">
        <v>2</v>
      </c>
      <c r="I22" s="1413">
        <v>2.4</v>
      </c>
      <c r="J22" s="1413">
        <v>2.0299999999999998</v>
      </c>
      <c r="K22" s="1413">
        <v>2.59</v>
      </c>
      <c r="L22" s="1414">
        <v>1.52</v>
      </c>
      <c r="N22" s="1403">
        <f t="shared" si="56"/>
        <v>2.4E-2</v>
      </c>
      <c r="O22" s="1404">
        <f t="shared" si="51"/>
        <v>2.0299999999999999E-2</v>
      </c>
      <c r="P22" s="1404">
        <f t="shared" si="51"/>
        <v>2.5899999999999999E-2</v>
      </c>
      <c r="Q22" s="1404">
        <f t="shared" si="51"/>
        <v>1.52E-2</v>
      </c>
      <c r="R22" s="1405"/>
      <c r="S22" s="1403"/>
      <c r="T22" s="1404"/>
      <c r="U22" s="1404"/>
      <c r="V22" s="1404"/>
      <c r="X22" s="1390">
        <f>1+N22</f>
        <v>1.024</v>
      </c>
      <c r="Y22" s="1390">
        <f>1+O22</f>
        <v>1.0203</v>
      </c>
      <c r="Z22" s="1390">
        <f t="shared" si="61"/>
        <v>1.0203</v>
      </c>
      <c r="AA22" s="1390">
        <f>1+P22</f>
        <v>1.0259</v>
      </c>
      <c r="AB22" s="1390">
        <f>1+Q22</f>
        <v>1.0152000000000001</v>
      </c>
      <c r="AD22" s="1391">
        <f>ROUND(AVERAGE(I22:I$23)/100,4)</f>
        <v>2.69E-2</v>
      </c>
      <c r="AE22" s="1391">
        <f>ROUND(AVERAGE(J22:J$23)/100,4)</f>
        <v>2.1899999999999999E-2</v>
      </c>
      <c r="AF22" s="1391">
        <f t="shared" ref="AF22" si="62">AE22</f>
        <v>2.1899999999999999E-2</v>
      </c>
      <c r="AG22" s="1391">
        <f>ROUND(AVERAGE(K22:K$23)/100,4)</f>
        <v>2.9399999999999999E-2</v>
      </c>
      <c r="AH22" s="1391">
        <f>ROUND(AVERAGE(L22:L$23)/100,4)</f>
        <v>1.44E-2</v>
      </c>
    </row>
    <row r="23" spans="1:34" s="1429" customFormat="1" ht="13.5" thickBot="1">
      <c r="A23" s="1425" t="s">
        <v>144</v>
      </c>
      <c r="B23" s="1426">
        <f t="shared" si="59"/>
        <v>307.34512863658733</v>
      </c>
      <c r="C23" s="1426">
        <f t="shared" si="59"/>
        <v>257.80556031626975</v>
      </c>
      <c r="D23" s="1426">
        <f t="shared" si="54"/>
        <v>257.80556031626975</v>
      </c>
      <c r="E23" s="1426">
        <f t="shared" si="60"/>
        <v>422.70928459677179</v>
      </c>
      <c r="F23" s="1426">
        <f t="shared" si="60"/>
        <v>229.73803270336617</v>
      </c>
      <c r="G23" s="3401"/>
      <c r="H23" s="1427">
        <v>1</v>
      </c>
      <c r="I23" s="1427">
        <v>2.97</v>
      </c>
      <c r="J23" s="1427">
        <v>2.34</v>
      </c>
      <c r="K23" s="1427">
        <v>3.28</v>
      </c>
      <c r="L23" s="1428">
        <v>1.36</v>
      </c>
      <c r="N23" s="1430">
        <f t="shared" si="56"/>
        <v>2.9700000000000001E-2</v>
      </c>
      <c r="O23" s="1431">
        <f t="shared" si="51"/>
        <v>2.3399999999999997E-2</v>
      </c>
      <c r="P23" s="1431">
        <f t="shared" si="51"/>
        <v>3.2799999999999996E-2</v>
      </c>
      <c r="Q23" s="1431">
        <f t="shared" si="51"/>
        <v>1.3600000000000001E-2</v>
      </c>
      <c r="R23" s="1432"/>
      <c r="S23" s="1433">
        <f>B23/B24-1</f>
        <v>2.7910129219355539E-2</v>
      </c>
      <c r="T23" s="1434">
        <f>C23/C24-1</f>
        <v>2.3037937762975247E-2</v>
      </c>
      <c r="U23" s="1434">
        <f>E23/E24-1</f>
        <v>3.3519033243940788E-2</v>
      </c>
      <c r="V23" s="1434">
        <f>F23/F24-1</f>
        <v>1.2061818076502862E-2</v>
      </c>
      <c r="W23" s="1435" t="s">
        <v>1162</v>
      </c>
      <c r="X23" s="1436">
        <v>1</v>
      </c>
      <c r="Y23" s="1436">
        <v>1</v>
      </c>
      <c r="Z23" s="1436">
        <v>1</v>
      </c>
      <c r="AA23" s="1436">
        <v>1</v>
      </c>
      <c r="AB23" s="1436">
        <v>1</v>
      </c>
      <c r="AD23" s="1657">
        <f>I23/100</f>
        <v>2.9700000000000001E-2</v>
      </c>
      <c r="AE23" s="1657">
        <f>J23/100</f>
        <v>2.3399999999999997E-2</v>
      </c>
      <c r="AF23" s="1657">
        <f>AE23</f>
        <v>2.3399999999999997E-2</v>
      </c>
      <c r="AG23" s="1657">
        <f>K23/100</f>
        <v>3.2799999999999996E-2</v>
      </c>
      <c r="AH23" s="1657">
        <f>L23/100</f>
        <v>1.3600000000000001E-2</v>
      </c>
    </row>
    <row r="24" spans="1:34" ht="13.5" thickBot="1">
      <c r="A24" s="1392" t="s">
        <v>1163</v>
      </c>
      <c r="B24" s="1400">
        <v>299</v>
      </c>
      <c r="C24" s="1400">
        <v>252</v>
      </c>
      <c r="D24" s="1400">
        <f t="shared" si="54"/>
        <v>252</v>
      </c>
      <c r="E24" s="1400">
        <v>409</v>
      </c>
      <c r="F24" s="1401">
        <v>227</v>
      </c>
      <c r="G24" s="3404">
        <v>2013</v>
      </c>
      <c r="H24" s="1437">
        <v>4</v>
      </c>
      <c r="I24" s="1437">
        <v>1.83</v>
      </c>
      <c r="J24" s="1437">
        <v>1.68</v>
      </c>
      <c r="K24" s="1437">
        <v>1.97</v>
      </c>
      <c r="L24" s="1438">
        <v>0.87</v>
      </c>
      <c r="N24" s="1415">
        <f t="shared" si="56"/>
        <v>1.83E-2</v>
      </c>
      <c r="O24" s="1416">
        <f t="shared" si="51"/>
        <v>1.6799999999999999E-2</v>
      </c>
      <c r="P24" s="1416">
        <f t="shared" si="51"/>
        <v>1.9699999999999999E-2</v>
      </c>
      <c r="Q24" s="1416">
        <f t="shared" si="51"/>
        <v>8.6999999999999994E-3</v>
      </c>
      <c r="R24" s="1405"/>
      <c r="S24" s="1406"/>
      <c r="T24" s="1407"/>
      <c r="U24" s="1407"/>
      <c r="V24" s="1407"/>
      <c r="X24" s="1407"/>
      <c r="Y24" s="1407"/>
      <c r="Z24" s="1407"/>
    </row>
    <row r="25" spans="1:34">
      <c r="A25" s="1392" t="s">
        <v>1164</v>
      </c>
      <c r="B25" s="1408">
        <f t="shared" ref="B25:C27" si="63">B24/(1+N24)</f>
        <v>293.62663262299913</v>
      </c>
      <c r="C25" s="1408">
        <f t="shared" si="63"/>
        <v>247.83634933123525</v>
      </c>
      <c r="D25" s="1408">
        <f t="shared" si="54"/>
        <v>247.83634933123525</v>
      </c>
      <c r="E25" s="1408">
        <f t="shared" ref="E25:F27" si="64">E24/(1+P24)</f>
        <v>401.09836226341076</v>
      </c>
      <c r="F25" s="1408">
        <f t="shared" si="64"/>
        <v>225.04213343908003</v>
      </c>
      <c r="G25" s="3405"/>
      <c r="H25" s="1418">
        <v>3</v>
      </c>
      <c r="I25" s="1418">
        <v>1.86</v>
      </c>
      <c r="J25" s="1418">
        <v>1.72</v>
      </c>
      <c r="K25" s="1418">
        <v>1.98</v>
      </c>
      <c r="L25" s="1419">
        <v>0.88</v>
      </c>
      <c r="N25" s="1403">
        <f t="shared" si="56"/>
        <v>1.8600000000000002E-2</v>
      </c>
      <c r="O25" s="1420">
        <f t="shared" si="51"/>
        <v>1.72E-2</v>
      </c>
      <c r="P25" s="1420">
        <f t="shared" si="51"/>
        <v>1.9799999999999998E-2</v>
      </c>
      <c r="Q25" s="1420">
        <f t="shared" si="51"/>
        <v>8.8000000000000005E-3</v>
      </c>
      <c r="R25" s="1405"/>
      <c r="S25" s="1403"/>
      <c r="T25" s="1404"/>
      <c r="U25" s="1404"/>
      <c r="V25" s="1404"/>
    </row>
    <row r="26" spans="1:34">
      <c r="A26" s="1392" t="s">
        <v>1165</v>
      </c>
      <c r="B26" s="1408">
        <f t="shared" si="63"/>
        <v>288.2649053828776</v>
      </c>
      <c r="C26" s="1408">
        <f t="shared" si="63"/>
        <v>243.64564425013293</v>
      </c>
      <c r="D26" s="1408">
        <f t="shared" si="54"/>
        <v>243.64564425013293</v>
      </c>
      <c r="E26" s="1408">
        <f t="shared" si="64"/>
        <v>393.31080825986544</v>
      </c>
      <c r="F26" s="1408">
        <f t="shared" si="64"/>
        <v>223.07903790551154</v>
      </c>
      <c r="G26" s="3405"/>
      <c r="H26" s="1396">
        <v>2</v>
      </c>
      <c r="I26" s="1396">
        <v>2.04</v>
      </c>
      <c r="J26" s="1396">
        <v>2.33</v>
      </c>
      <c r="K26" s="1396">
        <v>2.0699999999999998</v>
      </c>
      <c r="L26" s="1410">
        <v>0.69</v>
      </c>
      <c r="N26" s="1403">
        <f t="shared" si="56"/>
        <v>2.0400000000000001E-2</v>
      </c>
      <c r="O26" s="1420">
        <f t="shared" si="51"/>
        <v>2.3300000000000001E-2</v>
      </c>
      <c r="P26" s="1420">
        <f t="shared" si="51"/>
        <v>2.07E-2</v>
      </c>
      <c r="Q26" s="1420">
        <f t="shared" si="51"/>
        <v>6.8999999999999999E-3</v>
      </c>
      <c r="R26" s="1405"/>
      <c r="S26" s="1403"/>
      <c r="T26" s="1404"/>
      <c r="U26" s="1404"/>
      <c r="V26" s="1404"/>
      <c r="X26" s="1439"/>
      <c r="Y26" s="1440"/>
    </row>
    <row r="27" spans="1:34">
      <c r="A27" s="1392" t="s">
        <v>1166</v>
      </c>
      <c r="B27" s="1408">
        <f t="shared" si="63"/>
        <v>282.50186729015837</v>
      </c>
      <c r="C27" s="1408">
        <f t="shared" si="63"/>
        <v>238.09796174155468</v>
      </c>
      <c r="D27" s="1408">
        <f t="shared" si="54"/>
        <v>238.09796174155468</v>
      </c>
      <c r="E27" s="1408">
        <f t="shared" si="64"/>
        <v>385.33438646014054</v>
      </c>
      <c r="F27" s="1408">
        <f t="shared" si="64"/>
        <v>221.55034055567739</v>
      </c>
      <c r="G27" s="3406"/>
      <c r="H27" s="1395">
        <v>1</v>
      </c>
      <c r="I27" s="1395">
        <v>1.67</v>
      </c>
      <c r="J27" s="1395">
        <v>1.31</v>
      </c>
      <c r="K27" s="1395">
        <v>1.85</v>
      </c>
      <c r="L27" s="1409">
        <v>0.96</v>
      </c>
      <c r="N27" s="1411">
        <f t="shared" si="56"/>
        <v>1.67E-2</v>
      </c>
      <c r="O27" s="1412">
        <f t="shared" si="56"/>
        <v>1.3100000000000001E-2</v>
      </c>
      <c r="P27" s="1412">
        <f t="shared" si="56"/>
        <v>1.8500000000000003E-2</v>
      </c>
      <c r="Q27" s="1412">
        <f t="shared" si="56"/>
        <v>9.5999999999999992E-3</v>
      </c>
      <c r="R27" s="1405"/>
      <c r="S27" s="1411">
        <f>B27/B28-1</f>
        <v>1.6193767230785472E-2</v>
      </c>
      <c r="T27" s="1412">
        <f>C27/C28-1</f>
        <v>1.7512657015190891E-2</v>
      </c>
      <c r="U27" s="1412">
        <f>E27/E28-1</f>
        <v>1.6713420739157048E-2</v>
      </c>
      <c r="V27" s="1412">
        <f>F27/F28-1</f>
        <v>7.0470025258062563E-3</v>
      </c>
      <c r="X27" s="1441"/>
      <c r="Y27" s="1391"/>
      <c r="Z27" s="1391"/>
    </row>
    <row r="28" spans="1:34" ht="13.5" thickBot="1">
      <c r="A28" s="1392" t="s">
        <v>1167</v>
      </c>
      <c r="B28" s="1442">
        <v>278</v>
      </c>
      <c r="C28" s="1442">
        <v>234</v>
      </c>
      <c r="D28" s="1442">
        <f t="shared" si="54"/>
        <v>234</v>
      </c>
      <c r="E28" s="1442">
        <v>379</v>
      </c>
      <c r="F28" s="1443">
        <v>220</v>
      </c>
      <c r="G28" s="3399">
        <v>2012</v>
      </c>
      <c r="H28" s="1413">
        <v>4</v>
      </c>
      <c r="I28" s="1413">
        <v>0.91</v>
      </c>
      <c r="J28" s="1413">
        <v>0.68</v>
      </c>
      <c r="K28" s="1413">
        <v>0.98</v>
      </c>
      <c r="L28" s="1414">
        <v>0.9</v>
      </c>
      <c r="N28" s="1403">
        <f t="shared" si="56"/>
        <v>9.1000000000000004E-3</v>
      </c>
      <c r="O28" s="1404">
        <f t="shared" si="56"/>
        <v>6.8000000000000005E-3</v>
      </c>
      <c r="P28" s="1404">
        <f t="shared" si="56"/>
        <v>9.7999999999999997E-3</v>
      </c>
      <c r="Q28" s="1404">
        <f t="shared" si="56"/>
        <v>9.0000000000000011E-3</v>
      </c>
      <c r="R28" s="1405"/>
      <c r="S28" s="1406"/>
      <c r="T28" s="1407"/>
      <c r="U28" s="1407"/>
      <c r="V28" s="1407"/>
      <c r="X28" s="1407"/>
      <c r="Y28" s="1407"/>
      <c r="Z28" s="1407"/>
    </row>
    <row r="29" spans="1:34">
      <c r="A29" s="1392" t="s">
        <v>1168</v>
      </c>
      <c r="B29" s="1408">
        <f>B28/(1+N28)</f>
        <v>275.49301357645425</v>
      </c>
      <c r="C29" s="1408">
        <f>C28/(1+O28)</f>
        <v>232.41954707985698</v>
      </c>
      <c r="D29" s="1408">
        <f t="shared" si="54"/>
        <v>232.41954707985698</v>
      </c>
      <c r="E29" s="1408">
        <f t="shared" ref="E29:F31" si="65">E28/(1+P28)</f>
        <v>375.32184591008121</v>
      </c>
      <c r="F29" s="1408">
        <f t="shared" si="65"/>
        <v>218.03766105054513</v>
      </c>
      <c r="G29" s="3400"/>
      <c r="H29" s="1418">
        <v>3</v>
      </c>
      <c r="I29" s="1418">
        <v>0.09</v>
      </c>
      <c r="J29" s="1418">
        <v>0.28999999999999998</v>
      </c>
      <c r="K29" s="1418">
        <v>-0.01</v>
      </c>
      <c r="L29" s="1419">
        <v>0.57999999999999996</v>
      </c>
      <c r="N29" s="1403">
        <f t="shared" si="56"/>
        <v>8.9999999999999998E-4</v>
      </c>
      <c r="O29" s="1404">
        <f t="shared" si="56"/>
        <v>2.8999999999999998E-3</v>
      </c>
      <c r="P29" s="1404">
        <f t="shared" si="56"/>
        <v>-1E-4</v>
      </c>
      <c r="Q29" s="1404">
        <f t="shared" si="56"/>
        <v>5.7999999999999996E-3</v>
      </c>
      <c r="R29" s="1405"/>
      <c r="S29" s="1403"/>
      <c r="T29" s="1404"/>
      <c r="U29" s="1404"/>
      <c r="V29" s="1404"/>
    </row>
    <row r="30" spans="1:34">
      <c r="A30" s="1392" t="s">
        <v>1169</v>
      </c>
      <c r="B30" s="1408">
        <f>B29/(1+N29)</f>
        <v>275.24529281292263</v>
      </c>
      <c r="C30" s="1408">
        <f>C29/(1+O29)</f>
        <v>231.74747938962707</v>
      </c>
      <c r="D30" s="1408">
        <f t="shared" si="54"/>
        <v>231.74747938962707</v>
      </c>
      <c r="E30" s="1408">
        <f t="shared" si="65"/>
        <v>375.35938184826603</v>
      </c>
      <c r="F30" s="1408">
        <f t="shared" si="65"/>
        <v>216.78033510692495</v>
      </c>
      <c r="G30" s="3400"/>
      <c r="H30" s="1396">
        <v>2</v>
      </c>
      <c r="I30" s="1396">
        <v>0.02</v>
      </c>
      <c r="J30" s="1396">
        <v>0.12</v>
      </c>
      <c r="K30" s="1396">
        <v>-0.08</v>
      </c>
      <c r="L30" s="1410">
        <v>1.24</v>
      </c>
      <c r="N30" s="1403">
        <f t="shared" si="56"/>
        <v>2.0000000000000001E-4</v>
      </c>
      <c r="O30" s="1404">
        <f t="shared" si="56"/>
        <v>1.1999999999999999E-3</v>
      </c>
      <c r="P30" s="1404">
        <f t="shared" si="56"/>
        <v>-8.0000000000000004E-4</v>
      </c>
      <c r="Q30" s="1404">
        <f t="shared" si="56"/>
        <v>1.24E-2</v>
      </c>
      <c r="R30" s="1405"/>
      <c r="S30" s="1403"/>
      <c r="T30" s="1404"/>
      <c r="U30" s="1404"/>
      <c r="V30" s="1404"/>
    </row>
    <row r="31" spans="1:34" ht="13.5" thickBot="1">
      <c r="A31" s="1392" t="s">
        <v>1170</v>
      </c>
      <c r="B31" s="1408">
        <f>B30/(1+N30)</f>
        <v>275.19025476197027</v>
      </c>
      <c r="C31" s="1444">
        <v>232</v>
      </c>
      <c r="D31" s="1444">
        <f t="shared" si="54"/>
        <v>232</v>
      </c>
      <c r="E31" s="1408">
        <f t="shared" si="65"/>
        <v>375.65990977608692</v>
      </c>
      <c r="F31" s="1408">
        <f t="shared" si="65"/>
        <v>214.12518283971252</v>
      </c>
      <c r="G31" s="3401"/>
      <c r="H31" s="1395">
        <v>1</v>
      </c>
      <c r="I31" s="1395">
        <v>0.02</v>
      </c>
      <c r="J31" s="1395">
        <v>0.13</v>
      </c>
      <c r="K31" s="1395">
        <v>-0.04</v>
      </c>
      <c r="L31" s="1409">
        <v>0.46</v>
      </c>
      <c r="N31" s="1403">
        <f t="shared" si="56"/>
        <v>2.0000000000000001E-4</v>
      </c>
      <c r="O31" s="1404">
        <f t="shared" si="56"/>
        <v>1.2999999999999999E-3</v>
      </c>
      <c r="P31" s="1404">
        <f t="shared" si="56"/>
        <v>-4.0000000000000002E-4</v>
      </c>
      <c r="Q31" s="1404">
        <f t="shared" si="56"/>
        <v>4.5999999999999999E-3</v>
      </c>
      <c r="R31" s="1405"/>
      <c r="S31" s="1411">
        <f>B31/B32-1</f>
        <v>6.9183549807361189E-4</v>
      </c>
      <c r="T31" s="1412">
        <f>C31/C32-1</f>
        <v>0</v>
      </c>
      <c r="U31" s="1412">
        <f>E31/E32-1</f>
        <v>-9.0449527636460303E-4</v>
      </c>
      <c r="V31" s="1412">
        <f>F31/F32-1</f>
        <v>5.2825485432512753E-3</v>
      </c>
      <c r="X31" s="1391"/>
      <c r="Y31" s="1391"/>
      <c r="Z31" s="1391"/>
    </row>
    <row r="32" spans="1:34" ht="13.5" thickBot="1">
      <c r="A32" s="1392" t="s">
        <v>1171</v>
      </c>
      <c r="B32" s="1400">
        <v>275</v>
      </c>
      <c r="C32" s="1400">
        <v>232</v>
      </c>
      <c r="D32" s="1400">
        <f t="shared" si="54"/>
        <v>232</v>
      </c>
      <c r="E32" s="1400">
        <v>376</v>
      </c>
      <c r="F32" s="1401">
        <v>213</v>
      </c>
      <c r="G32" s="3399">
        <v>2011</v>
      </c>
      <c r="H32" s="1413">
        <v>4</v>
      </c>
      <c r="I32" s="1413">
        <v>-0.2</v>
      </c>
      <c r="J32" s="1413">
        <v>0.04</v>
      </c>
      <c r="K32" s="1413">
        <v>-0.34</v>
      </c>
      <c r="L32" s="1414">
        <v>0.46</v>
      </c>
      <c r="N32" s="1415">
        <f t="shared" si="56"/>
        <v>-2E-3</v>
      </c>
      <c r="O32" s="1416">
        <f t="shared" si="56"/>
        <v>4.0000000000000002E-4</v>
      </c>
      <c r="P32" s="1416">
        <f t="shared" si="56"/>
        <v>-3.4000000000000002E-3</v>
      </c>
      <c r="Q32" s="1416">
        <f t="shared" si="56"/>
        <v>4.5999999999999999E-3</v>
      </c>
      <c r="R32" s="1405"/>
      <c r="S32" s="1406"/>
      <c r="T32" s="1407"/>
      <c r="U32" s="1407"/>
      <c r="V32" s="1407"/>
      <c r="X32" s="1407"/>
      <c r="Y32" s="1407"/>
      <c r="Z32" s="1407"/>
    </row>
    <row r="33" spans="1:26">
      <c r="A33" s="1392" t="s">
        <v>1172</v>
      </c>
      <c r="B33" s="1408">
        <f t="shared" ref="B33:C35" si="66">B32/(1+N32)</f>
        <v>275.55110220440883</v>
      </c>
      <c r="C33" s="1408">
        <f t="shared" si="66"/>
        <v>231.90723710515795</v>
      </c>
      <c r="D33" s="1408">
        <f t="shared" si="54"/>
        <v>231.90723710515795</v>
      </c>
      <c r="E33" s="1408">
        <f t="shared" ref="E33:F35" si="67">E32/(1+P32)</f>
        <v>377.28276138872161</v>
      </c>
      <c r="F33" s="1408">
        <f t="shared" si="67"/>
        <v>212.02468644236512</v>
      </c>
      <c r="G33" s="3400">
        <v>2011</v>
      </c>
      <c r="H33" s="1418">
        <v>3</v>
      </c>
      <c r="I33" s="1418">
        <v>0.13</v>
      </c>
      <c r="J33" s="1418">
        <v>0.75</v>
      </c>
      <c r="K33" s="1418">
        <v>-0.08</v>
      </c>
      <c r="L33" s="1419">
        <v>0.53</v>
      </c>
      <c r="N33" s="1403">
        <f t="shared" si="56"/>
        <v>1.2999999999999999E-3</v>
      </c>
      <c r="O33" s="1420">
        <f t="shared" si="56"/>
        <v>7.4999999999999997E-3</v>
      </c>
      <c r="P33" s="1420">
        <f t="shared" si="56"/>
        <v>-8.0000000000000004E-4</v>
      </c>
      <c r="Q33" s="1420">
        <f t="shared" si="56"/>
        <v>5.3E-3</v>
      </c>
      <c r="R33" s="1405"/>
      <c r="S33" s="1403"/>
      <c r="T33" s="1404"/>
      <c r="U33" s="1404"/>
      <c r="V33" s="1404"/>
    </row>
    <row r="34" spans="1:26">
      <c r="A34" s="1392" t="s">
        <v>1173</v>
      </c>
      <c r="B34" s="1408">
        <f t="shared" si="66"/>
        <v>275.19335084830601</v>
      </c>
      <c r="C34" s="1408">
        <f t="shared" si="66"/>
        <v>230.18088050139744</v>
      </c>
      <c r="D34" s="1408">
        <f t="shared" si="54"/>
        <v>230.18088050139744</v>
      </c>
      <c r="E34" s="1408">
        <f t="shared" si="67"/>
        <v>377.58482925212331</v>
      </c>
      <c r="F34" s="1408">
        <f t="shared" si="67"/>
        <v>210.90687997847917</v>
      </c>
      <c r="G34" s="3400">
        <v>2011</v>
      </c>
      <c r="H34" s="1396">
        <v>2</v>
      </c>
      <c r="I34" s="1396">
        <v>-0.4</v>
      </c>
      <c r="J34" s="1396">
        <v>0.17</v>
      </c>
      <c r="K34" s="1396">
        <v>-0.57999999999999996</v>
      </c>
      <c r="L34" s="1410">
        <v>-0.2</v>
      </c>
      <c r="N34" s="1403">
        <f t="shared" si="56"/>
        <v>-4.0000000000000001E-3</v>
      </c>
      <c r="O34" s="1420">
        <f t="shared" si="56"/>
        <v>1.7000000000000001E-3</v>
      </c>
      <c r="P34" s="1420">
        <f t="shared" si="56"/>
        <v>-5.7999999999999996E-3</v>
      </c>
      <c r="Q34" s="1420">
        <f t="shared" si="56"/>
        <v>-2E-3</v>
      </c>
      <c r="R34" s="1405"/>
      <c r="S34" s="1403"/>
      <c r="T34" s="1404"/>
      <c r="U34" s="1404"/>
      <c r="V34" s="1404"/>
    </row>
    <row r="35" spans="1:26" ht="13.5" thickBot="1">
      <c r="A35" s="1392" t="s">
        <v>1174</v>
      </c>
      <c r="B35" s="1408">
        <f t="shared" si="66"/>
        <v>276.29854502841971</v>
      </c>
      <c r="C35" s="1408">
        <f t="shared" si="66"/>
        <v>229.79023709833027</v>
      </c>
      <c r="D35" s="1408">
        <f t="shared" si="54"/>
        <v>229.79023709833027</v>
      </c>
      <c r="E35" s="1408">
        <f t="shared" si="67"/>
        <v>379.78759731655936</v>
      </c>
      <c r="F35" s="1408">
        <f t="shared" si="67"/>
        <v>211.32953905659235</v>
      </c>
      <c r="G35" s="3401">
        <v>2011</v>
      </c>
      <c r="H35" s="1395">
        <v>1</v>
      </c>
      <c r="I35" s="1395">
        <v>2.65</v>
      </c>
      <c r="J35" s="1395">
        <v>3.76</v>
      </c>
      <c r="K35" s="1395">
        <v>1.89</v>
      </c>
      <c r="L35" s="1409">
        <v>7.95</v>
      </c>
      <c r="N35" s="1411">
        <f t="shared" si="56"/>
        <v>2.6499999999999999E-2</v>
      </c>
      <c r="O35" s="1412">
        <f t="shared" si="56"/>
        <v>3.7599999999999995E-2</v>
      </c>
      <c r="P35" s="1412">
        <f t="shared" si="56"/>
        <v>1.89E-2</v>
      </c>
      <c r="Q35" s="1412">
        <f t="shared" si="56"/>
        <v>7.9500000000000001E-2</v>
      </c>
      <c r="R35" s="1405"/>
      <c r="S35" s="1411">
        <f>B35/B36-1</f>
        <v>2.713213765211786E-2</v>
      </c>
      <c r="T35" s="1412">
        <f>C35/C36-1</f>
        <v>3.9774828499231862E-2</v>
      </c>
      <c r="U35" s="1412">
        <f>E35/E36-1</f>
        <v>1.8197311840641772E-2</v>
      </c>
      <c r="V35" s="1412">
        <f>F35/F36-1</f>
        <v>7.8211933962205826E-2</v>
      </c>
      <c r="X35" s="1391"/>
      <c r="Y35" s="1391"/>
      <c r="Z35" s="1391"/>
    </row>
    <row r="36" spans="1:26" ht="13.5" thickBot="1">
      <c r="A36" s="1392" t="s">
        <v>1175</v>
      </c>
      <c r="B36" s="1400">
        <v>269</v>
      </c>
      <c r="C36" s="1400">
        <v>221</v>
      </c>
      <c r="D36" s="1400">
        <f t="shared" si="54"/>
        <v>221</v>
      </c>
      <c r="E36" s="1400">
        <v>373</v>
      </c>
      <c r="F36" s="1401">
        <v>196</v>
      </c>
      <c r="G36" s="3399">
        <v>2010</v>
      </c>
      <c r="H36" s="1413">
        <v>4</v>
      </c>
      <c r="I36" s="1413">
        <v>5.72</v>
      </c>
      <c r="J36" s="1413">
        <v>6.57</v>
      </c>
      <c r="K36" s="1413">
        <v>5.72</v>
      </c>
      <c r="L36" s="1414">
        <v>2.72</v>
      </c>
      <c r="N36" s="1403">
        <f t="shared" si="56"/>
        <v>5.7200000000000001E-2</v>
      </c>
      <c r="O36" s="1404">
        <f t="shared" si="56"/>
        <v>6.5700000000000008E-2</v>
      </c>
      <c r="P36" s="1404">
        <f t="shared" si="56"/>
        <v>5.7200000000000001E-2</v>
      </c>
      <c r="Q36" s="1404">
        <f t="shared" si="56"/>
        <v>2.7200000000000002E-2</v>
      </c>
      <c r="R36" s="1405"/>
      <c r="S36" s="1406"/>
      <c r="T36" s="1407"/>
      <c r="U36" s="1407"/>
      <c r="V36" s="1407"/>
      <c r="X36" s="1407"/>
      <c r="Y36" s="1407"/>
      <c r="Z36" s="1407"/>
    </row>
    <row r="37" spans="1:26">
      <c r="A37" s="1392" t="s">
        <v>1176</v>
      </c>
      <c r="B37" s="1408">
        <f t="shared" ref="B37:C39" si="68">B36/(1+N36)</f>
        <v>254.44570563753314</v>
      </c>
      <c r="C37" s="1408">
        <f t="shared" si="68"/>
        <v>207.37543398705074</v>
      </c>
      <c r="D37" s="1408">
        <f t="shared" si="54"/>
        <v>207.37543398705074</v>
      </c>
      <c r="E37" s="1408">
        <f t="shared" ref="E37:F39" si="69">E36/(1+P36)</f>
        <v>352.81876655315932</v>
      </c>
      <c r="F37" s="1408">
        <f t="shared" si="69"/>
        <v>190.809968847352</v>
      </c>
      <c r="G37" s="3400">
        <v>2010</v>
      </c>
      <c r="H37" s="1418">
        <v>3</v>
      </c>
      <c r="I37" s="1418">
        <v>4.7300000000000004</v>
      </c>
      <c r="J37" s="1418">
        <v>3.9</v>
      </c>
      <c r="K37" s="1418">
        <v>5.03</v>
      </c>
      <c r="L37" s="1419">
        <v>4.21</v>
      </c>
      <c r="N37" s="1403">
        <f t="shared" si="56"/>
        <v>4.7300000000000002E-2</v>
      </c>
      <c r="O37" s="1404">
        <f t="shared" si="56"/>
        <v>3.9E-2</v>
      </c>
      <c r="P37" s="1404">
        <f t="shared" si="56"/>
        <v>5.0300000000000004E-2</v>
      </c>
      <c r="Q37" s="1404">
        <f t="shared" si="56"/>
        <v>4.2099999999999999E-2</v>
      </c>
      <c r="R37" s="1405"/>
      <c r="S37" s="1403"/>
      <c r="T37" s="1404"/>
      <c r="U37" s="1404"/>
      <c r="V37" s="1404"/>
    </row>
    <row r="38" spans="1:26">
      <c r="A38" s="1392" t="s">
        <v>1177</v>
      </c>
      <c r="B38" s="1408">
        <f t="shared" si="68"/>
        <v>242.95398227588385</v>
      </c>
      <c r="C38" s="1408">
        <f t="shared" si="68"/>
        <v>199.59137053614126</v>
      </c>
      <c r="D38" s="1408">
        <f t="shared" si="54"/>
        <v>199.59137053614126</v>
      </c>
      <c r="E38" s="1408">
        <f t="shared" si="69"/>
        <v>335.92189522342125</v>
      </c>
      <c r="F38" s="1408">
        <f t="shared" si="69"/>
        <v>183.10139991109489</v>
      </c>
      <c r="G38" s="3400">
        <v>2010</v>
      </c>
      <c r="H38" s="1396">
        <v>2</v>
      </c>
      <c r="I38" s="1396">
        <v>4.6900000000000004</v>
      </c>
      <c r="J38" s="1396">
        <v>3.55</v>
      </c>
      <c r="K38" s="1396">
        <v>5.07</v>
      </c>
      <c r="L38" s="1410">
        <v>4.2300000000000004</v>
      </c>
      <c r="N38" s="1403">
        <f t="shared" si="56"/>
        <v>4.6900000000000004E-2</v>
      </c>
      <c r="O38" s="1404">
        <f t="shared" si="56"/>
        <v>3.5499999999999997E-2</v>
      </c>
      <c r="P38" s="1404">
        <f t="shared" si="56"/>
        <v>5.0700000000000002E-2</v>
      </c>
      <c r="Q38" s="1404">
        <f t="shared" si="56"/>
        <v>4.2300000000000004E-2</v>
      </c>
      <c r="R38" s="1405"/>
      <c r="S38" s="1403"/>
      <c r="T38" s="1404"/>
      <c r="U38" s="1404"/>
      <c r="V38" s="1404"/>
    </row>
    <row r="39" spans="1:26" ht="13.5" thickBot="1">
      <c r="A39" s="1392" t="s">
        <v>1178</v>
      </c>
      <c r="B39" s="1408">
        <f t="shared" si="68"/>
        <v>232.06990378821649</v>
      </c>
      <c r="C39" s="1408">
        <f t="shared" si="68"/>
        <v>192.74878854286936</v>
      </c>
      <c r="D39" s="1408">
        <f t="shared" si="54"/>
        <v>192.74878854286936</v>
      </c>
      <c r="E39" s="1408">
        <f t="shared" si="69"/>
        <v>319.71247284992984</v>
      </c>
      <c r="F39" s="1408">
        <f t="shared" si="69"/>
        <v>175.67053622862409</v>
      </c>
      <c r="G39" s="3401">
        <v>2010</v>
      </c>
      <c r="H39" s="1395">
        <v>1</v>
      </c>
      <c r="I39" s="1395">
        <v>5.4</v>
      </c>
      <c r="J39" s="1395">
        <v>3.2</v>
      </c>
      <c r="K39" s="1395">
        <v>6.16</v>
      </c>
      <c r="L39" s="1409">
        <v>4.51</v>
      </c>
      <c r="N39" s="1403">
        <f t="shared" si="56"/>
        <v>5.4000000000000006E-2</v>
      </c>
      <c r="O39" s="1404">
        <f t="shared" si="56"/>
        <v>3.2000000000000001E-2</v>
      </c>
      <c r="P39" s="1404">
        <f t="shared" si="56"/>
        <v>6.1600000000000002E-2</v>
      </c>
      <c r="Q39" s="1404">
        <f t="shared" si="56"/>
        <v>4.5100000000000001E-2</v>
      </c>
      <c r="R39" s="1405"/>
      <c r="S39" s="1411">
        <f>B39/B40-1</f>
        <v>5.4863199037347599E-2</v>
      </c>
      <c r="T39" s="1412">
        <f>C39/C40-1</f>
        <v>3.0742184721226584E-2</v>
      </c>
      <c r="U39" s="1412">
        <f>E39/E40-1</f>
        <v>6.2167683886810154E-2</v>
      </c>
      <c r="V39" s="1412">
        <f>F39/F40-1</f>
        <v>4.5657953741810031E-2</v>
      </c>
      <c r="X39" s="1391"/>
      <c r="Y39" s="1391"/>
      <c r="Z39" s="1391"/>
    </row>
    <row r="40" spans="1:26" ht="13.5" thickBot="1">
      <c r="A40" s="1392" t="s">
        <v>1179</v>
      </c>
      <c r="B40" s="1400">
        <v>220</v>
      </c>
      <c r="C40" s="1400">
        <v>187</v>
      </c>
      <c r="D40" s="1400">
        <f t="shared" si="54"/>
        <v>187</v>
      </c>
      <c r="E40" s="1400">
        <v>301</v>
      </c>
      <c r="F40" s="1401">
        <v>168</v>
      </c>
      <c r="G40" s="3399">
        <v>2009</v>
      </c>
      <c r="H40" s="1413">
        <v>4</v>
      </c>
      <c r="I40" s="1413">
        <v>2.2999999999999998</v>
      </c>
      <c r="J40" s="1413">
        <v>1.04</v>
      </c>
      <c r="K40" s="1413">
        <v>2.84</v>
      </c>
      <c r="L40" s="1414">
        <v>0.67</v>
      </c>
      <c r="N40" s="1415">
        <f t="shared" si="56"/>
        <v>2.3E-2</v>
      </c>
      <c r="O40" s="1416">
        <f t="shared" si="56"/>
        <v>1.04E-2</v>
      </c>
      <c r="P40" s="1416">
        <f t="shared" si="56"/>
        <v>2.8399999999999998E-2</v>
      </c>
      <c r="Q40" s="1416">
        <f t="shared" si="56"/>
        <v>6.7000000000000002E-3</v>
      </c>
      <c r="R40" s="1405"/>
      <c r="S40" s="1406"/>
      <c r="T40" s="1407"/>
      <c r="U40" s="1407"/>
      <c r="V40" s="1407"/>
      <c r="X40" s="1407"/>
      <c r="Y40" s="1407"/>
      <c r="Z40" s="1407"/>
    </row>
    <row r="41" spans="1:26">
      <c r="A41" s="1392" t="s">
        <v>1180</v>
      </c>
      <c r="B41" s="1408">
        <f t="shared" ref="B41:C43" si="70">B40/(1+N40)</f>
        <v>215.05376344086022</v>
      </c>
      <c r="C41" s="1408">
        <f t="shared" si="70"/>
        <v>185.0752177355503</v>
      </c>
      <c r="D41" s="1408">
        <f t="shared" si="54"/>
        <v>185.0752177355503</v>
      </c>
      <c r="E41" s="1408">
        <f t="shared" ref="E41:F43" si="71">E40/(1+P40)</f>
        <v>292.68767016725008</v>
      </c>
      <c r="F41" s="1408">
        <f t="shared" si="71"/>
        <v>166.88189132810174</v>
      </c>
      <c r="G41" s="3400">
        <v>2009</v>
      </c>
      <c r="H41" s="1418">
        <v>3</v>
      </c>
      <c r="I41" s="1418">
        <v>2.1</v>
      </c>
      <c r="J41" s="1418">
        <v>1.86</v>
      </c>
      <c r="K41" s="1418">
        <v>2.29</v>
      </c>
      <c r="L41" s="1419">
        <v>0.85</v>
      </c>
      <c r="N41" s="1403">
        <f t="shared" si="56"/>
        <v>2.1000000000000001E-2</v>
      </c>
      <c r="O41" s="1420">
        <f t="shared" si="56"/>
        <v>1.8600000000000002E-2</v>
      </c>
      <c r="P41" s="1420">
        <f t="shared" si="56"/>
        <v>2.29E-2</v>
      </c>
      <c r="Q41" s="1420">
        <f t="shared" si="56"/>
        <v>8.5000000000000006E-3</v>
      </c>
      <c r="R41" s="1405"/>
      <c r="S41" s="1403"/>
      <c r="T41" s="1404"/>
      <c r="U41" s="1404"/>
      <c r="V41" s="1404"/>
    </row>
    <row r="42" spans="1:26">
      <c r="A42" s="1392" t="s">
        <v>1181</v>
      </c>
      <c r="B42" s="1408">
        <f t="shared" si="70"/>
        <v>210.630522469011</v>
      </c>
      <c r="C42" s="1408">
        <f t="shared" si="70"/>
        <v>181.69567812247232</v>
      </c>
      <c r="D42" s="1408">
        <f t="shared" si="54"/>
        <v>181.69567812247232</v>
      </c>
      <c r="E42" s="1408">
        <f t="shared" si="71"/>
        <v>286.13517466736738</v>
      </c>
      <c r="F42" s="1408">
        <f t="shared" si="71"/>
        <v>165.47535084591149</v>
      </c>
      <c r="G42" s="3400">
        <v>2009</v>
      </c>
      <c r="H42" s="1396">
        <v>2</v>
      </c>
      <c r="I42" s="1396">
        <v>0.86</v>
      </c>
      <c r="J42" s="1396">
        <v>-1.1299999999999999</v>
      </c>
      <c r="K42" s="1396">
        <v>1.79</v>
      </c>
      <c r="L42" s="1410">
        <v>-2.0699999999999998</v>
      </c>
      <c r="N42" s="1403">
        <f t="shared" si="56"/>
        <v>8.6E-3</v>
      </c>
      <c r="O42" s="1420">
        <f t="shared" si="56"/>
        <v>-1.1299999999999999E-2</v>
      </c>
      <c r="P42" s="1420">
        <f t="shared" si="56"/>
        <v>1.7899999999999999E-2</v>
      </c>
      <c r="Q42" s="1420">
        <f t="shared" si="56"/>
        <v>-2.07E-2</v>
      </c>
      <c r="R42" s="1405"/>
      <c r="S42" s="1403"/>
      <c r="T42" s="1404"/>
      <c r="U42" s="1404"/>
      <c r="V42" s="1404"/>
    </row>
    <row r="43" spans="1:26">
      <c r="A43" s="1392" t="s">
        <v>1182</v>
      </c>
      <c r="B43" s="1408">
        <f t="shared" si="70"/>
        <v>208.83454537875372</v>
      </c>
      <c r="C43" s="1408">
        <f t="shared" si="70"/>
        <v>183.77230517090351</v>
      </c>
      <c r="D43" s="1408">
        <f t="shared" si="54"/>
        <v>183.77230517090351</v>
      </c>
      <c r="E43" s="1408">
        <f t="shared" si="71"/>
        <v>281.10342338870947</v>
      </c>
      <c r="F43" s="1408">
        <f t="shared" si="71"/>
        <v>168.97309388942256</v>
      </c>
      <c r="G43" s="3401">
        <v>2009</v>
      </c>
      <c r="H43" s="1395">
        <v>1</v>
      </c>
      <c r="I43" s="1395">
        <v>-2.64</v>
      </c>
      <c r="J43" s="1395">
        <v>-2.5299999999999998</v>
      </c>
      <c r="K43" s="1395">
        <v>-3.02</v>
      </c>
      <c r="L43" s="1409">
        <v>1.52</v>
      </c>
      <c r="N43" s="1411">
        <f t="shared" si="56"/>
        <v>-2.64E-2</v>
      </c>
      <c r="O43" s="1412">
        <f t="shared" si="56"/>
        <v>-2.53E-2</v>
      </c>
      <c r="P43" s="1412">
        <f t="shared" si="56"/>
        <v>-3.0200000000000001E-2</v>
      </c>
      <c r="Q43" s="1412">
        <f t="shared" si="56"/>
        <v>1.52E-2</v>
      </c>
      <c r="R43" s="1405"/>
      <c r="S43" s="1411">
        <f>B43/B44-1</f>
        <v>-2.4137638417038754E-2</v>
      </c>
      <c r="T43" s="1412">
        <f>C43/C44-1</f>
        <v>-2.248773845264096E-2</v>
      </c>
      <c r="U43" s="1412">
        <f>E43/E44-1</f>
        <v>-2.7323794502735366E-2</v>
      </c>
      <c r="V43" s="1412">
        <f>F43/F44-1</f>
        <v>1.7910204153148035E-2</v>
      </c>
      <c r="X43" s="1391"/>
      <c r="Y43" s="1391"/>
      <c r="Z43" s="1391"/>
    </row>
    <row r="44" spans="1:26" ht="13.5" thickBot="1">
      <c r="A44" s="1392" t="s">
        <v>1183</v>
      </c>
      <c r="B44" s="1442">
        <v>214</v>
      </c>
      <c r="C44" s="1442">
        <v>188</v>
      </c>
      <c r="D44" s="1442">
        <f t="shared" si="54"/>
        <v>188</v>
      </c>
      <c r="E44" s="1442">
        <v>289</v>
      </c>
      <c r="F44" s="1443">
        <v>166</v>
      </c>
      <c r="G44" s="3399">
        <v>2008</v>
      </c>
      <c r="H44" s="1413">
        <v>4</v>
      </c>
      <c r="I44" s="1413">
        <v>1.73</v>
      </c>
      <c r="J44" s="1413">
        <v>0.03</v>
      </c>
      <c r="K44" s="1413">
        <v>2.59</v>
      </c>
      <c r="L44" s="1414">
        <v>-1.66</v>
      </c>
      <c r="N44" s="1403">
        <f t="shared" si="56"/>
        <v>1.7299999999999999E-2</v>
      </c>
      <c r="O44" s="1404">
        <f t="shared" si="56"/>
        <v>2.9999999999999997E-4</v>
      </c>
      <c r="P44" s="1404">
        <f t="shared" si="56"/>
        <v>2.5899999999999999E-2</v>
      </c>
      <c r="Q44" s="1404">
        <f t="shared" si="56"/>
        <v>-1.66E-2</v>
      </c>
      <c r="R44" s="1405"/>
      <c r="S44" s="1406"/>
      <c r="T44" s="1407"/>
      <c r="U44" s="1407"/>
      <c r="V44" s="1407"/>
      <c r="X44" s="1407"/>
      <c r="Y44" s="1407"/>
      <c r="Z44" s="1407"/>
    </row>
    <row r="45" spans="1:26">
      <c r="A45" s="1392" t="s">
        <v>1184</v>
      </c>
      <c r="B45" s="1408">
        <f t="shared" ref="B45:C47" si="72">B44/(1+N44)</f>
        <v>210.36075887152265</v>
      </c>
      <c r="C45" s="1408">
        <f t="shared" si="72"/>
        <v>187.94361691492554</v>
      </c>
      <c r="D45" s="1408">
        <f t="shared" si="54"/>
        <v>187.94361691492554</v>
      </c>
      <c r="E45" s="1408">
        <f t="shared" ref="E45:F47" si="73">E44/(1+P44)</f>
        <v>281.70386977288234</v>
      </c>
      <c r="F45" s="1408">
        <f t="shared" si="73"/>
        <v>168.80211511083994</v>
      </c>
      <c r="G45" s="3400">
        <v>2008</v>
      </c>
      <c r="H45" s="1418">
        <v>3</v>
      </c>
      <c r="I45" s="1418">
        <v>1.96</v>
      </c>
      <c r="J45" s="1418">
        <v>2.36</v>
      </c>
      <c r="K45" s="1418">
        <v>1.82</v>
      </c>
      <c r="L45" s="1419">
        <v>2.2200000000000002</v>
      </c>
      <c r="N45" s="1403">
        <f t="shared" si="56"/>
        <v>1.9599999999999999E-2</v>
      </c>
      <c r="O45" s="1404">
        <f t="shared" si="56"/>
        <v>2.3599999999999999E-2</v>
      </c>
      <c r="P45" s="1404">
        <f t="shared" si="56"/>
        <v>1.8200000000000001E-2</v>
      </c>
      <c r="Q45" s="1404">
        <f t="shared" si="56"/>
        <v>2.2200000000000001E-2</v>
      </c>
      <c r="R45" s="1405"/>
      <c r="S45" s="1403"/>
      <c r="T45" s="1404"/>
      <c r="U45" s="1404"/>
      <c r="V45" s="1404"/>
    </row>
    <row r="46" spans="1:26">
      <c r="A46" s="1392" t="s">
        <v>1185</v>
      </c>
      <c r="B46" s="1408">
        <f t="shared" si="72"/>
        <v>206.31694671589116</v>
      </c>
      <c r="C46" s="1408">
        <f t="shared" si="72"/>
        <v>183.61041121036101</v>
      </c>
      <c r="D46" s="1408">
        <f t="shared" si="54"/>
        <v>183.61041121036101</v>
      </c>
      <c r="E46" s="1408">
        <f t="shared" si="73"/>
        <v>276.66850301795557</v>
      </c>
      <c r="F46" s="1408">
        <f t="shared" si="73"/>
        <v>165.1360938278614</v>
      </c>
      <c r="G46" s="3400">
        <v>2008</v>
      </c>
      <c r="H46" s="1396">
        <v>2</v>
      </c>
      <c r="I46" s="1396">
        <v>4.93</v>
      </c>
      <c r="J46" s="1396">
        <v>7.38</v>
      </c>
      <c r="K46" s="1396">
        <v>3.98</v>
      </c>
      <c r="L46" s="1410">
        <v>6.86</v>
      </c>
      <c r="N46" s="1403">
        <f t="shared" si="56"/>
        <v>4.9299999999999997E-2</v>
      </c>
      <c r="O46" s="1404">
        <f t="shared" si="56"/>
        <v>7.3800000000000004E-2</v>
      </c>
      <c r="P46" s="1404">
        <f t="shared" si="56"/>
        <v>3.9800000000000002E-2</v>
      </c>
      <c r="Q46" s="1404">
        <f t="shared" si="56"/>
        <v>6.8600000000000008E-2</v>
      </c>
      <c r="R46" s="1405"/>
      <c r="S46" s="1403"/>
      <c r="T46" s="1404"/>
      <c r="U46" s="1404"/>
      <c r="V46" s="1404"/>
    </row>
    <row r="47" spans="1:26" s="1448" customFormat="1" ht="13.5" thickBot="1">
      <c r="A47" s="1392" t="s">
        <v>1186</v>
      </c>
      <c r="B47" s="1445">
        <f t="shared" si="72"/>
        <v>196.62341248059772</v>
      </c>
      <c r="C47" s="1445">
        <f t="shared" si="72"/>
        <v>170.99125648199012</v>
      </c>
      <c r="D47" s="1445">
        <f t="shared" si="54"/>
        <v>170.99125648199012</v>
      </c>
      <c r="E47" s="1445">
        <f t="shared" si="73"/>
        <v>266.07857570490052</v>
      </c>
      <c r="F47" s="1445">
        <f t="shared" si="73"/>
        <v>154.53499328828505</v>
      </c>
      <c r="G47" s="3401">
        <v>2008</v>
      </c>
      <c r="H47" s="1446">
        <v>1</v>
      </c>
      <c r="I47" s="1446">
        <v>4.1399999999999997</v>
      </c>
      <c r="J47" s="1446">
        <v>3.45</v>
      </c>
      <c r="K47" s="1446">
        <v>4.95</v>
      </c>
      <c r="L47" s="1447">
        <v>4.82</v>
      </c>
      <c r="N47" s="1449">
        <f t="shared" si="56"/>
        <v>4.1399999999999999E-2</v>
      </c>
      <c r="O47" s="1450">
        <f t="shared" si="56"/>
        <v>3.4500000000000003E-2</v>
      </c>
      <c r="P47" s="1450">
        <f t="shared" si="56"/>
        <v>4.9500000000000002E-2</v>
      </c>
      <c r="Q47" s="1450">
        <f t="shared" si="56"/>
        <v>4.82E-2</v>
      </c>
      <c r="R47" s="1451"/>
      <c r="S47" s="1449">
        <f>B47/B48-1</f>
        <v>4.5869215322328349E-2</v>
      </c>
      <c r="T47" s="1450">
        <f>C47/C48-1</f>
        <v>3.6310645345394743E-2</v>
      </c>
      <c r="U47" s="1450">
        <f>E47/E48-1</f>
        <v>4.7553447657088688E-2</v>
      </c>
      <c r="V47" s="1450">
        <f>F47/F48-1</f>
        <v>4.4155360055980086E-2</v>
      </c>
      <c r="X47" s="1452"/>
      <c r="Y47" s="1452"/>
      <c r="Z47" s="1452"/>
    </row>
    <row r="48" spans="1:26" ht="13.5" thickBot="1">
      <c r="A48" s="1392" t="s">
        <v>1187</v>
      </c>
      <c r="B48" s="1400">
        <v>188</v>
      </c>
      <c r="C48" s="1400">
        <v>165</v>
      </c>
      <c r="D48" s="1400">
        <f t="shared" si="54"/>
        <v>165</v>
      </c>
      <c r="E48" s="1400">
        <v>254</v>
      </c>
      <c r="F48" s="1401">
        <v>148</v>
      </c>
      <c r="G48" s="3399">
        <v>2007</v>
      </c>
      <c r="H48" s="1453">
        <v>4</v>
      </c>
      <c r="I48" s="1453">
        <v>5.51</v>
      </c>
      <c r="J48" s="1453">
        <v>4.8899999999999997</v>
      </c>
      <c r="K48" s="1453">
        <v>6.43</v>
      </c>
      <c r="L48" s="1454">
        <v>5.36</v>
      </c>
      <c r="N48" s="1455">
        <f t="shared" ref="N48:O51" si="74">B48/B49-1</f>
        <v>4.1339718365245526E-2</v>
      </c>
      <c r="O48" s="1456">
        <f t="shared" si="74"/>
        <v>4.0324492593776018E-2</v>
      </c>
      <c r="P48" s="1456">
        <f t="shared" ref="P48:Q51" si="75">E48/E49-1</f>
        <v>6.1625555347990968E-2</v>
      </c>
      <c r="Q48" s="1456">
        <f t="shared" si="75"/>
        <v>4.6757569250590603E-2</v>
      </c>
      <c r="R48" s="1405"/>
      <c r="S48" s="1406"/>
      <c r="T48" s="1407"/>
      <c r="U48" s="1407"/>
      <c r="V48" s="1407"/>
      <c r="X48" s="1407"/>
      <c r="Y48" s="1407"/>
      <c r="Z48" s="1407"/>
    </row>
    <row r="49" spans="1:26">
      <c r="A49" s="1392" t="s">
        <v>1188</v>
      </c>
      <c r="B49" s="1408">
        <f t="shared" ref="B49:C51" si="76">B50+(B$48-B$52)*I49/SUM(I$48:I$51)</f>
        <v>180.5366651097618</v>
      </c>
      <c r="C49" s="1408">
        <f t="shared" si="76"/>
        <v>158.60435967302453</v>
      </c>
      <c r="D49" s="1408">
        <f t="shared" si="54"/>
        <v>158.60435967302453</v>
      </c>
      <c r="E49" s="1408">
        <f t="shared" ref="E49:F51" si="77">E50+(E$48-E$52)*K49/SUM(K$48:K$51)</f>
        <v>239.25573260785075</v>
      </c>
      <c r="F49" s="1408">
        <f t="shared" si="77"/>
        <v>141.38899430740037</v>
      </c>
      <c r="G49" s="3400">
        <v>2007</v>
      </c>
      <c r="H49" s="1418">
        <v>3</v>
      </c>
      <c r="I49" s="1418">
        <v>8.65</v>
      </c>
      <c r="J49" s="1418">
        <v>8.06</v>
      </c>
      <c r="K49" s="1418">
        <v>9.94</v>
      </c>
      <c r="L49" s="1419">
        <v>5.8</v>
      </c>
      <c r="N49" s="1455">
        <f t="shared" si="74"/>
        <v>6.940217571740015E-2</v>
      </c>
      <c r="O49" s="1456">
        <f t="shared" si="74"/>
        <v>7.1197482471153428E-2</v>
      </c>
      <c r="P49" s="1456">
        <f t="shared" si="75"/>
        <v>0.10529679922579582</v>
      </c>
      <c r="Q49" s="1456">
        <f t="shared" si="75"/>
        <v>5.3292245059512133E-2</v>
      </c>
      <c r="R49" s="1405"/>
      <c r="S49" s="1403"/>
      <c r="T49" s="1404"/>
      <c r="U49" s="1404"/>
      <c r="V49" s="1404"/>
      <c r="X49" s="1457"/>
      <c r="Y49" s="1457"/>
      <c r="Z49" s="1457"/>
    </row>
    <row r="50" spans="1:26">
      <c r="A50" s="1392" t="s">
        <v>1189</v>
      </c>
      <c r="B50" s="1408">
        <f t="shared" si="76"/>
        <v>168.82017748715555</v>
      </c>
      <c r="C50" s="1408">
        <f t="shared" si="76"/>
        <v>148.06267029972753</v>
      </c>
      <c r="D50" s="1408">
        <f t="shared" si="54"/>
        <v>148.06267029972753</v>
      </c>
      <c r="E50" s="1408">
        <f t="shared" si="77"/>
        <v>216.46288379323747</v>
      </c>
      <c r="F50" s="1408">
        <f t="shared" si="77"/>
        <v>134.23529411764704</v>
      </c>
      <c r="G50" s="3400">
        <v>2007</v>
      </c>
      <c r="H50" s="1396">
        <v>2</v>
      </c>
      <c r="I50" s="1396">
        <v>3.67</v>
      </c>
      <c r="J50" s="1396">
        <v>2.3199999999999998</v>
      </c>
      <c r="K50" s="1396">
        <v>5.0199999999999996</v>
      </c>
      <c r="L50" s="1410">
        <v>6.71</v>
      </c>
      <c r="N50" s="1455">
        <f t="shared" si="74"/>
        <v>3.0339138143848032E-2</v>
      </c>
      <c r="O50" s="1456">
        <f t="shared" si="74"/>
        <v>2.0922341588790472E-2</v>
      </c>
      <c r="P50" s="1456">
        <f t="shared" si="75"/>
        <v>5.6164796592717003E-2</v>
      </c>
      <c r="Q50" s="1456">
        <f t="shared" si="75"/>
        <v>6.5704536723887319E-2</v>
      </c>
      <c r="R50" s="1405"/>
      <c r="S50" s="1403"/>
      <c r="T50" s="1404"/>
      <c r="U50" s="1404"/>
      <c r="V50" s="1404"/>
      <c r="X50" s="1457"/>
      <c r="Y50" s="1457"/>
      <c r="Z50" s="1457"/>
    </row>
    <row r="51" spans="1:26">
      <c r="A51" s="1392" t="s">
        <v>1190</v>
      </c>
      <c r="B51" s="1408">
        <f t="shared" si="76"/>
        <v>163.84913591779542</v>
      </c>
      <c r="C51" s="1408">
        <f t="shared" si="76"/>
        <v>145.0283378746594</v>
      </c>
      <c r="D51" s="1408">
        <f t="shared" si="54"/>
        <v>145.0283378746594</v>
      </c>
      <c r="E51" s="1408">
        <f t="shared" si="77"/>
        <v>204.95180722891567</v>
      </c>
      <c r="F51" s="1408">
        <f t="shared" si="77"/>
        <v>125.95920303605313</v>
      </c>
      <c r="G51" s="3401">
        <v>2007</v>
      </c>
      <c r="H51" s="1395">
        <v>1</v>
      </c>
      <c r="I51" s="1395">
        <v>3.58</v>
      </c>
      <c r="J51" s="1395">
        <v>3.08</v>
      </c>
      <c r="K51" s="1395">
        <v>4.34</v>
      </c>
      <c r="L51" s="1409">
        <v>3.21</v>
      </c>
      <c r="N51" s="1458">
        <f t="shared" si="74"/>
        <v>3.0497710174814063E-2</v>
      </c>
      <c r="O51" s="1459">
        <f t="shared" si="74"/>
        <v>2.8569772160704998E-2</v>
      </c>
      <c r="P51" s="1459">
        <f t="shared" si="75"/>
        <v>5.1034908866234296E-2</v>
      </c>
      <c r="Q51" s="1459">
        <f t="shared" si="75"/>
        <v>3.245248390207478E-2</v>
      </c>
      <c r="R51" s="1405"/>
      <c r="S51" s="1411">
        <f>B51/B52-1</f>
        <v>3.0497710174814063E-2</v>
      </c>
      <c r="T51" s="1412">
        <f>C51/C52-1</f>
        <v>2.8569772160704998E-2</v>
      </c>
      <c r="U51" s="1412">
        <f>E51/E52-1</f>
        <v>5.1034908866234296E-2</v>
      </c>
      <c r="V51" s="1412">
        <f>F51/F52-1</f>
        <v>3.245248390207478E-2</v>
      </c>
      <c r="X51" s="1457"/>
      <c r="Y51" s="1457"/>
      <c r="Z51" s="1457"/>
    </row>
    <row r="52" spans="1:26" ht="13.5" thickBot="1">
      <c r="A52" s="1392" t="s">
        <v>1191</v>
      </c>
      <c r="B52" s="1421">
        <v>159</v>
      </c>
      <c r="C52" s="1421">
        <v>141</v>
      </c>
      <c r="D52" s="1421">
        <f t="shared" si="54"/>
        <v>141</v>
      </c>
      <c r="E52" s="1421">
        <v>195</v>
      </c>
      <c r="F52" s="1422">
        <v>122</v>
      </c>
      <c r="G52" s="3399">
        <v>2006</v>
      </c>
      <c r="H52" s="1413">
        <v>4</v>
      </c>
      <c r="I52" s="1413">
        <v>3.79</v>
      </c>
      <c r="J52" s="1413">
        <v>2.21</v>
      </c>
      <c r="K52" s="1413">
        <v>5.65</v>
      </c>
      <c r="L52" s="1414">
        <v>5.41</v>
      </c>
      <c r="N52" s="1455">
        <f t="shared" ref="N52:O55" si="78">I52/SUM(I$52:I$55)*(B$52/B$56-1)</f>
        <v>7.245466462748526E-2</v>
      </c>
      <c r="O52" s="1456">
        <f t="shared" si="78"/>
        <v>2.3237230038062766E-2</v>
      </c>
      <c r="P52" s="1456">
        <f t="shared" ref="P52:Q55" si="79">K52/SUM(K$52:K$55)*(E$52/E$56-1)</f>
        <v>0.16146893866323722</v>
      </c>
      <c r="Q52" s="1456">
        <f t="shared" si="79"/>
        <v>5.0755230321793784E-2</v>
      </c>
      <c r="R52" s="1405"/>
      <c r="S52" s="1406"/>
      <c r="T52" s="1407"/>
      <c r="U52" s="1407"/>
      <c r="V52" s="1407"/>
      <c r="X52" s="1457"/>
      <c r="Y52" s="1457"/>
      <c r="Z52" s="1457"/>
    </row>
    <row r="53" spans="1:26">
      <c r="A53" s="1392" t="s">
        <v>1192</v>
      </c>
      <c r="B53" s="1408">
        <f t="shared" ref="B53:C55" si="80">B54+(B$52-B$56)*I53/SUM(I$52:I$55)</f>
        <v>149.00125628140702</v>
      </c>
      <c r="C53" s="1408">
        <f t="shared" si="80"/>
        <v>137.95592286501378</v>
      </c>
      <c r="D53" s="1408">
        <f t="shared" si="54"/>
        <v>137.95592286501378</v>
      </c>
      <c r="E53" s="1408">
        <f t="shared" ref="E53:F55" si="81">E54+(E$52-E$56)*K53/SUM(K$52:K$55)</f>
        <v>169.97231450719823</v>
      </c>
      <c r="F53" s="1408">
        <f t="shared" si="81"/>
        <v>116.21390374331551</v>
      </c>
      <c r="G53" s="3400">
        <v>2006</v>
      </c>
      <c r="H53" s="1418">
        <v>3</v>
      </c>
      <c r="I53" s="1418">
        <v>0.92</v>
      </c>
      <c r="J53" s="1418">
        <v>1.08</v>
      </c>
      <c r="K53" s="1418">
        <v>0.73</v>
      </c>
      <c r="L53" s="1419">
        <v>1.08</v>
      </c>
      <c r="N53" s="1455">
        <f t="shared" si="78"/>
        <v>1.7587939698492462E-2</v>
      </c>
      <c r="O53" s="1456">
        <f t="shared" si="78"/>
        <v>1.1355750425840628E-2</v>
      </c>
      <c r="P53" s="1456">
        <f t="shared" si="79"/>
        <v>2.0862358446754544E-2</v>
      </c>
      <c r="Q53" s="1456">
        <f t="shared" si="79"/>
        <v>1.0132282578103011E-2</v>
      </c>
      <c r="R53" s="1405"/>
      <c r="S53" s="1403"/>
      <c r="T53" s="1404"/>
      <c r="U53" s="1404"/>
      <c r="V53" s="1404"/>
      <c r="X53" s="1457"/>
      <c r="Y53" s="1457"/>
      <c r="Z53" s="1457"/>
    </row>
    <row r="54" spans="1:26">
      <c r="A54" s="1392" t="s">
        <v>1193</v>
      </c>
      <c r="B54" s="1408">
        <f t="shared" si="80"/>
        <v>146.57412060301507</v>
      </c>
      <c r="C54" s="1408">
        <f t="shared" si="80"/>
        <v>136.46831955922866</v>
      </c>
      <c r="D54" s="1408">
        <f t="shared" si="54"/>
        <v>136.46831955922866</v>
      </c>
      <c r="E54" s="1408">
        <f t="shared" si="81"/>
        <v>166.73864894795128</v>
      </c>
      <c r="F54" s="1408">
        <f t="shared" si="81"/>
        <v>115.05882352941177</v>
      </c>
      <c r="G54" s="3400">
        <v>2006</v>
      </c>
      <c r="H54" s="1396">
        <v>2</v>
      </c>
      <c r="I54" s="1396">
        <v>0.96</v>
      </c>
      <c r="J54" s="1396">
        <v>0.25</v>
      </c>
      <c r="K54" s="1396">
        <v>1.9</v>
      </c>
      <c r="L54" s="1410">
        <v>0.95</v>
      </c>
      <c r="N54" s="1455">
        <f t="shared" si="78"/>
        <v>1.8352632728861701E-2</v>
      </c>
      <c r="O54" s="1456">
        <f t="shared" si="78"/>
        <v>2.6286459319075526E-3</v>
      </c>
      <c r="P54" s="1456">
        <f t="shared" si="79"/>
        <v>5.4299289107991269E-2</v>
      </c>
      <c r="Q54" s="1456">
        <f t="shared" si="79"/>
        <v>8.9126559714794995E-3</v>
      </c>
      <c r="R54" s="1405"/>
      <c r="S54" s="1403"/>
      <c r="T54" s="1404"/>
      <c r="U54" s="1404"/>
      <c r="V54" s="1404"/>
      <c r="X54" s="1457"/>
      <c r="Y54" s="1457"/>
      <c r="Z54" s="1457"/>
    </row>
    <row r="55" spans="1:26">
      <c r="A55" s="1392" t="s">
        <v>1194</v>
      </c>
      <c r="B55" s="1408">
        <f t="shared" si="80"/>
        <v>144.04145728643215</v>
      </c>
      <c r="C55" s="1408">
        <f t="shared" si="80"/>
        <v>136.12396694214877</v>
      </c>
      <c r="D55" s="1408">
        <f t="shared" si="54"/>
        <v>136.12396694214877</v>
      </c>
      <c r="E55" s="1408">
        <f t="shared" si="81"/>
        <v>158.32225913621264</v>
      </c>
      <c r="F55" s="1408">
        <f t="shared" si="81"/>
        <v>114.04278074866311</v>
      </c>
      <c r="G55" s="3401">
        <v>2006</v>
      </c>
      <c r="H55" s="1395">
        <v>1</v>
      </c>
      <c r="I55" s="1395">
        <v>2.29</v>
      </c>
      <c r="J55" s="1395">
        <v>3.72</v>
      </c>
      <c r="K55" s="1395">
        <v>0.75</v>
      </c>
      <c r="L55" s="1409">
        <v>0.04</v>
      </c>
      <c r="N55" s="1458">
        <f t="shared" si="78"/>
        <v>4.3778675988638847E-2</v>
      </c>
      <c r="O55" s="1459">
        <f t="shared" si="78"/>
        <v>3.9114251466784385E-2</v>
      </c>
      <c r="P55" s="1459">
        <f t="shared" si="79"/>
        <v>2.1433929911049188E-2</v>
      </c>
      <c r="Q55" s="1459">
        <f t="shared" si="79"/>
        <v>3.7526972511492629E-4</v>
      </c>
      <c r="R55" s="1405"/>
      <c r="S55" s="1411">
        <f>B55/B56-1</f>
        <v>4.3778675988638716E-2</v>
      </c>
      <c r="T55" s="1412">
        <f>C55/C56-1</f>
        <v>3.91142514667846E-2</v>
      </c>
      <c r="U55" s="1412">
        <f>E55/E56-1</f>
        <v>2.143392991104931E-2</v>
      </c>
      <c r="V55" s="1412">
        <f>F55/F56-1</f>
        <v>3.7526972511492396E-4</v>
      </c>
      <c r="X55" s="1457"/>
      <c r="Y55" s="1457"/>
      <c r="Z55" s="1457"/>
    </row>
    <row r="56" spans="1:26" ht="13.5" thickBot="1">
      <c r="A56" s="1392" t="s">
        <v>1195</v>
      </c>
      <c r="B56" s="1421">
        <v>138</v>
      </c>
      <c r="C56" s="1421">
        <v>131</v>
      </c>
      <c r="D56" s="1421">
        <f t="shared" si="54"/>
        <v>131</v>
      </c>
      <c r="E56" s="1421">
        <v>155</v>
      </c>
      <c r="F56" s="1422">
        <v>114</v>
      </c>
      <c r="G56" s="3399">
        <v>2005</v>
      </c>
      <c r="H56" s="1413">
        <v>4</v>
      </c>
      <c r="I56" s="1413">
        <v>3.29</v>
      </c>
      <c r="J56" s="1413">
        <v>1.44</v>
      </c>
      <c r="K56" s="1413">
        <v>0.66</v>
      </c>
      <c r="L56" s="1414">
        <v>7.78</v>
      </c>
      <c r="N56" s="1455">
        <f t="shared" ref="N56:O59" si="82">I56/SUM(I$56:I$59)*(B$56/B$60-1)</f>
        <v>9.9404603216919935E-2</v>
      </c>
      <c r="O56" s="1456">
        <f t="shared" si="82"/>
        <v>4.7636550760861554E-2</v>
      </c>
      <c r="P56" s="1456">
        <f t="shared" ref="P56:Q59" si="83">K56/SUM(K$56:K$59)*(E$56/E$60-1)</f>
        <v>8.3756345177664976E-2</v>
      </c>
      <c r="Q56" s="1456">
        <f t="shared" si="83"/>
        <v>5.2148766661559584E-2</v>
      </c>
      <c r="R56" s="1405"/>
      <c r="S56" s="1406"/>
      <c r="T56" s="1407"/>
      <c r="U56" s="1407"/>
      <c r="V56" s="1407"/>
      <c r="X56" s="1457"/>
      <c r="Y56" s="1457"/>
      <c r="Z56" s="1457"/>
    </row>
    <row r="57" spans="1:26">
      <c r="A57" s="1392" t="s">
        <v>1196</v>
      </c>
      <c r="B57" s="1408">
        <f t="shared" ref="B57:C59" si="84">B58+(B$56-B$60)*I57/SUM(I$56:I$59)</f>
        <v>125.9720430107527</v>
      </c>
      <c r="C57" s="1408">
        <f t="shared" si="84"/>
        <v>125.1883408071749</v>
      </c>
      <c r="D57" s="1408">
        <f t="shared" si="54"/>
        <v>125.1883408071749</v>
      </c>
      <c r="E57" s="1408">
        <f t="shared" ref="E57:F59" si="85">E58+(E$56-E$60)*K57/SUM(K$56:K$59)</f>
        <v>144.61421319796952</v>
      </c>
      <c r="F57" s="1408">
        <f t="shared" si="85"/>
        <v>108.42008196721311</v>
      </c>
      <c r="G57" s="3400">
        <v>2005</v>
      </c>
      <c r="H57" s="1418">
        <v>3</v>
      </c>
      <c r="I57" s="1418">
        <v>0.46</v>
      </c>
      <c r="J57" s="1418">
        <v>0.32</v>
      </c>
      <c r="K57" s="1418">
        <v>0.42</v>
      </c>
      <c r="L57" s="1419">
        <v>0.64</v>
      </c>
      <c r="N57" s="1455">
        <f t="shared" si="82"/>
        <v>1.3898515951301874E-2</v>
      </c>
      <c r="O57" s="1456">
        <f t="shared" si="82"/>
        <v>1.0585900169080346E-2</v>
      </c>
      <c r="P57" s="1456">
        <f t="shared" si="83"/>
        <v>5.3299492385786795E-2</v>
      </c>
      <c r="Q57" s="1456">
        <f t="shared" si="83"/>
        <v>4.2898728359123568E-3</v>
      </c>
      <c r="R57" s="1405"/>
      <c r="S57" s="1403"/>
      <c r="T57" s="1404"/>
      <c r="U57" s="1404"/>
      <c r="V57" s="1404"/>
      <c r="X57" s="1457"/>
      <c r="Y57" s="1457"/>
      <c r="Z57" s="1457"/>
    </row>
    <row r="58" spans="1:26">
      <c r="A58" s="1392" t="s">
        <v>1197</v>
      </c>
      <c r="B58" s="1408">
        <f t="shared" si="84"/>
        <v>124.29032258064517</v>
      </c>
      <c r="C58" s="1408">
        <f t="shared" si="84"/>
        <v>123.8968609865471</v>
      </c>
      <c r="D58" s="1408">
        <f t="shared" si="54"/>
        <v>123.8968609865471</v>
      </c>
      <c r="E58" s="1408">
        <f t="shared" si="85"/>
        <v>138.00507614213197</v>
      </c>
      <c r="F58" s="1408">
        <f t="shared" si="85"/>
        <v>107.96106557377048</v>
      </c>
      <c r="G58" s="3400">
        <v>2005</v>
      </c>
      <c r="H58" s="1396">
        <v>2</v>
      </c>
      <c r="I58" s="1396">
        <v>0.47</v>
      </c>
      <c r="J58" s="1396">
        <v>0.1</v>
      </c>
      <c r="K58" s="1396">
        <v>0.52</v>
      </c>
      <c r="L58" s="1410">
        <v>0.79</v>
      </c>
      <c r="N58" s="1455">
        <f t="shared" si="82"/>
        <v>1.420065760241713E-2</v>
      </c>
      <c r="O58" s="1456">
        <f t="shared" si="82"/>
        <v>3.3080938028376083E-3</v>
      </c>
      <c r="P58" s="1456">
        <f t="shared" si="83"/>
        <v>6.598984771573603E-2</v>
      </c>
      <c r="Q58" s="1456">
        <f t="shared" si="83"/>
        <v>5.2953117818293153E-3</v>
      </c>
      <c r="R58" s="1405"/>
      <c r="S58" s="1403"/>
      <c r="T58" s="1404"/>
      <c r="U58" s="1404"/>
      <c r="V58" s="1404"/>
      <c r="X58" s="1457"/>
      <c r="Y58" s="1457"/>
      <c r="Z58" s="1457"/>
    </row>
    <row r="59" spans="1:26">
      <c r="A59" s="1392" t="s">
        <v>1198</v>
      </c>
      <c r="B59" s="1408">
        <f t="shared" si="84"/>
        <v>122.57204301075269</v>
      </c>
      <c r="C59" s="1408">
        <f t="shared" si="84"/>
        <v>123.4932735426009</v>
      </c>
      <c r="D59" s="1408">
        <f t="shared" si="54"/>
        <v>123.4932735426009</v>
      </c>
      <c r="E59" s="1408">
        <f t="shared" si="85"/>
        <v>129.82233502538071</v>
      </c>
      <c r="F59" s="1408">
        <f t="shared" si="85"/>
        <v>107.39446721311475</v>
      </c>
      <c r="G59" s="3401">
        <v>2005</v>
      </c>
      <c r="H59" s="1395">
        <v>1</v>
      </c>
      <c r="I59" s="1395">
        <v>0.43</v>
      </c>
      <c r="J59" s="1395">
        <v>0.37</v>
      </c>
      <c r="K59" s="1395">
        <v>0.37</v>
      </c>
      <c r="L59" s="1409">
        <v>0.55000000000000004</v>
      </c>
      <c r="N59" s="1458">
        <f t="shared" si="82"/>
        <v>1.2992090997956099E-2</v>
      </c>
      <c r="O59" s="1459">
        <f t="shared" si="82"/>
        <v>1.2239947070499151E-2</v>
      </c>
      <c r="P59" s="1459">
        <f t="shared" si="83"/>
        <v>4.6954314720812178E-2</v>
      </c>
      <c r="Q59" s="1459">
        <f t="shared" si="83"/>
        <v>3.6866094683621815E-3</v>
      </c>
      <c r="R59" s="1405"/>
      <c r="S59" s="1411">
        <f>B59/B60-1</f>
        <v>1.2992090997956174E-2</v>
      </c>
      <c r="T59" s="1412">
        <f>C59/C60-1</f>
        <v>1.2239947070499246E-2</v>
      </c>
      <c r="U59" s="1412">
        <f>E59/E60-1</f>
        <v>4.695431472081224E-2</v>
      </c>
      <c r="V59" s="1412">
        <f>F59/F60-1</f>
        <v>3.6866094683620787E-3</v>
      </c>
      <c r="X59" s="1457"/>
      <c r="Y59" s="1457"/>
      <c r="Z59" s="1457"/>
    </row>
    <row r="60" spans="1:26" ht="13.5" thickBot="1">
      <c r="A60" s="1392" t="s">
        <v>1199</v>
      </c>
      <c r="B60" s="1442">
        <v>121</v>
      </c>
      <c r="C60" s="1442">
        <v>122</v>
      </c>
      <c r="D60" s="1442">
        <f t="shared" si="54"/>
        <v>122</v>
      </c>
      <c r="E60" s="1442">
        <v>124</v>
      </c>
      <c r="F60" s="1443">
        <v>107</v>
      </c>
      <c r="G60" s="3399">
        <v>2004</v>
      </c>
      <c r="H60" s="1413">
        <v>4</v>
      </c>
      <c r="I60" s="1413">
        <v>0.33</v>
      </c>
      <c r="J60" s="1413">
        <v>0.5</v>
      </c>
      <c r="K60" s="1413">
        <v>0.5</v>
      </c>
      <c r="L60" s="1414">
        <v>0</v>
      </c>
      <c r="N60" s="1455">
        <f t="shared" ref="N60:O63" si="86">I60/SUM(I$60:I$63)*(B$60/B$64-1)</f>
        <v>1.3391770148526898E-2</v>
      </c>
      <c r="O60" s="1456">
        <f t="shared" si="86"/>
        <v>1.063264221158958E-2</v>
      </c>
      <c r="P60" s="1456">
        <f t="shared" ref="P60:Q63" si="87">K60/SUM(K$60:K$63)*(E$60/E$64-1)</f>
        <v>2.2244466688911134E-2</v>
      </c>
      <c r="Q60" s="1456">
        <f t="shared" si="87"/>
        <v>0</v>
      </c>
      <c r="R60" s="1405"/>
      <c r="S60" s="1406"/>
      <c r="T60" s="1407"/>
      <c r="U60" s="1407"/>
      <c r="V60" s="1407"/>
      <c r="X60" s="1457"/>
      <c r="Y60" s="1457"/>
      <c r="Z60" s="1457"/>
    </row>
    <row r="61" spans="1:26">
      <c r="A61" s="1392" t="s">
        <v>1200</v>
      </c>
      <c r="B61" s="1408">
        <f t="shared" ref="B61:C63" si="88">B62+(B$60-B$64)*I61/SUM(I$60:I$63)</f>
        <v>119.51351351351352</v>
      </c>
      <c r="C61" s="1408">
        <f t="shared" si="88"/>
        <v>120.7878787878788</v>
      </c>
      <c r="D61" s="1408">
        <f t="shared" si="54"/>
        <v>120.7878787878788</v>
      </c>
      <c r="E61" s="1408">
        <f t="shared" ref="E61:F63" si="89">E62+(E$60-E$64)*K61/SUM(K$60:K$63)</f>
        <v>121.5975975975976</v>
      </c>
      <c r="F61" s="1408">
        <f t="shared" si="89"/>
        <v>107</v>
      </c>
      <c r="G61" s="3400">
        <v>2004</v>
      </c>
      <c r="H61" s="1418">
        <v>3</v>
      </c>
      <c r="I61" s="1418">
        <v>0.56000000000000005</v>
      </c>
      <c r="J61" s="1418">
        <v>0.8</v>
      </c>
      <c r="K61" s="1418">
        <v>0.83</v>
      </c>
      <c r="L61" s="1419">
        <v>0.06</v>
      </c>
      <c r="N61" s="1455">
        <f t="shared" si="86"/>
        <v>2.2725428130833527E-2</v>
      </c>
      <c r="O61" s="1456">
        <f t="shared" si="86"/>
        <v>1.7012227538543329E-2</v>
      </c>
      <c r="P61" s="1456">
        <f t="shared" si="87"/>
        <v>3.6925814703592477E-2</v>
      </c>
      <c r="Q61" s="1456">
        <f t="shared" si="87"/>
        <v>2.8846153846153744E-2</v>
      </c>
      <c r="R61" s="1405"/>
      <c r="S61" s="1403"/>
      <c r="T61" s="1404"/>
      <c r="U61" s="1404"/>
      <c r="V61" s="1404"/>
      <c r="X61" s="1457"/>
      <c r="Y61" s="1457"/>
      <c r="Z61" s="1457"/>
    </row>
    <row r="62" spans="1:26">
      <c r="A62" s="1392" t="s">
        <v>1201</v>
      </c>
      <c r="B62" s="1408">
        <f t="shared" si="88"/>
        <v>116.99099099099099</v>
      </c>
      <c r="C62" s="1408">
        <f t="shared" si="88"/>
        <v>118.84848484848486</v>
      </c>
      <c r="D62" s="1408">
        <f t="shared" si="54"/>
        <v>118.84848484848486</v>
      </c>
      <c r="E62" s="1408">
        <f t="shared" si="89"/>
        <v>117.60960960960961</v>
      </c>
      <c r="F62" s="1408">
        <f t="shared" si="89"/>
        <v>104</v>
      </c>
      <c r="G62" s="3400">
        <v>2004</v>
      </c>
      <c r="H62" s="1396">
        <v>2</v>
      </c>
      <c r="I62" s="1396">
        <v>1</v>
      </c>
      <c r="J62" s="1396">
        <v>1.5</v>
      </c>
      <c r="K62" s="1396">
        <v>1.5</v>
      </c>
      <c r="L62" s="1410">
        <v>0</v>
      </c>
      <c r="N62" s="1455">
        <f t="shared" si="86"/>
        <v>4.0581121662202721E-2</v>
      </c>
      <c r="O62" s="1456">
        <f t="shared" si="86"/>
        <v>3.1897926634768738E-2</v>
      </c>
      <c r="P62" s="1456">
        <f t="shared" si="87"/>
        <v>6.6733400066733395E-2</v>
      </c>
      <c r="Q62" s="1456">
        <f t="shared" si="87"/>
        <v>0</v>
      </c>
      <c r="R62" s="1405"/>
      <c r="S62" s="1403"/>
      <c r="T62" s="1404"/>
      <c r="U62" s="1404"/>
      <c r="V62" s="1404"/>
      <c r="X62" s="1457"/>
      <c r="Y62" s="1457"/>
      <c r="Z62" s="1457"/>
    </row>
    <row r="63" spans="1:26" s="1448" customFormat="1" ht="13.5" thickBot="1">
      <c r="A63" s="1392" t="s">
        <v>1202</v>
      </c>
      <c r="B63" s="1445">
        <f t="shared" si="88"/>
        <v>112.48648648648648</v>
      </c>
      <c r="C63" s="1445">
        <f t="shared" si="88"/>
        <v>115.21212121212122</v>
      </c>
      <c r="D63" s="1445">
        <f t="shared" si="54"/>
        <v>115.21212121212122</v>
      </c>
      <c r="E63" s="1445">
        <f t="shared" si="89"/>
        <v>110.4024024024024</v>
      </c>
      <c r="F63" s="1445">
        <f t="shared" si="89"/>
        <v>104</v>
      </c>
      <c r="G63" s="3401">
        <v>2004</v>
      </c>
      <c r="H63" s="1446">
        <v>1</v>
      </c>
      <c r="I63" s="1446">
        <v>0.33</v>
      </c>
      <c r="J63" s="1446">
        <v>0.5</v>
      </c>
      <c r="K63" s="1446">
        <v>0.5</v>
      </c>
      <c r="L63" s="1447">
        <v>0</v>
      </c>
      <c r="N63" s="1460">
        <f t="shared" si="86"/>
        <v>1.3391770148526898E-2</v>
      </c>
      <c r="O63" s="1461">
        <f t="shared" si="86"/>
        <v>1.063264221158958E-2</v>
      </c>
      <c r="P63" s="1461">
        <f t="shared" si="87"/>
        <v>2.2244466688911134E-2</v>
      </c>
      <c r="Q63" s="1461">
        <f t="shared" si="87"/>
        <v>0</v>
      </c>
      <c r="R63" s="1451"/>
      <c r="S63" s="1449">
        <f>B63/B64-1</f>
        <v>1.3391770148526883E-2</v>
      </c>
      <c r="T63" s="1450">
        <f>C63/C64-1</f>
        <v>1.063264221158966E-2</v>
      </c>
      <c r="U63" s="1450">
        <f>E63/E64-1</f>
        <v>2.2244466688911224E-2</v>
      </c>
      <c r="V63" s="1450">
        <f>F63/F64-1</f>
        <v>0</v>
      </c>
      <c r="X63" s="1462"/>
      <c r="Y63" s="1462"/>
      <c r="Z63" s="1462"/>
    </row>
    <row r="64" spans="1:26" ht="13.5" thickBot="1">
      <c r="A64" s="1392" t="s">
        <v>1203</v>
      </c>
      <c r="B64" s="1463">
        <v>111</v>
      </c>
      <c r="C64" s="1463">
        <v>114</v>
      </c>
      <c r="D64" s="1463">
        <f t="shared" si="54"/>
        <v>114</v>
      </c>
      <c r="E64" s="1463">
        <v>108</v>
      </c>
      <c r="F64" s="1464">
        <v>104</v>
      </c>
      <c r="G64" s="3399">
        <v>2003</v>
      </c>
      <c r="H64" s="1453">
        <v>4</v>
      </c>
      <c r="I64" s="1465"/>
      <c r="J64" s="1465"/>
      <c r="K64" s="1465"/>
      <c r="L64" s="1465"/>
      <c r="N64" s="1466"/>
      <c r="O64" s="1465"/>
      <c r="P64" s="1465"/>
      <c r="Q64" s="1465"/>
      <c r="S64" s="1466"/>
      <c r="T64" s="1465"/>
      <c r="U64" s="1465"/>
      <c r="V64" s="1465"/>
      <c r="X64" s="1457"/>
      <c r="Y64" s="1457"/>
      <c r="Z64" s="1457"/>
    </row>
    <row r="65" spans="1:26">
      <c r="A65" s="1392" t="s">
        <v>1204</v>
      </c>
      <c r="B65" s="1467">
        <f t="shared" ref="B65:C67" si="90">B66+(B$64-B$68)/4</f>
        <v>109.75</v>
      </c>
      <c r="C65" s="1467">
        <f t="shared" si="90"/>
        <v>112.25</v>
      </c>
      <c r="D65" s="1467">
        <f t="shared" si="54"/>
        <v>112.25</v>
      </c>
      <c r="E65" s="1467">
        <f t="shared" ref="E65:F67" si="91">E66+(E$64-E$68)/4</f>
        <v>107.25</v>
      </c>
      <c r="F65" s="1467">
        <f t="shared" si="91"/>
        <v>103.5</v>
      </c>
      <c r="G65" s="3400">
        <v>2003</v>
      </c>
      <c r="H65" s="1418">
        <v>3</v>
      </c>
      <c r="I65" s="1465"/>
      <c r="J65" s="1465"/>
      <c r="K65" s="1465"/>
      <c r="L65" s="1465"/>
      <c r="X65" s="1457"/>
      <c r="Y65" s="1457"/>
      <c r="Z65" s="1457"/>
    </row>
    <row r="66" spans="1:26">
      <c r="A66" s="1392" t="s">
        <v>1205</v>
      </c>
      <c r="B66" s="1467">
        <f t="shared" si="90"/>
        <v>108.5</v>
      </c>
      <c r="C66" s="1467">
        <f t="shared" si="90"/>
        <v>110.5</v>
      </c>
      <c r="D66" s="1467">
        <f t="shared" si="54"/>
        <v>110.5</v>
      </c>
      <c r="E66" s="1467">
        <f t="shared" si="91"/>
        <v>106.5</v>
      </c>
      <c r="F66" s="1467">
        <f t="shared" si="91"/>
        <v>103</v>
      </c>
      <c r="G66" s="3400">
        <v>2003</v>
      </c>
      <c r="H66" s="1396">
        <v>2</v>
      </c>
      <c r="I66" s="1465"/>
      <c r="J66" s="1465"/>
      <c r="K66" s="1465"/>
      <c r="L66" s="1465"/>
      <c r="X66" s="1457"/>
      <c r="Y66" s="1457"/>
      <c r="Z66" s="1457"/>
    </row>
    <row r="67" spans="1:26" ht="13.5" thickBot="1">
      <c r="A67" s="1392" t="s">
        <v>1206</v>
      </c>
      <c r="B67" s="1467">
        <f t="shared" si="90"/>
        <v>107.25</v>
      </c>
      <c r="C67" s="1467">
        <f t="shared" si="90"/>
        <v>108.75</v>
      </c>
      <c r="D67" s="1467">
        <f t="shared" si="54"/>
        <v>108.75</v>
      </c>
      <c r="E67" s="1467">
        <f t="shared" si="91"/>
        <v>105.75</v>
      </c>
      <c r="F67" s="1467">
        <f t="shared" si="91"/>
        <v>102.5</v>
      </c>
      <c r="G67" s="3401">
        <v>2003</v>
      </c>
      <c r="H67" s="1468">
        <v>1</v>
      </c>
      <c r="I67" s="1465"/>
      <c r="J67" s="1465"/>
      <c r="K67" s="1465"/>
      <c r="L67" s="1465"/>
      <c r="S67" s="1403"/>
      <c r="T67" s="1404"/>
      <c r="U67" s="1404"/>
      <c r="X67" s="1457"/>
      <c r="Y67" s="1457"/>
      <c r="Z67" s="1457"/>
    </row>
    <row r="68" spans="1:26" ht="13.5" thickBot="1">
      <c r="A68" s="1392" t="s">
        <v>1207</v>
      </c>
      <c r="B68" s="1469">
        <v>106</v>
      </c>
      <c r="C68" s="1469">
        <v>107</v>
      </c>
      <c r="D68" s="1469">
        <f t="shared" si="54"/>
        <v>107</v>
      </c>
      <c r="E68" s="1469">
        <v>105</v>
      </c>
      <c r="F68" s="1470">
        <v>102</v>
      </c>
      <c r="G68" s="3399">
        <v>2002</v>
      </c>
      <c r="H68" s="1413">
        <v>4</v>
      </c>
      <c r="I68" s="1465"/>
      <c r="J68" s="1465"/>
      <c r="K68" s="1465"/>
      <c r="L68" s="1465"/>
      <c r="N68" s="1466"/>
      <c r="O68" s="1465"/>
      <c r="P68" s="1465"/>
      <c r="Q68" s="1465"/>
      <c r="S68" s="1466"/>
      <c r="T68" s="1465"/>
      <c r="U68" s="1465"/>
      <c r="V68" s="1465"/>
      <c r="X68" s="1457"/>
      <c r="Y68" s="1457"/>
      <c r="Z68" s="1457"/>
    </row>
    <row r="69" spans="1:26">
      <c r="A69" s="1392" t="s">
        <v>1208</v>
      </c>
      <c r="B69" s="1467">
        <f t="shared" ref="B69:C71" si="92">B70+(B$68-B$72)/4</f>
        <v>105</v>
      </c>
      <c r="C69" s="1467">
        <f t="shared" si="92"/>
        <v>106</v>
      </c>
      <c r="D69" s="1467">
        <f t="shared" si="54"/>
        <v>106</v>
      </c>
      <c r="E69" s="1467">
        <f t="shared" ref="E69:F71" si="93">E70+(E$68-E$72)/4</f>
        <v>104.5</v>
      </c>
      <c r="F69" s="1467">
        <f t="shared" si="93"/>
        <v>101.5</v>
      </c>
      <c r="G69" s="3400">
        <v>2002</v>
      </c>
      <c r="H69" s="1418">
        <v>3</v>
      </c>
      <c r="I69" s="1465"/>
      <c r="J69" s="1465"/>
      <c r="K69" s="1465"/>
      <c r="L69" s="1465"/>
      <c r="X69" s="1457"/>
      <c r="Y69" s="1457"/>
      <c r="Z69" s="1457"/>
    </row>
    <row r="70" spans="1:26">
      <c r="A70" s="1392" t="s">
        <v>1209</v>
      </c>
      <c r="B70" s="1467">
        <f t="shared" si="92"/>
        <v>104</v>
      </c>
      <c r="C70" s="1467">
        <f t="shared" si="92"/>
        <v>105</v>
      </c>
      <c r="D70" s="1467">
        <f t="shared" si="54"/>
        <v>105</v>
      </c>
      <c r="E70" s="1467">
        <f t="shared" si="93"/>
        <v>104</v>
      </c>
      <c r="F70" s="1467">
        <f t="shared" si="93"/>
        <v>101</v>
      </c>
      <c r="G70" s="3400">
        <v>2002</v>
      </c>
      <c r="H70" s="1396">
        <v>2</v>
      </c>
      <c r="I70" s="1465"/>
      <c r="J70" s="1465"/>
      <c r="K70" s="1465"/>
      <c r="L70" s="1465"/>
      <c r="X70" s="1457"/>
      <c r="Y70" s="1457"/>
      <c r="Z70" s="1457"/>
    </row>
    <row r="71" spans="1:26" s="1429" customFormat="1" ht="13.5" thickBot="1">
      <c r="A71" s="1425" t="s">
        <v>1210</v>
      </c>
      <c r="B71" s="1471">
        <f t="shared" si="92"/>
        <v>103</v>
      </c>
      <c r="C71" s="1471">
        <f t="shared" si="92"/>
        <v>104</v>
      </c>
      <c r="D71" s="1471">
        <f t="shared" si="54"/>
        <v>104</v>
      </c>
      <c r="E71" s="1471">
        <f t="shared" si="93"/>
        <v>103.5</v>
      </c>
      <c r="F71" s="1471">
        <f t="shared" si="93"/>
        <v>100.5</v>
      </c>
      <c r="G71" s="3401">
        <v>2002</v>
      </c>
      <c r="H71" s="1472">
        <v>1</v>
      </c>
      <c r="I71" s="1473"/>
      <c r="J71" s="1473"/>
      <c r="K71" s="1473"/>
      <c r="L71" s="1473"/>
      <c r="N71" s="1474"/>
      <c r="S71" s="1474"/>
      <c r="X71" s="1475"/>
      <c r="Y71" s="1475"/>
      <c r="Z71" s="1475"/>
    </row>
    <row r="72" spans="1:26" ht="13.5" thickBot="1">
      <c r="B72" s="1476">
        <v>102</v>
      </c>
      <c r="C72" s="1477">
        <v>103</v>
      </c>
      <c r="D72" s="1477">
        <f t="shared" si="54"/>
        <v>103</v>
      </c>
      <c r="E72" s="1477">
        <v>103</v>
      </c>
      <c r="F72" s="1478">
        <v>100</v>
      </c>
      <c r="I72" s="1465"/>
      <c r="J72" s="1465"/>
      <c r="K72" s="1465"/>
      <c r="L72" s="1465"/>
      <c r="N72" s="1466"/>
      <c r="O72" s="1465"/>
      <c r="P72" s="1465"/>
      <c r="Q72" s="1465"/>
      <c r="S72" s="1466"/>
      <c r="T72" s="1465"/>
      <c r="U72" s="1465"/>
      <c r="V72" s="1465"/>
      <c r="X72" s="1407"/>
      <c r="Y72" s="1407"/>
      <c r="Z72" s="1407"/>
    </row>
    <row r="74" spans="1:26" s="1480" customFormat="1">
      <c r="A74" s="1479" t="s">
        <v>1211</v>
      </c>
      <c r="G74" s="1481"/>
      <c r="N74" s="1481"/>
      <c r="S74" s="1481"/>
    </row>
    <row r="75" spans="1:26" s="1480" customFormat="1">
      <c r="A75" s="1480" t="s">
        <v>1212</v>
      </c>
      <c r="G75" s="1481"/>
      <c r="N75" s="1481"/>
      <c r="S75" s="1481"/>
    </row>
    <row r="76" spans="1:26" s="1480" customFormat="1">
      <c r="A76" s="1480" t="s">
        <v>1213</v>
      </c>
      <c r="G76" s="1481"/>
      <c r="I76" s="1482"/>
      <c r="J76" s="1482"/>
      <c r="K76" s="1482"/>
      <c r="L76" s="1482"/>
      <c r="N76" s="1483"/>
      <c r="O76" s="1482"/>
      <c r="P76" s="1482"/>
      <c r="Q76" s="1482"/>
      <c r="S76" s="1483"/>
      <c r="T76" s="1482"/>
      <c r="U76" s="1482"/>
      <c r="V76" s="1482"/>
    </row>
    <row r="77" spans="1:26" s="1480" customFormat="1">
      <c r="A77" s="1480" t="s">
        <v>1214</v>
      </c>
      <c r="G77" s="1481"/>
      <c r="N77" s="1481"/>
      <c r="S77" s="1481"/>
    </row>
    <row r="84" spans="7:22" ht="13.5" thickBot="1"/>
    <row r="85" spans="7:22">
      <c r="G85" s="1402"/>
      <c r="S85" s="1484" t="s">
        <v>1215</v>
      </c>
      <c r="T85" s="1485" t="s">
        <v>1216</v>
      </c>
      <c r="U85" s="1485" t="s">
        <v>1217</v>
      </c>
      <c r="V85" s="1485" t="s">
        <v>1218</v>
      </c>
    </row>
    <row r="86" spans="7:22">
      <c r="G86" s="1402"/>
      <c r="N86" s="1406"/>
      <c r="O86" s="1407"/>
      <c r="P86" s="1407"/>
      <c r="Q86" s="1407"/>
      <c r="S86" s="1486">
        <v>2006</v>
      </c>
      <c r="T86" s="1487">
        <v>15.1</v>
      </c>
      <c r="U86" s="1487">
        <v>7.43</v>
      </c>
      <c r="V86" s="1487">
        <v>26.26</v>
      </c>
    </row>
    <row r="87" spans="7:22">
      <c r="G87" s="1402"/>
      <c r="N87" s="1406"/>
      <c r="O87" s="1407"/>
      <c r="P87" s="1407"/>
      <c r="Q87" s="1407"/>
      <c r="S87" s="1488">
        <v>2005</v>
      </c>
      <c r="T87" s="1489">
        <v>13.9</v>
      </c>
      <c r="U87" s="1489">
        <v>7.49</v>
      </c>
      <c r="V87" s="1489">
        <v>24.92</v>
      </c>
    </row>
    <row r="88" spans="7:22">
      <c r="G88" s="1402"/>
      <c r="N88" s="1406"/>
      <c r="O88" s="1407"/>
      <c r="P88" s="1407"/>
      <c r="Q88" s="1407"/>
      <c r="S88" s="1486">
        <v>2004</v>
      </c>
      <c r="T88" s="1487">
        <v>9.48</v>
      </c>
      <c r="U88" s="1487">
        <v>7.2</v>
      </c>
      <c r="V88" s="1487">
        <v>14.68</v>
      </c>
    </row>
    <row r="89" spans="7:22">
      <c r="G89" s="1402"/>
      <c r="N89" s="1406"/>
      <c r="O89" s="1407"/>
      <c r="P89" s="1407"/>
      <c r="Q89" s="1407"/>
      <c r="S89" s="1488">
        <v>2003</v>
      </c>
      <c r="T89" s="1489">
        <v>4.5</v>
      </c>
      <c r="U89" s="1489">
        <v>6.12</v>
      </c>
      <c r="V89" s="1489">
        <v>2.34</v>
      </c>
    </row>
    <row r="90" spans="7:22" ht="13.5" thickBot="1">
      <c r="G90" s="1402"/>
      <c r="N90" s="1406"/>
      <c r="O90" s="1407"/>
      <c r="P90" s="1407"/>
      <c r="Q90" s="1407"/>
      <c r="S90" s="1490">
        <v>2002</v>
      </c>
      <c r="T90" s="1491">
        <v>3.59</v>
      </c>
      <c r="U90" s="1491">
        <v>4.54</v>
      </c>
      <c r="V90" s="1491">
        <v>2.5499999999999998</v>
      </c>
    </row>
    <row r="91" spans="7:22">
      <c r="G91" s="1402"/>
      <c r="N91" s="1406"/>
      <c r="O91" s="1407"/>
      <c r="P91" s="1407"/>
      <c r="Q91" s="1407"/>
    </row>
    <row r="92" spans="7:22">
      <c r="G92" s="1402"/>
      <c r="N92" s="1406"/>
      <c r="O92" s="1407"/>
      <c r="P92" s="1407"/>
      <c r="Q92" s="1407"/>
    </row>
    <row r="93" spans="7:22">
      <c r="G93" s="1402"/>
      <c r="N93" s="1406"/>
      <c r="O93" s="1407"/>
      <c r="P93" s="1407"/>
      <c r="Q93" s="1407"/>
    </row>
    <row r="94" spans="7:22">
      <c r="G94" s="1402"/>
      <c r="N94" s="1406"/>
      <c r="O94" s="1407"/>
      <c r="P94" s="1407"/>
      <c r="Q94" s="1407"/>
    </row>
    <row r="95" spans="7:22">
      <c r="G95" s="1402"/>
      <c r="N95" s="1406"/>
      <c r="O95" s="1407"/>
      <c r="P95" s="1407"/>
      <c r="Q95" s="1407"/>
    </row>
    <row r="96" spans="7:22">
      <c r="G96" s="1402"/>
      <c r="N96" s="1406"/>
      <c r="O96" s="1407"/>
      <c r="P96" s="1407"/>
      <c r="Q96" s="1407"/>
    </row>
    <row r="97" spans="7:19">
      <c r="G97" s="1402"/>
      <c r="N97" s="1406"/>
      <c r="O97" s="1407"/>
      <c r="P97" s="1407"/>
      <c r="Q97" s="1407"/>
    </row>
    <row r="98" spans="7:19">
      <c r="G98" s="1402"/>
      <c r="N98" s="1406"/>
      <c r="O98" s="1407"/>
      <c r="P98" s="1407"/>
      <c r="Q98" s="1407"/>
    </row>
    <row r="99" spans="7:19">
      <c r="G99" s="1402"/>
      <c r="N99" s="1406"/>
      <c r="O99" s="1407"/>
      <c r="P99" s="1407"/>
      <c r="Q99" s="1407"/>
    </row>
    <row r="100" spans="7:19">
      <c r="G100" s="1402"/>
      <c r="N100" s="1406"/>
      <c r="O100" s="1407"/>
      <c r="P100" s="1407"/>
      <c r="Q100" s="1407"/>
    </row>
    <row r="101" spans="7:19">
      <c r="G101" s="1402"/>
      <c r="N101" s="1406"/>
      <c r="O101" s="1407"/>
      <c r="P101" s="1407"/>
      <c r="Q101" s="1407"/>
      <c r="S101" s="1402"/>
    </row>
    <row r="102" spans="7:19">
      <c r="G102" s="1402"/>
      <c r="N102" s="1406"/>
      <c r="O102" s="1407"/>
      <c r="P102" s="1407"/>
      <c r="Q102" s="1407"/>
      <c r="S102" s="1402"/>
    </row>
    <row r="103" spans="7:19">
      <c r="G103" s="1402"/>
      <c r="N103" s="1406"/>
      <c r="O103" s="1407"/>
      <c r="P103" s="1407"/>
      <c r="Q103" s="1407"/>
      <c r="S103" s="1402"/>
    </row>
    <row r="104" spans="7:19">
      <c r="G104" s="1402"/>
      <c r="N104" s="1406"/>
      <c r="O104" s="1407"/>
      <c r="P104" s="1407"/>
      <c r="Q104" s="1407"/>
      <c r="S104" s="1402"/>
    </row>
    <row r="105" spans="7:19">
      <c r="G105" s="1402"/>
      <c r="N105" s="1406"/>
      <c r="O105" s="1407"/>
      <c r="P105" s="1407"/>
      <c r="Q105" s="1407"/>
      <c r="S105" s="1402"/>
    </row>
    <row r="106" spans="7:19">
      <c r="G106" s="1402"/>
      <c r="N106" s="1406"/>
      <c r="O106" s="1407"/>
      <c r="P106" s="1407"/>
      <c r="Q106" s="1407"/>
      <c r="S106" s="140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9" sqref="C39"/>
      <selection pane="bottomLeft" activeCell="C39" sqref="C39"/>
    </sheetView>
  </sheetViews>
  <sheetFormatPr defaultRowHeight="12.75"/>
  <cols>
    <col min="1" max="1" width="11.5" style="8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2"/>
    <col min="20" max="45" width="9" style="738"/>
    <col min="46" max="16384" width="9" style="82"/>
  </cols>
  <sheetData>
    <row r="1" spans="1:45" ht="14.25" customHeight="1" thickBot="1">
      <c r="A1" s="98"/>
      <c r="B1" s="1150" t="s">
        <v>2877</v>
      </c>
      <c r="C1" s="3408" t="s">
        <v>2878</v>
      </c>
      <c r="D1" s="3409"/>
      <c r="E1" s="3409"/>
      <c r="F1" s="3409"/>
      <c r="G1" s="3409"/>
      <c r="H1" s="3409"/>
      <c r="I1" s="3409"/>
      <c r="J1" s="3409"/>
      <c r="K1" s="3409"/>
      <c r="L1" s="3409"/>
      <c r="M1" s="3409"/>
      <c r="N1" s="3409"/>
      <c r="O1" s="3409"/>
      <c r="P1" s="3409"/>
      <c r="Q1" s="3409"/>
      <c r="R1" s="3409"/>
      <c r="S1" s="3410"/>
      <c r="T1" s="1150" t="s">
        <v>2879</v>
      </c>
    </row>
    <row r="2" spans="1:45" s="650" customFormat="1">
      <c r="A2" s="1151"/>
      <c r="B2" s="646" t="s">
        <v>2880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52" t="str">
        <f>S3&amp;"(含)"&amp;"-"</f>
        <v>(含)-</v>
      </c>
      <c r="T2" s="649"/>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55" customFormat="1">
      <c r="A3" s="1153"/>
      <c r="B3" s="651"/>
      <c r="C3" s="652"/>
      <c r="D3" s="653"/>
      <c r="E3" s="653"/>
      <c r="F3" s="1634"/>
      <c r="G3" s="1634"/>
      <c r="H3" s="1634"/>
      <c r="I3" s="1634"/>
      <c r="J3" s="1634"/>
      <c r="K3" s="1634"/>
      <c r="L3" s="1635"/>
      <c r="M3" s="1636"/>
      <c r="N3" s="1636"/>
      <c r="O3" s="1634"/>
      <c r="P3" s="1634"/>
      <c r="Q3" s="1634"/>
      <c r="R3" s="1634"/>
      <c r="S3" s="1637"/>
      <c r="T3" s="654"/>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55" customFormat="1" ht="13.5" thickBot="1">
      <c r="A4" s="1154"/>
      <c r="B4" s="1155"/>
      <c r="C4" s="1156"/>
      <c r="D4" s="1157"/>
      <c r="E4" s="1157"/>
      <c r="F4" s="1638"/>
      <c r="G4" s="1638"/>
      <c r="H4" s="1638"/>
      <c r="I4" s="1638"/>
      <c r="J4" s="1638"/>
      <c r="K4" s="1638"/>
      <c r="L4" s="1638"/>
      <c r="M4" s="1639"/>
      <c r="N4" s="1639"/>
      <c r="O4" s="1638"/>
      <c r="P4" s="1638"/>
      <c r="Q4" s="1638"/>
      <c r="R4" s="1638"/>
      <c r="S4" s="1640"/>
      <c r="T4" s="116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73" customFormat="1">
      <c r="A5" s="1161"/>
      <c r="B5" s="1698" t="s">
        <v>2881</v>
      </c>
      <c r="C5" s="1162"/>
      <c r="D5" s="1163"/>
      <c r="E5" s="1163"/>
      <c r="F5" s="1641"/>
      <c r="G5" s="1641"/>
      <c r="H5" s="1641"/>
      <c r="I5" s="1641"/>
      <c r="J5" s="1641"/>
      <c r="K5" s="1641"/>
      <c r="L5" s="1642"/>
      <c r="M5" s="1643"/>
      <c r="N5" s="1643"/>
      <c r="O5" s="1641"/>
      <c r="P5" s="1641"/>
      <c r="Q5" s="1641"/>
      <c r="R5" s="1641"/>
      <c r="S5" s="1644"/>
      <c r="T5" s="1165"/>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73" customFormat="1" ht="13.5" thickBot="1">
      <c r="A6" s="1161"/>
      <c r="B6" s="1062"/>
      <c r="C6" s="1068">
        <v>100</v>
      </c>
      <c r="D6" s="1065">
        <f>C6-$T5</f>
        <v>100</v>
      </c>
      <c r="E6" s="1065">
        <f t="shared" ref="E6:S6" si="7">D6-$T5</f>
        <v>100</v>
      </c>
      <c r="F6" s="1645">
        <f t="shared" si="7"/>
        <v>100</v>
      </c>
      <c r="G6" s="1645">
        <f t="shared" si="7"/>
        <v>100</v>
      </c>
      <c r="H6" s="1645">
        <f t="shared" si="7"/>
        <v>100</v>
      </c>
      <c r="I6" s="1645">
        <f t="shared" si="7"/>
        <v>100</v>
      </c>
      <c r="J6" s="1645">
        <f t="shared" si="7"/>
        <v>100</v>
      </c>
      <c r="K6" s="1645">
        <f t="shared" si="7"/>
        <v>100</v>
      </c>
      <c r="L6" s="1645">
        <f t="shared" si="7"/>
        <v>100</v>
      </c>
      <c r="M6" s="1645">
        <f t="shared" si="7"/>
        <v>100</v>
      </c>
      <c r="N6" s="1645">
        <f t="shared" si="7"/>
        <v>100</v>
      </c>
      <c r="O6" s="1645">
        <f t="shared" si="7"/>
        <v>100</v>
      </c>
      <c r="P6" s="1645">
        <f t="shared" si="7"/>
        <v>100</v>
      </c>
      <c r="Q6" s="1645">
        <f t="shared" si="7"/>
        <v>100</v>
      </c>
      <c r="R6" s="1645">
        <f t="shared" si="7"/>
        <v>100</v>
      </c>
      <c r="S6" s="1645">
        <f t="shared" si="7"/>
        <v>100</v>
      </c>
      <c r="T6" s="1064"/>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73" customFormat="1">
      <c r="A7" s="1161"/>
      <c r="B7" s="1699" t="s">
        <v>2882</v>
      </c>
      <c r="C7" s="1067"/>
      <c r="D7" s="1061"/>
      <c r="E7" s="1061"/>
      <c r="F7" s="1646"/>
      <c r="G7" s="1646"/>
      <c r="H7" s="1646"/>
      <c r="I7" s="1646"/>
      <c r="J7" s="1646"/>
      <c r="K7" s="1646"/>
      <c r="L7" s="1646"/>
      <c r="M7" s="1647"/>
      <c r="N7" s="1648"/>
      <c r="O7" s="1649"/>
      <c r="P7" s="1650"/>
      <c r="Q7" s="1651"/>
      <c r="R7" s="1652"/>
      <c r="S7" s="1653"/>
      <c r="T7" s="656"/>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73" customFormat="1" ht="13.5" thickBot="1">
      <c r="A8" s="1161"/>
      <c r="B8" s="1062"/>
      <c r="C8" s="1068">
        <v>100</v>
      </c>
      <c r="D8" s="1065">
        <f>C8-$T7</f>
        <v>100</v>
      </c>
      <c r="E8" s="1065">
        <f t="shared" ref="E8:S8" si="8">D8-$T7</f>
        <v>100</v>
      </c>
      <c r="F8" s="1645">
        <f t="shared" si="8"/>
        <v>100</v>
      </c>
      <c r="G8" s="1645">
        <f t="shared" si="8"/>
        <v>100</v>
      </c>
      <c r="H8" s="1645">
        <f t="shared" si="8"/>
        <v>100</v>
      </c>
      <c r="I8" s="1645">
        <f t="shared" si="8"/>
        <v>100</v>
      </c>
      <c r="J8" s="1645">
        <f t="shared" si="8"/>
        <v>100</v>
      </c>
      <c r="K8" s="1645">
        <f t="shared" si="8"/>
        <v>100</v>
      </c>
      <c r="L8" s="1645">
        <f t="shared" si="8"/>
        <v>100</v>
      </c>
      <c r="M8" s="1645">
        <f t="shared" si="8"/>
        <v>100</v>
      </c>
      <c r="N8" s="1645">
        <f t="shared" si="8"/>
        <v>100</v>
      </c>
      <c r="O8" s="1645">
        <f t="shared" si="8"/>
        <v>100</v>
      </c>
      <c r="P8" s="1645">
        <f t="shared" si="8"/>
        <v>100</v>
      </c>
      <c r="Q8" s="1645">
        <f t="shared" si="8"/>
        <v>100</v>
      </c>
      <c r="R8" s="1645">
        <f t="shared" si="8"/>
        <v>100</v>
      </c>
      <c r="S8" s="1645">
        <f t="shared" si="8"/>
        <v>100</v>
      </c>
      <c r="T8" s="1064"/>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73" customFormat="1">
      <c r="A9" s="1161"/>
      <c r="B9" s="1699" t="s">
        <v>2883</v>
      </c>
      <c r="C9" s="1067"/>
      <c r="D9" s="1061"/>
      <c r="E9" s="1061"/>
      <c r="F9" s="1646"/>
      <c r="G9" s="1646"/>
      <c r="H9" s="1646"/>
      <c r="I9" s="1646"/>
      <c r="J9" s="1646"/>
      <c r="K9" s="1646"/>
      <c r="L9" s="1654"/>
      <c r="M9" s="1647"/>
      <c r="N9" s="1648"/>
      <c r="O9" s="1649"/>
      <c r="P9" s="1650"/>
      <c r="Q9" s="1651"/>
      <c r="R9" s="1652"/>
      <c r="S9" s="1653"/>
      <c r="T9" s="656"/>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73" customFormat="1" ht="13.5" thickBot="1">
      <c r="A10" s="1161"/>
      <c r="B10" s="1155"/>
      <c r="C10" s="1166">
        <v>100</v>
      </c>
      <c r="D10" s="1167">
        <f>C10-$T9</f>
        <v>100</v>
      </c>
      <c r="E10" s="1167">
        <f t="shared" ref="E10:S10" si="9">D10-$T9</f>
        <v>100</v>
      </c>
      <c r="F10" s="1655">
        <f t="shared" si="9"/>
        <v>100</v>
      </c>
      <c r="G10" s="1655">
        <f t="shared" si="9"/>
        <v>100</v>
      </c>
      <c r="H10" s="1655">
        <f t="shared" si="9"/>
        <v>100</v>
      </c>
      <c r="I10" s="1655">
        <f t="shared" si="9"/>
        <v>100</v>
      </c>
      <c r="J10" s="1655">
        <f t="shared" si="9"/>
        <v>100</v>
      </c>
      <c r="K10" s="1655">
        <f t="shared" si="9"/>
        <v>100</v>
      </c>
      <c r="L10" s="1655">
        <f t="shared" si="9"/>
        <v>100</v>
      </c>
      <c r="M10" s="1655">
        <f t="shared" si="9"/>
        <v>100</v>
      </c>
      <c r="N10" s="1655">
        <f t="shared" si="9"/>
        <v>100</v>
      </c>
      <c r="O10" s="1655">
        <f t="shared" si="9"/>
        <v>100</v>
      </c>
      <c r="P10" s="1655">
        <f t="shared" si="9"/>
        <v>100</v>
      </c>
      <c r="Q10" s="1655">
        <f t="shared" si="9"/>
        <v>100</v>
      </c>
      <c r="R10" s="1655">
        <f t="shared" si="9"/>
        <v>100</v>
      </c>
      <c r="S10" s="1655">
        <f t="shared" si="9"/>
        <v>100</v>
      </c>
      <c r="T10" s="1160"/>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73" customFormat="1">
      <c r="A11" s="1161"/>
      <c r="B11" s="1698" t="s">
        <v>2884</v>
      </c>
      <c r="C11" s="1162"/>
      <c r="D11" s="1163"/>
      <c r="E11" s="1163"/>
      <c r="F11" s="1163"/>
      <c r="G11" s="1163"/>
      <c r="H11" s="1163"/>
      <c r="I11" s="1163"/>
      <c r="J11" s="1163"/>
      <c r="K11" s="1163"/>
      <c r="L11" s="1163"/>
      <c r="M11" s="1164"/>
      <c r="N11" s="1168"/>
      <c r="O11" s="1169"/>
      <c r="P11" s="1170"/>
      <c r="Q11" s="1171"/>
      <c r="R11" s="1172"/>
      <c r="S11" s="1173"/>
      <c r="T11" s="1165"/>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73" customFormat="1" ht="13.5" thickBot="1">
      <c r="A12" s="1161"/>
      <c r="B12" s="1062"/>
      <c r="C12" s="1068">
        <v>100</v>
      </c>
      <c r="D12" s="1065">
        <f>C12-$T11</f>
        <v>100</v>
      </c>
      <c r="E12" s="1065">
        <f t="shared" ref="E12:S12" si="10">D12-$T11</f>
        <v>100</v>
      </c>
      <c r="F12" s="1065">
        <f t="shared" si="10"/>
        <v>100</v>
      </c>
      <c r="G12" s="1065">
        <f t="shared" si="10"/>
        <v>100</v>
      </c>
      <c r="H12" s="1065">
        <f t="shared" si="10"/>
        <v>100</v>
      </c>
      <c r="I12" s="1065">
        <f t="shared" si="10"/>
        <v>100</v>
      </c>
      <c r="J12" s="1065">
        <f t="shared" si="10"/>
        <v>100</v>
      </c>
      <c r="K12" s="1065">
        <f t="shared" si="10"/>
        <v>100</v>
      </c>
      <c r="L12" s="1065">
        <f t="shared" si="10"/>
        <v>100</v>
      </c>
      <c r="M12" s="1065">
        <f t="shared" si="10"/>
        <v>100</v>
      </c>
      <c r="N12" s="1065">
        <f t="shared" si="10"/>
        <v>100</v>
      </c>
      <c r="O12" s="1065">
        <f t="shared" si="10"/>
        <v>100</v>
      </c>
      <c r="P12" s="1065">
        <f t="shared" si="10"/>
        <v>100</v>
      </c>
      <c r="Q12" s="1065">
        <f t="shared" si="10"/>
        <v>100</v>
      </c>
      <c r="R12" s="1065">
        <f>Q12-$T11</f>
        <v>100</v>
      </c>
      <c r="S12" s="1065">
        <f t="shared" si="10"/>
        <v>100</v>
      </c>
      <c r="T12" s="1064"/>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73" customFormat="1">
      <c r="A13" s="1161"/>
      <c r="B13" s="1698" t="s">
        <v>2885</v>
      </c>
      <c r="C13" s="1162"/>
      <c r="D13" s="1163"/>
      <c r="E13" s="1163"/>
      <c r="F13" s="1163"/>
      <c r="G13" s="1163"/>
      <c r="H13" s="1163"/>
      <c r="I13" s="1163"/>
      <c r="J13" s="1163"/>
      <c r="K13" s="1163"/>
      <c r="L13" s="1163"/>
      <c r="M13" s="1164"/>
      <c r="N13" s="1168"/>
      <c r="O13" s="1169"/>
      <c r="P13" s="1170"/>
      <c r="Q13" s="1171"/>
      <c r="R13" s="1172"/>
      <c r="S13" s="1173"/>
      <c r="T13" s="1174"/>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73" customFormat="1" ht="13.5" thickBot="1">
      <c r="A14" s="1161"/>
      <c r="B14" s="1062"/>
      <c r="C14" s="1066"/>
      <c r="D14" s="1063"/>
      <c r="E14" s="1063"/>
      <c r="F14" s="1063"/>
      <c r="G14" s="1063"/>
      <c r="H14" s="1063"/>
      <c r="I14" s="1063"/>
      <c r="J14" s="1063"/>
      <c r="K14" s="1063"/>
      <c r="L14" s="1063"/>
      <c r="M14" s="1175"/>
      <c r="N14" s="1175"/>
      <c r="O14" s="1063"/>
      <c r="P14" s="1063"/>
      <c r="Q14" s="1063"/>
      <c r="R14" s="1063"/>
      <c r="S14" s="1176"/>
      <c r="T14" s="1064"/>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73" customFormat="1">
      <c r="A15" s="1161"/>
      <c r="B15" s="1698" t="s">
        <v>2886</v>
      </c>
      <c r="C15" s="1162"/>
      <c r="D15" s="1163"/>
      <c r="E15" s="1163"/>
      <c r="F15" s="1163"/>
      <c r="G15" s="1163"/>
      <c r="H15" s="1163"/>
      <c r="I15" s="1163"/>
      <c r="J15" s="1163"/>
      <c r="K15" s="1163"/>
      <c r="L15" s="1163"/>
      <c r="M15" s="1164"/>
      <c r="N15" s="1168"/>
      <c r="O15" s="1169"/>
      <c r="P15" s="1170"/>
      <c r="Q15" s="1171"/>
      <c r="R15" s="1172"/>
      <c r="S15" s="1173"/>
      <c r="T15" s="1174"/>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73" customFormat="1" ht="13.5" thickBot="1">
      <c r="A16" s="1161"/>
      <c r="B16" s="1155"/>
      <c r="C16" s="1156"/>
      <c r="D16" s="1157"/>
      <c r="E16" s="1157"/>
      <c r="F16" s="1157"/>
      <c r="G16" s="1157"/>
      <c r="H16" s="1157"/>
      <c r="I16" s="1157"/>
      <c r="J16" s="1157"/>
      <c r="K16" s="1157"/>
      <c r="L16" s="1157"/>
      <c r="M16" s="1158"/>
      <c r="N16" s="1158"/>
      <c r="O16" s="1157"/>
      <c r="P16" s="1157"/>
      <c r="Q16" s="1157"/>
      <c r="R16" s="1157"/>
      <c r="S16" s="1159"/>
      <c r="T16" s="1160"/>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50" customFormat="1">
      <c r="A17" s="2779" t="s">
        <v>2887</v>
      </c>
      <c r="B17" s="2780" t="s">
        <v>2888</v>
      </c>
      <c r="C17" s="1177"/>
      <c r="D17" s="1178"/>
      <c r="E17" s="1178"/>
      <c r="F17" s="1178"/>
      <c r="G17" s="1178"/>
      <c r="H17" s="1178"/>
      <c r="I17" s="1178"/>
      <c r="J17" s="1178"/>
      <c r="K17" s="1178"/>
      <c r="L17" s="1179"/>
      <c r="M17" s="1180"/>
      <c r="N17" s="1181"/>
      <c r="O17" s="1182"/>
      <c r="P17" s="1183"/>
      <c r="Q17" s="1184"/>
      <c r="R17" s="1185"/>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739"/>
      <c r="AS17" s="739"/>
    </row>
    <row r="18" spans="1:45" s="650" customFormat="1" ht="13.5" thickBot="1">
      <c r="A18" s="1187"/>
      <c r="B18" s="1188"/>
      <c r="C18" s="1189"/>
      <c r="D18" s="1190"/>
      <c r="E18" s="1190"/>
      <c r="F18" s="1190"/>
      <c r="G18" s="1190"/>
      <c r="H18" s="1190"/>
      <c r="I18" s="1190"/>
      <c r="J18" s="1190"/>
      <c r="K18" s="1190"/>
      <c r="L18" s="1190"/>
      <c r="M18" s="1191"/>
      <c r="N18" s="1191"/>
      <c r="O18" s="1190"/>
      <c r="P18" s="1190"/>
      <c r="Q18" s="1190"/>
      <c r="R18" s="1190"/>
      <c r="S18" s="1192"/>
      <c r="T18" s="1192"/>
      <c r="U18" s="1192"/>
      <c r="V18" s="1192"/>
      <c r="W18" s="1192"/>
      <c r="X18" s="1192"/>
      <c r="Y18" s="1192"/>
      <c r="Z18" s="1192"/>
      <c r="AA18" s="1192"/>
      <c r="AB18" s="1192"/>
      <c r="AC18" s="1192"/>
      <c r="AD18" s="1192"/>
      <c r="AE18" s="1192"/>
      <c r="AF18" s="1192"/>
      <c r="AG18" s="1192"/>
      <c r="AH18" s="1192"/>
      <c r="AI18" s="1192"/>
      <c r="AJ18" s="1192"/>
      <c r="AK18" s="1192"/>
      <c r="AL18" s="1192"/>
      <c r="AM18" s="1192"/>
      <c r="AN18" s="1192"/>
      <c r="AO18" s="1192"/>
      <c r="AP18" s="1192"/>
      <c r="AQ18" s="1192"/>
      <c r="AR18" s="739"/>
      <c r="AS18" s="739"/>
    </row>
    <row r="19" spans="1:45">
      <c r="A19" s="81"/>
      <c r="B19" s="111"/>
      <c r="C19" s="111"/>
      <c r="D19" s="2781" t="s">
        <v>2889</v>
      </c>
      <c r="E19" s="1720"/>
      <c r="F19" s="1720"/>
      <c r="G19" s="1720"/>
      <c r="H19" s="1212"/>
      <c r="I19" s="111"/>
      <c r="J19" s="111"/>
      <c r="K19" s="111"/>
      <c r="L19" s="111"/>
      <c r="M19" s="111"/>
      <c r="N19" s="111"/>
      <c r="O19" s="111"/>
      <c r="P19" s="111"/>
      <c r="Q19" s="111"/>
      <c r="R19" s="731"/>
      <c r="S19" s="81"/>
    </row>
    <row r="20" spans="1:45" ht="16.5" thickBot="1">
      <c r="A20" s="658" t="s">
        <v>2890</v>
      </c>
      <c r="B20" s="281" t="e">
        <f ca="1">IF(D20="——",S22,S22-F20)</f>
        <v>#REF!</v>
      </c>
      <c r="C20" s="111"/>
      <c r="D20" s="2782" t="s">
        <v>2891</v>
      </c>
      <c r="E20" s="1721"/>
      <c r="F20" s="1150" t="e">
        <f ca="1">SUMIF(INDIRECT("'"&amp;H20&amp;"'"&amp;"!A:A"),"承租人权益价值",INDIRECT("'"&amp;H20&amp;"'"&amp;"!c:c"))</f>
        <v>#REF!</v>
      </c>
      <c r="G20" s="1150" t="s">
        <v>2892</v>
      </c>
      <c r="H20" s="2783"/>
      <c r="I20" s="111"/>
      <c r="J20" s="111"/>
      <c r="K20" s="111"/>
      <c r="L20" s="111"/>
      <c r="M20" s="111"/>
      <c r="N20" s="111"/>
      <c r="O20" s="111"/>
      <c r="P20" s="111"/>
      <c r="Q20" s="111"/>
      <c r="R20" s="731"/>
      <c r="S20" s="81"/>
    </row>
    <row r="21" spans="1:45" ht="15.75">
      <c r="A21" s="658" t="s">
        <v>2893</v>
      </c>
      <c r="B21" s="281">
        <f>R22</f>
        <v>10000</v>
      </c>
      <c r="C21" s="111"/>
      <c r="D21" s="111"/>
      <c r="E21" s="111"/>
      <c r="F21" s="111"/>
      <c r="G21" s="111"/>
      <c r="H21" s="111"/>
      <c r="I21" s="111"/>
      <c r="J21" s="111"/>
      <c r="K21" s="111"/>
      <c r="L21" s="111"/>
      <c r="M21" s="111"/>
      <c r="N21" s="111"/>
      <c r="O21" s="111"/>
      <c r="P21" s="111"/>
      <c r="Q21" s="111"/>
      <c r="R21" s="731"/>
      <c r="S21" s="81"/>
    </row>
    <row r="22" spans="1:45">
      <c r="A22" s="304" t="s">
        <v>2894</v>
      </c>
      <c r="B22" s="24">
        <f>SUM(B24:B10000)</f>
        <v>100</v>
      </c>
      <c r="C22" s="3186" t="s">
        <v>33</v>
      </c>
      <c r="D22" s="3187"/>
      <c r="E22" s="3187"/>
      <c r="F22" s="3187"/>
      <c r="G22" s="3187"/>
      <c r="H22" s="3187"/>
      <c r="I22" s="3187"/>
      <c r="J22" s="3187"/>
      <c r="K22" s="3187"/>
      <c r="L22" s="3187"/>
      <c r="M22" s="3187"/>
      <c r="N22" s="3187"/>
      <c r="O22" s="3187"/>
      <c r="P22" s="3187"/>
      <c r="Q22" s="3407"/>
      <c r="R22" s="659">
        <f>ROUND(S22*10000/B22,0)</f>
        <v>10000</v>
      </c>
      <c r="S22" s="24">
        <f>SUM(S24:S10000)</f>
        <v>100</v>
      </c>
    </row>
    <row r="23" spans="1:45" s="12" customFormat="1" ht="24">
      <c r="A23" s="11" t="s">
        <v>2895</v>
      </c>
      <c r="B23" s="11" t="s">
        <v>2896</v>
      </c>
      <c r="C23" s="11" t="s">
        <v>2897</v>
      </c>
      <c r="D23" s="11" t="str">
        <f>B5</f>
        <v>修正项2</v>
      </c>
      <c r="E23" s="11" t="s">
        <v>2897</v>
      </c>
      <c r="F23" s="11" t="str">
        <f>B7</f>
        <v>修正项3</v>
      </c>
      <c r="G23" s="11" t="s">
        <v>2897</v>
      </c>
      <c r="H23" s="11" t="str">
        <f>B9</f>
        <v>修正项4</v>
      </c>
      <c r="I23" s="11" t="s">
        <v>2897</v>
      </c>
      <c r="J23" s="11" t="str">
        <f>B11</f>
        <v>修正项5</v>
      </c>
      <c r="K23" s="11" t="s">
        <v>2897</v>
      </c>
      <c r="L23" s="11" t="str">
        <f>B13</f>
        <v>修正项6</v>
      </c>
      <c r="M23" s="11" t="s">
        <v>2897</v>
      </c>
      <c r="N23" s="11" t="str">
        <f>B15</f>
        <v>修正项7</v>
      </c>
      <c r="O23" s="11" t="s">
        <v>2897</v>
      </c>
      <c r="P23" s="11" t="str">
        <f>B17</f>
        <v>楼层</v>
      </c>
      <c r="Q23" s="11" t="s">
        <v>2897</v>
      </c>
      <c r="R23" s="660" t="s">
        <v>2898</v>
      </c>
      <c r="S23" s="11" t="s">
        <v>2899</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65" customFormat="1">
      <c r="A24" s="661" t="s">
        <v>2900</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02"/>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4">
        <f t="shared" si="11"/>
        <v>0</v>
      </c>
    </row>
    <row r="26" spans="1:45">
      <c r="A26" s="102"/>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4">
        <f t="shared" si="11"/>
        <v>0</v>
      </c>
    </row>
    <row r="27" spans="1:45">
      <c r="A27" s="102"/>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4">
        <f t="shared" si="11"/>
        <v>0</v>
      </c>
    </row>
    <row r="28" spans="1:45">
      <c r="A28" s="102"/>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4">
        <f t="shared" si="11"/>
        <v>0</v>
      </c>
    </row>
    <row r="29" spans="1:45">
      <c r="A29" s="102"/>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4">
        <f t="shared" si="11"/>
        <v>0</v>
      </c>
    </row>
    <row r="30" spans="1:45">
      <c r="A30" s="102"/>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4">
        <f t="shared" si="11"/>
        <v>0</v>
      </c>
    </row>
    <row r="31" spans="1:45">
      <c r="A31" s="102"/>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4">
        <f t="shared" si="11"/>
        <v>0</v>
      </c>
    </row>
    <row r="32" spans="1:45">
      <c r="A32" s="102"/>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4">
        <f t="shared" si="11"/>
        <v>0</v>
      </c>
    </row>
    <row r="33" spans="1:19">
      <c r="A33" s="102"/>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4">
        <f t="shared" si="11"/>
        <v>0</v>
      </c>
    </row>
    <row r="34" spans="1:19">
      <c r="A34" s="102"/>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4">
        <f t="shared" si="11"/>
        <v>0</v>
      </c>
    </row>
    <row r="35" spans="1:19">
      <c r="A35" s="102"/>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4">
        <f t="shared" si="11"/>
        <v>0</v>
      </c>
    </row>
    <row r="36" spans="1:19">
      <c r="A36" s="102"/>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4">
        <f t="shared" si="11"/>
        <v>0</v>
      </c>
    </row>
    <row r="37" spans="1:19">
      <c r="A37" s="102"/>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4">
        <f t="shared" si="11"/>
        <v>0</v>
      </c>
    </row>
    <row r="38" spans="1:19">
      <c r="A38" s="102"/>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4">
        <f t="shared" si="11"/>
        <v>0</v>
      </c>
    </row>
    <row r="39" spans="1:19">
      <c r="A39" s="102"/>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4">
        <f t="shared" si="11"/>
        <v>0</v>
      </c>
    </row>
    <row r="40" spans="1:19">
      <c r="A40" s="102"/>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4">
        <f t="shared" si="11"/>
        <v>0</v>
      </c>
    </row>
    <row r="41" spans="1:19">
      <c r="A41" s="102"/>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4">
        <f t="shared" si="11"/>
        <v>0</v>
      </c>
    </row>
    <row r="42" spans="1:19">
      <c r="A42" s="102"/>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4">
        <f t="shared" si="11"/>
        <v>0</v>
      </c>
    </row>
    <row r="43" spans="1:19">
      <c r="A43" s="102"/>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4">
        <f t="shared" si="11"/>
        <v>0</v>
      </c>
    </row>
    <row r="44" spans="1:19">
      <c r="A44" s="102"/>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4">
        <f t="shared" si="11"/>
        <v>0</v>
      </c>
    </row>
    <row r="45" spans="1:19">
      <c r="A45" s="102"/>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4">
        <f t="shared" si="11"/>
        <v>0</v>
      </c>
    </row>
    <row r="46" spans="1:19">
      <c r="A46" s="102"/>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4">
        <f t="shared" si="11"/>
        <v>0</v>
      </c>
    </row>
    <row r="47" spans="1:19">
      <c r="A47" s="102"/>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4">
        <f t="shared" si="11"/>
        <v>0</v>
      </c>
    </row>
    <row r="48" spans="1:19">
      <c r="A48" s="102"/>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4">
        <f t="shared" si="11"/>
        <v>0</v>
      </c>
    </row>
    <row r="49" spans="1:19">
      <c r="A49" s="102"/>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4">
        <f t="shared" si="11"/>
        <v>0</v>
      </c>
    </row>
    <row r="50" spans="1:19">
      <c r="A50" s="102"/>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4">
        <f t="shared" si="11"/>
        <v>0</v>
      </c>
    </row>
    <row r="51" spans="1:19">
      <c r="A51" s="102"/>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4">
        <f t="shared" si="11"/>
        <v>0</v>
      </c>
    </row>
    <row r="52" spans="1:19">
      <c r="A52" s="102"/>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4">
        <f t="shared" si="11"/>
        <v>0</v>
      </c>
    </row>
    <row r="53" spans="1:19">
      <c r="A53" s="102"/>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4">
        <f t="shared" si="11"/>
        <v>0</v>
      </c>
    </row>
    <row r="54" spans="1:19">
      <c r="A54" s="102"/>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4">
        <f t="shared" si="11"/>
        <v>0</v>
      </c>
    </row>
    <row r="55" spans="1:19">
      <c r="A55" s="102"/>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4">
        <f t="shared" ref="S55:S77" si="21">ROUND(R55*B55/10000,0)</f>
        <v>0</v>
      </c>
    </row>
    <row r="56" spans="1:19">
      <c r="A56" s="102"/>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4">
        <f t="shared" si="21"/>
        <v>0</v>
      </c>
    </row>
    <row r="57" spans="1:19">
      <c r="A57" s="102"/>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4">
        <f t="shared" si="21"/>
        <v>0</v>
      </c>
    </row>
    <row r="58" spans="1:19">
      <c r="A58" s="102"/>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4">
        <f t="shared" si="21"/>
        <v>0</v>
      </c>
    </row>
    <row r="59" spans="1:19">
      <c r="A59" s="102"/>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4">
        <f t="shared" si="21"/>
        <v>0</v>
      </c>
    </row>
    <row r="60" spans="1:19">
      <c r="A60" s="102"/>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4">
        <f t="shared" si="21"/>
        <v>0</v>
      </c>
    </row>
    <row r="61" spans="1:19">
      <c r="A61" s="102"/>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4">
        <f t="shared" si="21"/>
        <v>0</v>
      </c>
    </row>
    <row r="62" spans="1:19">
      <c r="A62" s="102"/>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4">
        <f t="shared" si="21"/>
        <v>0</v>
      </c>
    </row>
    <row r="63" spans="1:19">
      <c r="A63" s="102"/>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4">
        <f t="shared" si="21"/>
        <v>0</v>
      </c>
    </row>
    <row r="64" spans="1:19">
      <c r="A64" s="102"/>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4">
        <f t="shared" si="21"/>
        <v>0</v>
      </c>
    </row>
    <row r="65" spans="1:19">
      <c r="A65" s="102"/>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4">
        <f t="shared" si="21"/>
        <v>0</v>
      </c>
    </row>
    <row r="66" spans="1:19">
      <c r="A66" s="102"/>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4">
        <f t="shared" si="21"/>
        <v>0</v>
      </c>
    </row>
    <row r="67" spans="1:19">
      <c r="A67" s="102"/>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4">
        <f t="shared" si="21"/>
        <v>0</v>
      </c>
    </row>
    <row r="68" spans="1:19">
      <c r="A68" s="102"/>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4">
        <f t="shared" si="21"/>
        <v>0</v>
      </c>
    </row>
    <row r="69" spans="1:19">
      <c r="A69" s="102"/>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4">
        <f t="shared" si="21"/>
        <v>0</v>
      </c>
    </row>
    <row r="70" spans="1:19">
      <c r="A70" s="102"/>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4">
        <f t="shared" si="21"/>
        <v>0</v>
      </c>
    </row>
    <row r="71" spans="1:19">
      <c r="A71" s="102"/>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4">
        <f t="shared" si="21"/>
        <v>0</v>
      </c>
    </row>
    <row r="72" spans="1:19">
      <c r="A72" s="102"/>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4">
        <f t="shared" si="21"/>
        <v>0</v>
      </c>
    </row>
    <row r="73" spans="1:19">
      <c r="A73" s="102"/>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4">
        <f t="shared" si="21"/>
        <v>0</v>
      </c>
    </row>
    <row r="74" spans="1:19">
      <c r="A74" s="102"/>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4">
        <f t="shared" si="21"/>
        <v>0</v>
      </c>
    </row>
    <row r="75" spans="1:19">
      <c r="A75" s="102"/>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4">
        <f t="shared" si="21"/>
        <v>0</v>
      </c>
    </row>
    <row r="76" spans="1:19">
      <c r="A76" s="102"/>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4">
        <f t="shared" si="21"/>
        <v>0</v>
      </c>
    </row>
    <row r="77" spans="1:19">
      <c r="A77" s="102"/>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4">
        <f t="shared" si="21"/>
        <v>0</v>
      </c>
    </row>
    <row r="78" spans="1:19">
      <c r="A78" s="102"/>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4">
        <f t="shared" ref="S78:S122" si="22">ROUND(R78*B78/10000,0)</f>
        <v>0</v>
      </c>
    </row>
    <row r="79" spans="1:19">
      <c r="A79" s="102"/>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4">
        <f t="shared" si="22"/>
        <v>0</v>
      </c>
    </row>
    <row r="80" spans="1:19">
      <c r="A80" s="102"/>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4">
        <f t="shared" si="22"/>
        <v>0</v>
      </c>
    </row>
    <row r="81" spans="1:19">
      <c r="A81" s="102"/>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4">
        <f t="shared" si="22"/>
        <v>0</v>
      </c>
    </row>
    <row r="82" spans="1:19">
      <c r="A82" s="102"/>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4">
        <f t="shared" si="22"/>
        <v>0</v>
      </c>
    </row>
    <row r="83" spans="1:19">
      <c r="A83" s="102"/>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4">
        <f t="shared" si="22"/>
        <v>0</v>
      </c>
    </row>
    <row r="84" spans="1:19">
      <c r="A84" s="102"/>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4">
        <f t="shared" si="22"/>
        <v>0</v>
      </c>
    </row>
    <row r="85" spans="1:19">
      <c r="A85" s="102"/>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4">
        <f t="shared" si="22"/>
        <v>0</v>
      </c>
    </row>
    <row r="86" spans="1:19">
      <c r="A86" s="102"/>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4">
        <f t="shared" si="22"/>
        <v>0</v>
      </c>
    </row>
    <row r="87" spans="1:19">
      <c r="A87" s="102"/>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4">
        <f t="shared" si="22"/>
        <v>0</v>
      </c>
    </row>
    <row r="88" spans="1:19">
      <c r="A88" s="102"/>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4">
        <f t="shared" si="22"/>
        <v>0</v>
      </c>
    </row>
    <row r="89" spans="1:19">
      <c r="A89" s="102"/>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4">
        <f t="shared" si="22"/>
        <v>0</v>
      </c>
    </row>
    <row r="90" spans="1:19">
      <c r="A90" s="102"/>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4">
        <f t="shared" si="22"/>
        <v>0</v>
      </c>
    </row>
    <row r="91" spans="1:19">
      <c r="A91" s="102"/>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4">
        <f t="shared" si="22"/>
        <v>0</v>
      </c>
    </row>
    <row r="92" spans="1:19">
      <c r="A92" s="102"/>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4">
        <f t="shared" si="22"/>
        <v>0</v>
      </c>
    </row>
    <row r="93" spans="1:19">
      <c r="A93" s="102"/>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4">
        <f t="shared" si="22"/>
        <v>0</v>
      </c>
    </row>
    <row r="94" spans="1:19">
      <c r="A94" s="102"/>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4">
        <f t="shared" si="22"/>
        <v>0</v>
      </c>
    </row>
    <row r="95" spans="1:19">
      <c r="A95" s="102"/>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4">
        <f t="shared" si="22"/>
        <v>0</v>
      </c>
    </row>
    <row r="96" spans="1:19">
      <c r="A96" s="102"/>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4">
        <f t="shared" si="22"/>
        <v>0</v>
      </c>
    </row>
    <row r="97" spans="1:19">
      <c r="A97" s="102"/>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4">
        <f t="shared" si="22"/>
        <v>0</v>
      </c>
    </row>
    <row r="98" spans="1:19">
      <c r="A98" s="102"/>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4">
        <f t="shared" si="22"/>
        <v>0</v>
      </c>
    </row>
    <row r="99" spans="1:19">
      <c r="A99" s="102"/>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4">
        <f t="shared" si="22"/>
        <v>0</v>
      </c>
    </row>
    <row r="100" spans="1:19">
      <c r="A100" s="102"/>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4">
        <f t="shared" si="22"/>
        <v>0</v>
      </c>
    </row>
    <row r="101" spans="1:19">
      <c r="A101" s="102"/>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4">
        <f t="shared" si="22"/>
        <v>0</v>
      </c>
    </row>
    <row r="102" spans="1:19">
      <c r="A102" s="102"/>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4">
        <f t="shared" si="22"/>
        <v>0</v>
      </c>
    </row>
    <row r="103" spans="1:19">
      <c r="A103" s="102"/>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4">
        <f t="shared" si="22"/>
        <v>0</v>
      </c>
    </row>
    <row r="104" spans="1:19">
      <c r="A104" s="102"/>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4">
        <f t="shared" si="22"/>
        <v>0</v>
      </c>
    </row>
    <row r="105" spans="1:19">
      <c r="A105" s="102"/>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4">
        <f t="shared" si="22"/>
        <v>0</v>
      </c>
    </row>
    <row r="106" spans="1:19">
      <c r="A106" s="102"/>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4">
        <f t="shared" si="22"/>
        <v>0</v>
      </c>
    </row>
    <row r="107" spans="1:19">
      <c r="A107" s="102"/>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4">
        <f t="shared" si="22"/>
        <v>0</v>
      </c>
    </row>
    <row r="108" spans="1:19">
      <c r="A108" s="102"/>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4">
        <f t="shared" si="22"/>
        <v>0</v>
      </c>
    </row>
    <row r="109" spans="1:19">
      <c r="A109" s="102"/>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4">
        <f t="shared" si="22"/>
        <v>0</v>
      </c>
    </row>
    <row r="110" spans="1:19">
      <c r="A110" s="102"/>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4">
        <f t="shared" si="22"/>
        <v>0</v>
      </c>
    </row>
    <row r="111" spans="1:19">
      <c r="A111" s="102"/>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4">
        <f t="shared" si="22"/>
        <v>0</v>
      </c>
    </row>
    <row r="112" spans="1:19">
      <c r="A112" s="102"/>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4">
        <f t="shared" si="22"/>
        <v>0</v>
      </c>
    </row>
    <row r="113" spans="1:19">
      <c r="A113" s="102"/>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4">
        <f t="shared" si="22"/>
        <v>0</v>
      </c>
    </row>
    <row r="114" spans="1:19">
      <c r="A114" s="102"/>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4">
        <f t="shared" si="22"/>
        <v>0</v>
      </c>
    </row>
    <row r="115" spans="1:19">
      <c r="A115" s="102"/>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4">
        <f t="shared" si="22"/>
        <v>0</v>
      </c>
    </row>
    <row r="116" spans="1:19">
      <c r="A116" s="102"/>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4">
        <f t="shared" si="22"/>
        <v>0</v>
      </c>
    </row>
    <row r="117" spans="1:19">
      <c r="A117" s="102"/>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4">
        <f t="shared" si="22"/>
        <v>0</v>
      </c>
    </row>
    <row r="118" spans="1:19">
      <c r="A118" s="102"/>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4">
        <f t="shared" si="22"/>
        <v>0</v>
      </c>
    </row>
    <row r="119" spans="1:19">
      <c r="A119" s="102"/>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4">
        <f t="shared" si="22"/>
        <v>0</v>
      </c>
    </row>
    <row r="120" spans="1:19">
      <c r="A120" s="102"/>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4">
        <f t="shared" si="22"/>
        <v>0</v>
      </c>
    </row>
    <row r="121" spans="1:19">
      <c r="A121" s="102"/>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4">
        <f t="shared" si="22"/>
        <v>0</v>
      </c>
    </row>
    <row r="122" spans="1:19">
      <c r="A122" s="102"/>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4">
        <f t="shared" si="22"/>
        <v>0</v>
      </c>
    </row>
    <row r="123" spans="1:19">
      <c r="A123" s="102"/>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4">
        <f t="shared" ref="S123:S186" si="32">ROUND(R123*B123/10000,0)</f>
        <v>0</v>
      </c>
    </row>
    <row r="124" spans="1:19">
      <c r="A124" s="102"/>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4">
        <f t="shared" si="32"/>
        <v>0</v>
      </c>
    </row>
    <row r="125" spans="1:19">
      <c r="A125" s="102"/>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4">
        <f t="shared" si="32"/>
        <v>0</v>
      </c>
    </row>
    <row r="126" spans="1:19">
      <c r="A126" s="102"/>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4">
        <f t="shared" si="32"/>
        <v>0</v>
      </c>
    </row>
    <row r="127" spans="1:19">
      <c r="A127" s="102"/>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4">
        <f t="shared" si="32"/>
        <v>0</v>
      </c>
    </row>
    <row r="128" spans="1:19">
      <c r="A128" s="102"/>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4">
        <f t="shared" si="32"/>
        <v>0</v>
      </c>
    </row>
    <row r="129" spans="1:19">
      <c r="A129" s="102"/>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4">
        <f t="shared" si="32"/>
        <v>0</v>
      </c>
    </row>
    <row r="130" spans="1:19">
      <c r="A130" s="102"/>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4">
        <f t="shared" si="32"/>
        <v>0</v>
      </c>
    </row>
    <row r="131" spans="1:19">
      <c r="A131" s="102"/>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4">
        <f t="shared" si="32"/>
        <v>0</v>
      </c>
    </row>
    <row r="132" spans="1:19">
      <c r="A132" s="102"/>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4">
        <f t="shared" si="32"/>
        <v>0</v>
      </c>
    </row>
    <row r="133" spans="1:19">
      <c r="A133" s="102"/>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4">
        <f t="shared" si="32"/>
        <v>0</v>
      </c>
    </row>
    <row r="134" spans="1:19">
      <c r="A134" s="102"/>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4">
        <f t="shared" si="32"/>
        <v>0</v>
      </c>
    </row>
    <row r="135" spans="1:19">
      <c r="A135" s="102"/>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4">
        <f t="shared" si="32"/>
        <v>0</v>
      </c>
    </row>
    <row r="136" spans="1:19">
      <c r="A136" s="102"/>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4">
        <f t="shared" si="32"/>
        <v>0</v>
      </c>
    </row>
    <row r="137" spans="1:19">
      <c r="A137" s="102"/>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4">
        <f t="shared" si="32"/>
        <v>0</v>
      </c>
    </row>
    <row r="138" spans="1:19">
      <c r="A138" s="102"/>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4">
        <f t="shared" si="32"/>
        <v>0</v>
      </c>
    </row>
    <row r="139" spans="1:19">
      <c r="A139" s="102"/>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4">
        <f t="shared" si="32"/>
        <v>0</v>
      </c>
    </row>
    <row r="140" spans="1:19">
      <c r="A140" s="102"/>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4">
        <f t="shared" si="32"/>
        <v>0</v>
      </c>
    </row>
    <row r="141" spans="1:19">
      <c r="A141" s="102"/>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4">
        <f t="shared" si="32"/>
        <v>0</v>
      </c>
    </row>
    <row r="142" spans="1:19">
      <c r="A142" s="102"/>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4">
        <f t="shared" si="32"/>
        <v>0</v>
      </c>
    </row>
    <row r="143" spans="1:19">
      <c r="A143" s="102"/>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4">
        <f t="shared" si="32"/>
        <v>0</v>
      </c>
    </row>
    <row r="144" spans="1:19">
      <c r="A144" s="102"/>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4">
        <f t="shared" si="32"/>
        <v>0</v>
      </c>
    </row>
    <row r="145" spans="1:19">
      <c r="A145" s="102"/>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4">
        <f t="shared" si="32"/>
        <v>0</v>
      </c>
    </row>
    <row r="146" spans="1:19">
      <c r="A146" s="102"/>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4">
        <f t="shared" si="32"/>
        <v>0</v>
      </c>
    </row>
    <row r="147" spans="1:19">
      <c r="A147" s="102"/>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4">
        <f t="shared" si="32"/>
        <v>0</v>
      </c>
    </row>
    <row r="148" spans="1:19">
      <c r="A148" s="102"/>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4">
        <f t="shared" si="32"/>
        <v>0</v>
      </c>
    </row>
    <row r="149" spans="1:19">
      <c r="A149" s="102"/>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4">
        <f t="shared" si="32"/>
        <v>0</v>
      </c>
    </row>
    <row r="150" spans="1:19">
      <c r="A150" s="102"/>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4">
        <f t="shared" si="32"/>
        <v>0</v>
      </c>
    </row>
    <row r="151" spans="1:19">
      <c r="A151" s="102"/>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4">
        <f t="shared" si="32"/>
        <v>0</v>
      </c>
    </row>
    <row r="152" spans="1:19">
      <c r="A152" s="102"/>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4">
        <f t="shared" si="32"/>
        <v>0</v>
      </c>
    </row>
    <row r="153" spans="1:19">
      <c r="A153" s="102"/>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4">
        <f t="shared" si="32"/>
        <v>0</v>
      </c>
    </row>
    <row r="154" spans="1:19">
      <c r="A154" s="102"/>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4">
        <f t="shared" si="32"/>
        <v>0</v>
      </c>
    </row>
    <row r="155" spans="1:19">
      <c r="A155" s="102"/>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4">
        <f t="shared" si="32"/>
        <v>0</v>
      </c>
    </row>
    <row r="156" spans="1:19">
      <c r="A156" s="102"/>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4">
        <f t="shared" si="32"/>
        <v>0</v>
      </c>
    </row>
    <row r="157" spans="1:19">
      <c r="A157" s="102"/>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4">
        <f t="shared" si="32"/>
        <v>0</v>
      </c>
    </row>
    <row r="158" spans="1:19">
      <c r="A158" s="102"/>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4">
        <f t="shared" si="32"/>
        <v>0</v>
      </c>
    </row>
    <row r="159" spans="1:19">
      <c r="A159" s="102"/>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4">
        <f t="shared" si="32"/>
        <v>0</v>
      </c>
    </row>
    <row r="160" spans="1:19">
      <c r="A160" s="102"/>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4">
        <f t="shared" si="32"/>
        <v>0</v>
      </c>
    </row>
    <row r="161" spans="1:19">
      <c r="A161" s="102"/>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4">
        <f t="shared" si="32"/>
        <v>0</v>
      </c>
    </row>
    <row r="162" spans="1:19">
      <c r="A162" s="102"/>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4">
        <f t="shared" si="32"/>
        <v>0</v>
      </c>
    </row>
    <row r="163" spans="1:19">
      <c r="A163" s="102"/>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4">
        <f t="shared" si="32"/>
        <v>0</v>
      </c>
    </row>
    <row r="164" spans="1:19">
      <c r="A164" s="102"/>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4">
        <f t="shared" si="32"/>
        <v>0</v>
      </c>
    </row>
    <row r="165" spans="1:19">
      <c r="A165" s="102"/>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4">
        <f t="shared" si="32"/>
        <v>0</v>
      </c>
    </row>
    <row r="166" spans="1:19">
      <c r="A166" s="102"/>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4">
        <f t="shared" si="32"/>
        <v>0</v>
      </c>
    </row>
    <row r="167" spans="1:19">
      <c r="A167" s="102"/>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4">
        <f t="shared" si="32"/>
        <v>0</v>
      </c>
    </row>
    <row r="168" spans="1:19">
      <c r="A168" s="102"/>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4">
        <f t="shared" si="32"/>
        <v>0</v>
      </c>
    </row>
    <row r="169" spans="1:19">
      <c r="A169" s="102"/>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4">
        <f t="shared" si="32"/>
        <v>0</v>
      </c>
    </row>
    <row r="170" spans="1:19">
      <c r="A170" s="102"/>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4">
        <f t="shared" si="32"/>
        <v>0</v>
      </c>
    </row>
    <row r="171" spans="1:19">
      <c r="A171" s="102"/>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4">
        <f t="shared" si="32"/>
        <v>0</v>
      </c>
    </row>
    <row r="172" spans="1:19">
      <c r="A172" s="102"/>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4">
        <f t="shared" si="32"/>
        <v>0</v>
      </c>
    </row>
    <row r="173" spans="1:19">
      <c r="A173" s="102"/>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4">
        <f t="shared" si="32"/>
        <v>0</v>
      </c>
    </row>
    <row r="174" spans="1:19">
      <c r="A174" s="102"/>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4">
        <f t="shared" si="32"/>
        <v>0</v>
      </c>
    </row>
    <row r="175" spans="1:19">
      <c r="A175" s="102"/>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4">
        <f t="shared" si="32"/>
        <v>0</v>
      </c>
    </row>
    <row r="176" spans="1:19">
      <c r="A176" s="102"/>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4">
        <f t="shared" si="32"/>
        <v>0</v>
      </c>
    </row>
    <row r="177" spans="1:19">
      <c r="A177" s="102"/>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4">
        <f t="shared" si="32"/>
        <v>0</v>
      </c>
    </row>
    <row r="178" spans="1:19">
      <c r="A178" s="102"/>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4">
        <f t="shared" si="32"/>
        <v>0</v>
      </c>
    </row>
    <row r="179" spans="1:19">
      <c r="A179" s="102"/>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4">
        <f t="shared" si="32"/>
        <v>0</v>
      </c>
    </row>
    <row r="180" spans="1:19">
      <c r="A180" s="102"/>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4">
        <f t="shared" si="32"/>
        <v>0</v>
      </c>
    </row>
    <row r="181" spans="1:19">
      <c r="A181" s="102"/>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4">
        <f t="shared" si="32"/>
        <v>0</v>
      </c>
    </row>
    <row r="182" spans="1:19">
      <c r="A182" s="102"/>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4">
        <f t="shared" si="32"/>
        <v>0</v>
      </c>
    </row>
    <row r="183" spans="1:19">
      <c r="A183" s="102"/>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4">
        <f t="shared" si="32"/>
        <v>0</v>
      </c>
    </row>
    <row r="184" spans="1:19">
      <c r="A184" s="102"/>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4">
        <f t="shared" si="32"/>
        <v>0</v>
      </c>
    </row>
    <row r="185" spans="1:19">
      <c r="A185" s="102"/>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4">
        <f t="shared" si="32"/>
        <v>0</v>
      </c>
    </row>
    <row r="186" spans="1:19">
      <c r="A186" s="102"/>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4">
        <f t="shared" si="32"/>
        <v>0</v>
      </c>
    </row>
    <row r="187" spans="1:19">
      <c r="A187" s="102"/>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4">
        <f t="shared" ref="S187:S222" si="42">ROUND(R187*B187/10000,0)</f>
        <v>0</v>
      </c>
    </row>
    <row r="188" spans="1:19">
      <c r="A188" s="102"/>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4">
        <f t="shared" si="42"/>
        <v>0</v>
      </c>
    </row>
    <row r="189" spans="1:19">
      <c r="A189" s="102"/>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4">
        <f t="shared" si="42"/>
        <v>0</v>
      </c>
    </row>
    <row r="190" spans="1:19">
      <c r="A190" s="102"/>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4">
        <f t="shared" si="42"/>
        <v>0</v>
      </c>
    </row>
    <row r="191" spans="1:19">
      <c r="A191" s="102"/>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4">
        <f t="shared" si="42"/>
        <v>0</v>
      </c>
    </row>
    <row r="192" spans="1:19">
      <c r="A192" s="102"/>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4">
        <f t="shared" si="42"/>
        <v>0</v>
      </c>
    </row>
    <row r="193" spans="1:19">
      <c r="A193" s="102"/>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4">
        <f t="shared" si="42"/>
        <v>0</v>
      </c>
    </row>
    <row r="194" spans="1:19">
      <c r="A194" s="102"/>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4">
        <f t="shared" si="42"/>
        <v>0</v>
      </c>
    </row>
    <row r="195" spans="1:19">
      <c r="A195" s="102"/>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4">
        <f t="shared" si="42"/>
        <v>0</v>
      </c>
    </row>
    <row r="196" spans="1:19">
      <c r="A196" s="102"/>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4">
        <f t="shared" si="42"/>
        <v>0</v>
      </c>
    </row>
    <row r="197" spans="1:19">
      <c r="A197" s="102"/>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4">
        <f t="shared" si="42"/>
        <v>0</v>
      </c>
    </row>
    <row r="198" spans="1:19">
      <c r="A198" s="102"/>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4">
        <f t="shared" si="42"/>
        <v>0</v>
      </c>
    </row>
    <row r="199" spans="1:19">
      <c r="A199" s="102"/>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4">
        <f t="shared" si="42"/>
        <v>0</v>
      </c>
    </row>
    <row r="200" spans="1:19">
      <c r="A200" s="102"/>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4">
        <f t="shared" si="42"/>
        <v>0</v>
      </c>
    </row>
    <row r="201" spans="1:19">
      <c r="A201" s="102"/>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4">
        <f t="shared" si="42"/>
        <v>0</v>
      </c>
    </row>
    <row r="202" spans="1:19">
      <c r="A202" s="102"/>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4">
        <f t="shared" si="42"/>
        <v>0</v>
      </c>
    </row>
    <row r="203" spans="1:19">
      <c r="A203" s="102"/>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4">
        <f t="shared" si="42"/>
        <v>0</v>
      </c>
    </row>
    <row r="204" spans="1:19">
      <c r="A204" s="102"/>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4">
        <f t="shared" si="42"/>
        <v>0</v>
      </c>
    </row>
    <row r="205" spans="1:19">
      <c r="A205" s="102"/>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4">
        <f t="shared" si="42"/>
        <v>0</v>
      </c>
    </row>
    <row r="206" spans="1:19">
      <c r="A206" s="102"/>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4">
        <f t="shared" si="42"/>
        <v>0</v>
      </c>
    </row>
    <row r="207" spans="1:19">
      <c r="A207" s="102"/>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4">
        <f t="shared" si="42"/>
        <v>0</v>
      </c>
    </row>
    <row r="208" spans="1:19">
      <c r="A208" s="102"/>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4">
        <f t="shared" si="42"/>
        <v>0</v>
      </c>
    </row>
    <row r="209" spans="1:19">
      <c r="A209" s="102"/>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4">
        <f t="shared" si="42"/>
        <v>0</v>
      </c>
    </row>
    <row r="210" spans="1:19">
      <c r="A210" s="102"/>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4">
        <f t="shared" si="42"/>
        <v>0</v>
      </c>
    </row>
    <row r="211" spans="1:19">
      <c r="A211" s="102"/>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4">
        <f t="shared" si="42"/>
        <v>0</v>
      </c>
    </row>
    <row r="212" spans="1:19">
      <c r="A212" s="102"/>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4">
        <f t="shared" si="42"/>
        <v>0</v>
      </c>
    </row>
    <row r="213" spans="1:19">
      <c r="A213" s="102"/>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4">
        <f t="shared" si="42"/>
        <v>0</v>
      </c>
    </row>
    <row r="214" spans="1:19">
      <c r="A214" s="102"/>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4">
        <f t="shared" si="42"/>
        <v>0</v>
      </c>
    </row>
    <row r="215" spans="1:19">
      <c r="A215" s="102"/>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4">
        <f t="shared" si="42"/>
        <v>0</v>
      </c>
    </row>
    <row r="216" spans="1:19">
      <c r="A216" s="102"/>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4">
        <f t="shared" si="42"/>
        <v>0</v>
      </c>
    </row>
    <row r="217" spans="1:19">
      <c r="A217" s="102"/>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4">
        <f t="shared" si="42"/>
        <v>0</v>
      </c>
    </row>
    <row r="218" spans="1:19">
      <c r="A218" s="102"/>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4">
        <f t="shared" si="42"/>
        <v>0</v>
      </c>
    </row>
    <row r="219" spans="1:19">
      <c r="A219" s="102"/>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4">
        <f t="shared" si="42"/>
        <v>0</v>
      </c>
    </row>
    <row r="220" spans="1:19">
      <c r="A220" s="102"/>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4">
        <f t="shared" si="42"/>
        <v>0</v>
      </c>
    </row>
    <row r="221" spans="1:19">
      <c r="A221" s="102"/>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4">
        <f t="shared" si="42"/>
        <v>0</v>
      </c>
    </row>
    <row r="222" spans="1:19">
      <c r="A222" s="102"/>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4">
        <f t="shared" si="42"/>
        <v>0</v>
      </c>
    </row>
    <row r="223" spans="1:19">
      <c r="A223" s="102"/>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4">
        <f t="shared" ref="S223:S286" si="52">ROUND(R223*B223/10000,0)</f>
        <v>0</v>
      </c>
    </row>
    <row r="224" spans="1:19">
      <c r="A224" s="102"/>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4">
        <f t="shared" si="52"/>
        <v>0</v>
      </c>
    </row>
    <row r="225" spans="1:19">
      <c r="A225" s="102"/>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4">
        <f t="shared" si="52"/>
        <v>0</v>
      </c>
    </row>
    <row r="226" spans="1:19">
      <c r="A226" s="102"/>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4">
        <f t="shared" si="52"/>
        <v>0</v>
      </c>
    </row>
    <row r="227" spans="1:19">
      <c r="A227" s="102"/>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4">
        <f t="shared" si="52"/>
        <v>0</v>
      </c>
    </row>
    <row r="228" spans="1:19">
      <c r="A228" s="102"/>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4">
        <f t="shared" si="52"/>
        <v>0</v>
      </c>
    </row>
    <row r="229" spans="1:19">
      <c r="A229" s="102"/>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4">
        <f t="shared" si="52"/>
        <v>0</v>
      </c>
    </row>
    <row r="230" spans="1:19">
      <c r="A230" s="102"/>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4">
        <f t="shared" si="52"/>
        <v>0</v>
      </c>
    </row>
    <row r="231" spans="1:19">
      <c r="A231" s="102"/>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4">
        <f t="shared" si="52"/>
        <v>0</v>
      </c>
    </row>
    <row r="232" spans="1:19">
      <c r="A232" s="102"/>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4">
        <f t="shared" si="52"/>
        <v>0</v>
      </c>
    </row>
    <row r="233" spans="1:19">
      <c r="A233" s="102"/>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4">
        <f t="shared" si="52"/>
        <v>0</v>
      </c>
    </row>
    <row r="234" spans="1:19">
      <c r="A234" s="102"/>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4">
        <f t="shared" si="52"/>
        <v>0</v>
      </c>
    </row>
    <row r="235" spans="1:19">
      <c r="A235" s="102"/>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4">
        <f t="shared" si="52"/>
        <v>0</v>
      </c>
    </row>
    <row r="236" spans="1:19">
      <c r="A236" s="102"/>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4">
        <f t="shared" si="52"/>
        <v>0</v>
      </c>
    </row>
    <row r="237" spans="1:19">
      <c r="A237" s="102"/>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4">
        <f t="shared" si="52"/>
        <v>0</v>
      </c>
    </row>
    <row r="238" spans="1:19">
      <c r="A238" s="102"/>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4">
        <f t="shared" si="52"/>
        <v>0</v>
      </c>
    </row>
    <row r="239" spans="1:19">
      <c r="A239" s="102"/>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4">
        <f t="shared" si="52"/>
        <v>0</v>
      </c>
    </row>
    <row r="240" spans="1:19">
      <c r="A240" s="102"/>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4">
        <f t="shared" si="52"/>
        <v>0</v>
      </c>
    </row>
    <row r="241" spans="1:19">
      <c r="A241" s="102"/>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4">
        <f t="shared" si="52"/>
        <v>0</v>
      </c>
    </row>
    <row r="242" spans="1:19">
      <c r="A242" s="102"/>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4">
        <f t="shared" si="52"/>
        <v>0</v>
      </c>
    </row>
    <row r="243" spans="1:19">
      <c r="A243" s="102"/>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4">
        <f t="shared" si="52"/>
        <v>0</v>
      </c>
    </row>
    <row r="244" spans="1:19">
      <c r="A244" s="102"/>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4">
        <f t="shared" si="52"/>
        <v>0</v>
      </c>
    </row>
    <row r="245" spans="1:19">
      <c r="A245" s="102"/>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4">
        <f t="shared" si="52"/>
        <v>0</v>
      </c>
    </row>
    <row r="246" spans="1:19">
      <c r="A246" s="102"/>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4">
        <f t="shared" si="52"/>
        <v>0</v>
      </c>
    </row>
    <row r="247" spans="1:19">
      <c r="A247" s="102"/>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4">
        <f t="shared" si="52"/>
        <v>0</v>
      </c>
    </row>
    <row r="248" spans="1:19">
      <c r="A248" s="102"/>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4">
        <f t="shared" si="52"/>
        <v>0</v>
      </c>
    </row>
    <row r="249" spans="1:19">
      <c r="A249" s="102"/>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4">
        <f t="shared" si="52"/>
        <v>0</v>
      </c>
    </row>
    <row r="250" spans="1:19">
      <c r="A250" s="102"/>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4">
        <f t="shared" si="52"/>
        <v>0</v>
      </c>
    </row>
    <row r="251" spans="1:19">
      <c r="A251" s="102"/>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4">
        <f t="shared" si="52"/>
        <v>0</v>
      </c>
    </row>
    <row r="252" spans="1:19">
      <c r="A252" s="102"/>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4">
        <f t="shared" si="52"/>
        <v>0</v>
      </c>
    </row>
    <row r="253" spans="1:19">
      <c r="A253" s="102"/>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4">
        <f t="shared" si="52"/>
        <v>0</v>
      </c>
    </row>
    <row r="254" spans="1:19">
      <c r="A254" s="102"/>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4">
        <f t="shared" si="52"/>
        <v>0</v>
      </c>
    </row>
    <row r="255" spans="1:19">
      <c r="A255" s="102"/>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4">
        <f t="shared" si="52"/>
        <v>0</v>
      </c>
    </row>
    <row r="256" spans="1:19">
      <c r="A256" s="102"/>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4">
        <f t="shared" si="52"/>
        <v>0</v>
      </c>
    </row>
    <row r="257" spans="1:19">
      <c r="A257" s="102"/>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4">
        <f t="shared" si="52"/>
        <v>0</v>
      </c>
    </row>
    <row r="258" spans="1:19">
      <c r="A258" s="102"/>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4">
        <f t="shared" si="52"/>
        <v>0</v>
      </c>
    </row>
    <row r="259" spans="1:19">
      <c r="A259" s="102"/>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4">
        <f t="shared" si="52"/>
        <v>0</v>
      </c>
    </row>
    <row r="260" spans="1:19">
      <c r="A260" s="102"/>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4">
        <f t="shared" si="52"/>
        <v>0</v>
      </c>
    </row>
    <row r="261" spans="1:19">
      <c r="A261" s="102"/>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4">
        <f t="shared" si="52"/>
        <v>0</v>
      </c>
    </row>
    <row r="262" spans="1:19">
      <c r="A262" s="102"/>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4">
        <f t="shared" si="52"/>
        <v>0</v>
      </c>
    </row>
    <row r="263" spans="1:19">
      <c r="A263" s="102"/>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4">
        <f t="shared" si="52"/>
        <v>0</v>
      </c>
    </row>
    <row r="264" spans="1:19">
      <c r="A264" s="102"/>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4">
        <f t="shared" si="52"/>
        <v>0</v>
      </c>
    </row>
    <row r="265" spans="1:19">
      <c r="A265" s="102"/>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4">
        <f t="shared" si="52"/>
        <v>0</v>
      </c>
    </row>
    <row r="266" spans="1:19">
      <c r="A266" s="102"/>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4">
        <f t="shared" si="52"/>
        <v>0</v>
      </c>
    </row>
    <row r="267" spans="1:19">
      <c r="A267" s="102"/>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4">
        <f t="shared" si="52"/>
        <v>0</v>
      </c>
    </row>
    <row r="268" spans="1:19">
      <c r="A268" s="102"/>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4">
        <f t="shared" si="52"/>
        <v>0</v>
      </c>
    </row>
    <row r="269" spans="1:19">
      <c r="A269" s="102"/>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4">
        <f t="shared" si="52"/>
        <v>0</v>
      </c>
    </row>
    <row r="270" spans="1:19">
      <c r="A270" s="102"/>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4">
        <f t="shared" si="52"/>
        <v>0</v>
      </c>
    </row>
    <row r="271" spans="1:19">
      <c r="A271" s="102"/>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4">
        <f t="shared" si="52"/>
        <v>0</v>
      </c>
    </row>
    <row r="272" spans="1:19">
      <c r="A272" s="102"/>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4">
        <f t="shared" si="52"/>
        <v>0</v>
      </c>
    </row>
    <row r="273" spans="1:19">
      <c r="A273" s="102"/>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4">
        <f t="shared" si="52"/>
        <v>0</v>
      </c>
    </row>
    <row r="274" spans="1:19">
      <c r="A274" s="102"/>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4">
        <f t="shared" si="52"/>
        <v>0</v>
      </c>
    </row>
    <row r="275" spans="1:19">
      <c r="A275" s="102"/>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4">
        <f t="shared" si="52"/>
        <v>0</v>
      </c>
    </row>
    <row r="276" spans="1:19">
      <c r="A276" s="102"/>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4">
        <f t="shared" si="52"/>
        <v>0</v>
      </c>
    </row>
    <row r="277" spans="1:19">
      <c r="A277" s="102"/>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4">
        <f t="shared" si="52"/>
        <v>0</v>
      </c>
    </row>
    <row r="278" spans="1:19">
      <c r="A278" s="102"/>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4">
        <f t="shared" si="52"/>
        <v>0</v>
      </c>
    </row>
    <row r="279" spans="1:19">
      <c r="A279" s="102"/>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4">
        <f t="shared" si="52"/>
        <v>0</v>
      </c>
    </row>
    <row r="280" spans="1:19">
      <c r="A280" s="102"/>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4">
        <f t="shared" si="52"/>
        <v>0</v>
      </c>
    </row>
    <row r="281" spans="1:19">
      <c r="A281" s="102"/>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4">
        <f t="shared" si="52"/>
        <v>0</v>
      </c>
    </row>
    <row r="282" spans="1:19">
      <c r="A282" s="102"/>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4">
        <f t="shared" si="52"/>
        <v>0</v>
      </c>
    </row>
    <row r="283" spans="1:19">
      <c r="A283" s="102"/>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4">
        <f t="shared" si="52"/>
        <v>0</v>
      </c>
    </row>
    <row r="284" spans="1:19">
      <c r="A284" s="102"/>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4">
        <f t="shared" si="52"/>
        <v>0</v>
      </c>
    </row>
    <row r="285" spans="1:19">
      <c r="A285" s="102"/>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4">
        <f t="shared" si="52"/>
        <v>0</v>
      </c>
    </row>
    <row r="286" spans="1:19">
      <c r="A286" s="102"/>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4">
        <f t="shared" si="52"/>
        <v>0</v>
      </c>
    </row>
    <row r="287" spans="1:19">
      <c r="A287" s="102"/>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4">
        <f t="shared" ref="S287:S320" si="62">ROUND(R287*B287/10000,0)</f>
        <v>0</v>
      </c>
    </row>
    <row r="288" spans="1:19">
      <c r="A288" s="102"/>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4">
        <f t="shared" si="62"/>
        <v>0</v>
      </c>
    </row>
    <row r="289" spans="1:19">
      <c r="A289" s="102"/>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4">
        <f t="shared" si="62"/>
        <v>0</v>
      </c>
    </row>
    <row r="290" spans="1:19">
      <c r="A290" s="102"/>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4">
        <f t="shared" si="62"/>
        <v>0</v>
      </c>
    </row>
    <row r="291" spans="1:19">
      <c r="A291" s="102"/>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4">
        <f t="shared" si="62"/>
        <v>0</v>
      </c>
    </row>
    <row r="292" spans="1:19">
      <c r="A292" s="102"/>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4">
        <f t="shared" si="62"/>
        <v>0</v>
      </c>
    </row>
    <row r="293" spans="1:19">
      <c r="A293" s="102"/>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4">
        <f t="shared" si="62"/>
        <v>0</v>
      </c>
    </row>
    <row r="294" spans="1:19">
      <c r="A294" s="102"/>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4">
        <f t="shared" si="62"/>
        <v>0</v>
      </c>
    </row>
    <row r="295" spans="1:19">
      <c r="A295" s="102"/>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4">
        <f t="shared" si="62"/>
        <v>0</v>
      </c>
    </row>
    <row r="296" spans="1:19">
      <c r="A296" s="102"/>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4">
        <f t="shared" si="62"/>
        <v>0</v>
      </c>
    </row>
    <row r="297" spans="1:19">
      <c r="A297" s="102"/>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4">
        <f t="shared" si="62"/>
        <v>0</v>
      </c>
    </row>
    <row r="298" spans="1:19">
      <c r="A298" s="102"/>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4">
        <f t="shared" si="62"/>
        <v>0</v>
      </c>
    </row>
    <row r="299" spans="1:19">
      <c r="A299" s="102"/>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4">
        <f t="shared" si="62"/>
        <v>0</v>
      </c>
    </row>
    <row r="300" spans="1:19">
      <c r="A300" s="102"/>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4">
        <f t="shared" si="62"/>
        <v>0</v>
      </c>
    </row>
    <row r="301" spans="1:19">
      <c r="A301" s="102"/>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4">
        <f t="shared" si="62"/>
        <v>0</v>
      </c>
    </row>
    <row r="302" spans="1:19">
      <c r="A302" s="102"/>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4">
        <f t="shared" si="62"/>
        <v>0</v>
      </c>
    </row>
    <row r="303" spans="1:19">
      <c r="A303" s="102"/>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4">
        <f t="shared" si="62"/>
        <v>0</v>
      </c>
    </row>
    <row r="304" spans="1:19">
      <c r="A304" s="102"/>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4">
        <f t="shared" si="62"/>
        <v>0</v>
      </c>
    </row>
    <row r="305" spans="1:19">
      <c r="A305" s="102"/>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4">
        <f t="shared" si="62"/>
        <v>0</v>
      </c>
    </row>
    <row r="306" spans="1:19">
      <c r="A306" s="102"/>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4">
        <f t="shared" si="62"/>
        <v>0</v>
      </c>
    </row>
    <row r="307" spans="1:19">
      <c r="A307" s="102"/>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4">
        <f t="shared" si="62"/>
        <v>0</v>
      </c>
    </row>
    <row r="308" spans="1:19">
      <c r="A308" s="102"/>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4">
        <f t="shared" si="62"/>
        <v>0</v>
      </c>
    </row>
    <row r="309" spans="1:19">
      <c r="A309" s="102"/>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4">
        <f t="shared" si="62"/>
        <v>0</v>
      </c>
    </row>
    <row r="310" spans="1:19">
      <c r="A310" s="102"/>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4">
        <f t="shared" si="62"/>
        <v>0</v>
      </c>
    </row>
    <row r="311" spans="1:19">
      <c r="A311" s="102"/>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4">
        <f t="shared" si="62"/>
        <v>0</v>
      </c>
    </row>
    <row r="312" spans="1:19">
      <c r="A312" s="102"/>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4">
        <f t="shared" si="62"/>
        <v>0</v>
      </c>
    </row>
    <row r="313" spans="1:19">
      <c r="A313" s="102"/>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4">
        <f t="shared" si="62"/>
        <v>0</v>
      </c>
    </row>
    <row r="314" spans="1:19">
      <c r="A314" s="102"/>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4">
        <f t="shared" si="62"/>
        <v>0</v>
      </c>
    </row>
    <row r="315" spans="1:19">
      <c r="A315" s="102"/>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4">
        <f t="shared" si="62"/>
        <v>0</v>
      </c>
    </row>
    <row r="316" spans="1:19">
      <c r="A316" s="102"/>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4">
        <f t="shared" si="62"/>
        <v>0</v>
      </c>
    </row>
    <row r="317" spans="1:19">
      <c r="A317" s="102"/>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4">
        <f t="shared" si="62"/>
        <v>0</v>
      </c>
    </row>
    <row r="318" spans="1:19">
      <c r="A318" s="102"/>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4">
        <f t="shared" si="62"/>
        <v>0</v>
      </c>
    </row>
    <row r="319" spans="1:19">
      <c r="A319" s="102"/>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4">
        <f t="shared" si="62"/>
        <v>0</v>
      </c>
    </row>
    <row r="320" spans="1:19">
      <c r="A320" s="102"/>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4">
        <f t="shared" si="62"/>
        <v>0</v>
      </c>
    </row>
    <row r="321" spans="1:19">
      <c r="A321" s="102"/>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4">
        <f t="shared" ref="S321:S384" si="63">ROUND(R321*B321/10000,0)</f>
        <v>0</v>
      </c>
    </row>
    <row r="322" spans="1:19">
      <c r="A322" s="102"/>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4">
        <f t="shared" si="63"/>
        <v>0</v>
      </c>
    </row>
    <row r="323" spans="1:19">
      <c r="A323" s="102"/>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4">
        <f t="shared" si="63"/>
        <v>0</v>
      </c>
    </row>
    <row r="324" spans="1:19">
      <c r="A324" s="102"/>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4">
        <f t="shared" si="63"/>
        <v>0</v>
      </c>
    </row>
    <row r="325" spans="1:19">
      <c r="A325" s="102"/>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4">
        <f t="shared" si="63"/>
        <v>0</v>
      </c>
    </row>
    <row r="326" spans="1:19">
      <c r="A326" s="102"/>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4">
        <f t="shared" si="63"/>
        <v>0</v>
      </c>
    </row>
    <row r="327" spans="1:19">
      <c r="A327" s="102"/>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4">
        <f t="shared" si="63"/>
        <v>0</v>
      </c>
    </row>
    <row r="328" spans="1:19">
      <c r="A328" s="102"/>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4">
        <f t="shared" si="63"/>
        <v>0</v>
      </c>
    </row>
    <row r="329" spans="1:19">
      <c r="A329" s="102"/>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4">
        <f t="shared" si="63"/>
        <v>0</v>
      </c>
    </row>
    <row r="330" spans="1:19">
      <c r="A330" s="102"/>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4">
        <f t="shared" si="63"/>
        <v>0</v>
      </c>
    </row>
    <row r="331" spans="1:19">
      <c r="A331" s="102"/>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4">
        <f t="shared" si="63"/>
        <v>0</v>
      </c>
    </row>
    <row r="332" spans="1:19">
      <c r="A332" s="102"/>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4">
        <f t="shared" si="63"/>
        <v>0</v>
      </c>
    </row>
    <row r="333" spans="1:19">
      <c r="A333" s="102"/>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4">
        <f t="shared" si="63"/>
        <v>0</v>
      </c>
    </row>
    <row r="334" spans="1:19">
      <c r="A334" s="102"/>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4">
        <f t="shared" si="63"/>
        <v>0</v>
      </c>
    </row>
    <row r="335" spans="1:19">
      <c r="A335" s="102"/>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4">
        <f t="shared" si="63"/>
        <v>0</v>
      </c>
    </row>
    <row r="336" spans="1:19">
      <c r="A336" s="102"/>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4">
        <f t="shared" si="63"/>
        <v>0</v>
      </c>
    </row>
    <row r="337" spans="1:19">
      <c r="A337" s="102"/>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4">
        <f t="shared" si="63"/>
        <v>0</v>
      </c>
    </row>
    <row r="338" spans="1:19">
      <c r="A338" s="102"/>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4">
        <f t="shared" si="63"/>
        <v>0</v>
      </c>
    </row>
    <row r="339" spans="1:19">
      <c r="A339" s="102"/>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4">
        <f t="shared" si="63"/>
        <v>0</v>
      </c>
    </row>
    <row r="340" spans="1:19">
      <c r="A340" s="102"/>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4">
        <f t="shared" si="63"/>
        <v>0</v>
      </c>
    </row>
    <row r="341" spans="1:19">
      <c r="A341" s="102"/>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4">
        <f t="shared" si="63"/>
        <v>0</v>
      </c>
    </row>
    <row r="342" spans="1:19">
      <c r="A342" s="102"/>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4">
        <f t="shared" si="63"/>
        <v>0</v>
      </c>
    </row>
    <row r="343" spans="1:19">
      <c r="A343" s="102"/>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4">
        <f t="shared" si="63"/>
        <v>0</v>
      </c>
    </row>
    <row r="344" spans="1:19">
      <c r="A344" s="102"/>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4">
        <f t="shared" si="63"/>
        <v>0</v>
      </c>
    </row>
    <row r="345" spans="1:19">
      <c r="A345" s="102"/>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4">
        <f t="shared" si="63"/>
        <v>0</v>
      </c>
    </row>
    <row r="346" spans="1:19">
      <c r="A346" s="102"/>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4">
        <f t="shared" si="63"/>
        <v>0</v>
      </c>
    </row>
    <row r="347" spans="1:19">
      <c r="A347" s="102"/>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4">
        <f t="shared" si="63"/>
        <v>0</v>
      </c>
    </row>
    <row r="348" spans="1:19">
      <c r="A348" s="102"/>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4">
        <f t="shared" si="63"/>
        <v>0</v>
      </c>
    </row>
    <row r="349" spans="1:19">
      <c r="A349" s="102"/>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4">
        <f t="shared" si="63"/>
        <v>0</v>
      </c>
    </row>
    <row r="350" spans="1:19">
      <c r="A350" s="102"/>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4">
        <f t="shared" si="63"/>
        <v>0</v>
      </c>
    </row>
    <row r="351" spans="1:19">
      <c r="A351" s="102"/>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4">
        <f t="shared" si="63"/>
        <v>0</v>
      </c>
    </row>
    <row r="352" spans="1:19">
      <c r="A352" s="102"/>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4">
        <f t="shared" si="63"/>
        <v>0</v>
      </c>
    </row>
    <row r="353" spans="1:19">
      <c r="A353" s="102"/>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4">
        <f t="shared" si="63"/>
        <v>0</v>
      </c>
    </row>
    <row r="354" spans="1:19">
      <c r="A354" s="102"/>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4">
        <f t="shared" si="63"/>
        <v>0</v>
      </c>
    </row>
    <row r="355" spans="1:19">
      <c r="A355" s="102"/>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4">
        <f t="shared" si="63"/>
        <v>0</v>
      </c>
    </row>
    <row r="356" spans="1:19">
      <c r="A356" s="102"/>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4">
        <f t="shared" si="63"/>
        <v>0</v>
      </c>
    </row>
    <row r="357" spans="1:19">
      <c r="A357" s="102"/>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4">
        <f t="shared" si="63"/>
        <v>0</v>
      </c>
    </row>
    <row r="358" spans="1:19">
      <c r="A358" s="102"/>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4">
        <f t="shared" si="63"/>
        <v>0</v>
      </c>
    </row>
    <row r="359" spans="1:19">
      <c r="A359" s="102"/>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4">
        <f t="shared" si="63"/>
        <v>0</v>
      </c>
    </row>
    <row r="360" spans="1:19">
      <c r="A360" s="102"/>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4">
        <f t="shared" si="63"/>
        <v>0</v>
      </c>
    </row>
    <row r="361" spans="1:19">
      <c r="A361" s="102"/>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4">
        <f t="shared" si="63"/>
        <v>0</v>
      </c>
    </row>
    <row r="362" spans="1:19">
      <c r="A362" s="102"/>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4">
        <f t="shared" si="63"/>
        <v>0</v>
      </c>
    </row>
    <row r="363" spans="1:19">
      <c r="A363" s="102"/>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4">
        <f t="shared" si="63"/>
        <v>0</v>
      </c>
    </row>
    <row r="364" spans="1:19">
      <c r="A364" s="102"/>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4">
        <f t="shared" si="63"/>
        <v>0</v>
      </c>
    </row>
    <row r="365" spans="1:19">
      <c r="A365" s="102"/>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4">
        <f t="shared" si="63"/>
        <v>0</v>
      </c>
    </row>
    <row r="366" spans="1:19">
      <c r="A366" s="102"/>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4">
        <f t="shared" si="63"/>
        <v>0</v>
      </c>
    </row>
    <row r="367" spans="1:19">
      <c r="A367" s="102"/>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4">
        <f t="shared" si="63"/>
        <v>0</v>
      </c>
    </row>
    <row r="368" spans="1:19">
      <c r="A368" s="102"/>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4">
        <f t="shared" si="63"/>
        <v>0</v>
      </c>
    </row>
    <row r="369" spans="1:19">
      <c r="A369" s="102"/>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4">
        <f t="shared" si="63"/>
        <v>0</v>
      </c>
    </row>
    <row r="370" spans="1:19">
      <c r="A370" s="102"/>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4">
        <f t="shared" si="63"/>
        <v>0</v>
      </c>
    </row>
    <row r="371" spans="1:19">
      <c r="A371" s="102"/>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4">
        <f t="shared" si="63"/>
        <v>0</v>
      </c>
    </row>
    <row r="372" spans="1:19">
      <c r="A372" s="102"/>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4">
        <f t="shared" si="63"/>
        <v>0</v>
      </c>
    </row>
    <row r="373" spans="1:19">
      <c r="A373" s="102"/>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4">
        <f t="shared" si="63"/>
        <v>0</v>
      </c>
    </row>
    <row r="374" spans="1:19">
      <c r="A374" s="102"/>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4">
        <f t="shared" si="63"/>
        <v>0</v>
      </c>
    </row>
    <row r="375" spans="1:19">
      <c r="A375" s="102"/>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4">
        <f t="shared" si="63"/>
        <v>0</v>
      </c>
    </row>
    <row r="376" spans="1:19">
      <c r="A376" s="102"/>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4">
        <f t="shared" si="63"/>
        <v>0</v>
      </c>
    </row>
    <row r="377" spans="1:19">
      <c r="A377" s="102"/>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4">
        <f t="shared" si="63"/>
        <v>0</v>
      </c>
    </row>
    <row r="378" spans="1:19">
      <c r="A378" s="102"/>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4">
        <f t="shared" si="63"/>
        <v>0</v>
      </c>
    </row>
    <row r="379" spans="1:19">
      <c r="A379" s="102"/>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4">
        <f t="shared" si="63"/>
        <v>0</v>
      </c>
    </row>
    <row r="380" spans="1:19">
      <c r="A380" s="102"/>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4">
        <f t="shared" si="63"/>
        <v>0</v>
      </c>
    </row>
    <row r="381" spans="1:19">
      <c r="A381" s="102"/>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4">
        <f t="shared" si="63"/>
        <v>0</v>
      </c>
    </row>
    <row r="382" spans="1:19">
      <c r="A382" s="102"/>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4">
        <f t="shared" si="63"/>
        <v>0</v>
      </c>
    </row>
    <row r="383" spans="1:19">
      <c r="A383" s="102"/>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4">
        <f t="shared" si="63"/>
        <v>0</v>
      </c>
    </row>
    <row r="384" spans="1:19">
      <c r="A384" s="102"/>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4">
        <f t="shared" si="63"/>
        <v>0</v>
      </c>
    </row>
    <row r="385" spans="1:19">
      <c r="A385" s="102"/>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4">
        <f t="shared" ref="S385:S422" si="73">ROUND(R385*B385/10000,0)</f>
        <v>0</v>
      </c>
    </row>
    <row r="386" spans="1:19">
      <c r="A386" s="102"/>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4">
        <f t="shared" si="73"/>
        <v>0</v>
      </c>
    </row>
    <row r="387" spans="1:19">
      <c r="A387" s="102"/>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4">
        <f t="shared" si="73"/>
        <v>0</v>
      </c>
    </row>
    <row r="388" spans="1:19">
      <c r="A388" s="102"/>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4">
        <f t="shared" si="73"/>
        <v>0</v>
      </c>
    </row>
    <row r="389" spans="1:19">
      <c r="A389" s="102"/>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4">
        <f t="shared" si="73"/>
        <v>0</v>
      </c>
    </row>
    <row r="390" spans="1:19">
      <c r="A390" s="102"/>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4">
        <f t="shared" si="73"/>
        <v>0</v>
      </c>
    </row>
    <row r="391" spans="1:19">
      <c r="A391" s="102"/>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4">
        <f t="shared" si="73"/>
        <v>0</v>
      </c>
    </row>
    <row r="392" spans="1:19">
      <c r="A392" s="102"/>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4">
        <f t="shared" si="73"/>
        <v>0</v>
      </c>
    </row>
    <row r="393" spans="1:19">
      <c r="A393" s="102"/>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4">
        <f t="shared" si="73"/>
        <v>0</v>
      </c>
    </row>
    <row r="394" spans="1:19">
      <c r="A394" s="102"/>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4">
        <f t="shared" si="73"/>
        <v>0</v>
      </c>
    </row>
    <row r="395" spans="1:19">
      <c r="A395" s="102"/>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4">
        <f t="shared" si="73"/>
        <v>0</v>
      </c>
    </row>
    <row r="396" spans="1:19">
      <c r="A396" s="102"/>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4">
        <f t="shared" si="73"/>
        <v>0</v>
      </c>
    </row>
    <row r="397" spans="1:19">
      <c r="A397" s="102"/>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4">
        <f t="shared" si="73"/>
        <v>0</v>
      </c>
    </row>
    <row r="398" spans="1:19">
      <c r="A398" s="102"/>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4">
        <f t="shared" si="73"/>
        <v>0</v>
      </c>
    </row>
    <row r="399" spans="1:19">
      <c r="A399" s="102"/>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4">
        <f t="shared" si="73"/>
        <v>0</v>
      </c>
    </row>
    <row r="400" spans="1:19">
      <c r="A400" s="102"/>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4">
        <f t="shared" si="73"/>
        <v>0</v>
      </c>
    </row>
    <row r="401" spans="1:19">
      <c r="A401" s="102"/>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4">
        <f t="shared" si="73"/>
        <v>0</v>
      </c>
    </row>
    <row r="402" spans="1:19">
      <c r="A402" s="102"/>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4">
        <f t="shared" si="73"/>
        <v>0</v>
      </c>
    </row>
    <row r="403" spans="1:19">
      <c r="A403" s="102"/>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4">
        <f t="shared" si="73"/>
        <v>0</v>
      </c>
    </row>
    <row r="404" spans="1:19">
      <c r="A404" s="102"/>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4">
        <f t="shared" si="73"/>
        <v>0</v>
      </c>
    </row>
    <row r="405" spans="1:19">
      <c r="A405" s="102"/>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4">
        <f t="shared" si="73"/>
        <v>0</v>
      </c>
    </row>
    <row r="406" spans="1:19">
      <c r="A406" s="102"/>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4">
        <f t="shared" si="73"/>
        <v>0</v>
      </c>
    </row>
    <row r="407" spans="1:19">
      <c r="A407" s="102"/>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4">
        <f t="shared" si="73"/>
        <v>0</v>
      </c>
    </row>
    <row r="408" spans="1:19">
      <c r="A408" s="102"/>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4">
        <f t="shared" si="73"/>
        <v>0</v>
      </c>
    </row>
    <row r="409" spans="1:19">
      <c r="A409" s="102"/>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4">
        <f t="shared" si="73"/>
        <v>0</v>
      </c>
    </row>
    <row r="410" spans="1:19">
      <c r="A410" s="102"/>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4">
        <f t="shared" si="73"/>
        <v>0</v>
      </c>
    </row>
    <row r="411" spans="1:19">
      <c r="A411" s="102"/>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4">
        <f t="shared" si="73"/>
        <v>0</v>
      </c>
    </row>
    <row r="412" spans="1:19">
      <c r="A412" s="102"/>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4">
        <f t="shared" si="73"/>
        <v>0</v>
      </c>
    </row>
    <row r="413" spans="1:19">
      <c r="A413" s="102"/>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4">
        <f t="shared" si="73"/>
        <v>0</v>
      </c>
    </row>
    <row r="414" spans="1:19">
      <c r="A414" s="102"/>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4">
        <f t="shared" si="73"/>
        <v>0</v>
      </c>
    </row>
    <row r="415" spans="1:19">
      <c r="A415" s="102"/>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4">
        <f t="shared" si="73"/>
        <v>0</v>
      </c>
    </row>
    <row r="416" spans="1:19">
      <c r="A416" s="102"/>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4">
        <f t="shared" si="73"/>
        <v>0</v>
      </c>
    </row>
    <row r="417" spans="1:19">
      <c r="A417" s="102"/>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4">
        <f t="shared" si="73"/>
        <v>0</v>
      </c>
    </row>
    <row r="418" spans="1:19">
      <c r="A418" s="102"/>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4">
        <f t="shared" si="73"/>
        <v>0</v>
      </c>
    </row>
    <row r="419" spans="1:19">
      <c r="A419" s="102"/>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4">
        <f t="shared" si="73"/>
        <v>0</v>
      </c>
    </row>
    <row r="420" spans="1:19">
      <c r="A420" s="102"/>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4">
        <f t="shared" si="73"/>
        <v>0</v>
      </c>
    </row>
    <row r="421" spans="1:19">
      <c r="A421" s="102"/>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4">
        <f t="shared" si="73"/>
        <v>0</v>
      </c>
    </row>
    <row r="422" spans="1:19">
      <c r="A422" s="102"/>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4">
        <f t="shared" si="73"/>
        <v>0</v>
      </c>
    </row>
    <row r="423" spans="1:19">
      <c r="A423" s="102"/>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4">
        <f t="shared" ref="S423:S467" si="83">ROUND(R423*B423/10000,0)</f>
        <v>0</v>
      </c>
    </row>
    <row r="424" spans="1:19">
      <c r="A424" s="102"/>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4">
        <f t="shared" si="83"/>
        <v>0</v>
      </c>
    </row>
    <row r="425" spans="1:19">
      <c r="A425" s="102"/>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4">
        <f t="shared" si="83"/>
        <v>0</v>
      </c>
    </row>
    <row r="426" spans="1:19">
      <c r="A426" s="102"/>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4">
        <f t="shared" si="83"/>
        <v>0</v>
      </c>
    </row>
    <row r="427" spans="1:19">
      <c r="A427" s="102"/>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4">
        <f t="shared" si="83"/>
        <v>0</v>
      </c>
    </row>
    <row r="428" spans="1:19">
      <c r="A428" s="102"/>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4">
        <f t="shared" si="83"/>
        <v>0</v>
      </c>
    </row>
    <row r="429" spans="1:19">
      <c r="A429" s="102"/>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4">
        <f t="shared" si="83"/>
        <v>0</v>
      </c>
    </row>
    <row r="430" spans="1:19">
      <c r="A430" s="102"/>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4">
        <f t="shared" si="83"/>
        <v>0</v>
      </c>
    </row>
    <row r="431" spans="1:19">
      <c r="A431" s="102"/>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4">
        <f t="shared" si="83"/>
        <v>0</v>
      </c>
    </row>
    <row r="432" spans="1:19">
      <c r="A432" s="102"/>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4">
        <f t="shared" si="83"/>
        <v>0</v>
      </c>
    </row>
    <row r="433" spans="1:19">
      <c r="A433" s="102"/>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4">
        <f t="shared" si="83"/>
        <v>0</v>
      </c>
    </row>
    <row r="434" spans="1:19">
      <c r="A434" s="102"/>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4">
        <f t="shared" si="83"/>
        <v>0</v>
      </c>
    </row>
    <row r="435" spans="1:19">
      <c r="A435" s="102"/>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4">
        <f t="shared" si="83"/>
        <v>0</v>
      </c>
    </row>
    <row r="436" spans="1:19">
      <c r="A436" s="102"/>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4">
        <f t="shared" si="83"/>
        <v>0</v>
      </c>
    </row>
    <row r="437" spans="1:19">
      <c r="A437" s="102"/>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4">
        <f t="shared" si="83"/>
        <v>0</v>
      </c>
    </row>
    <row r="438" spans="1:19">
      <c r="A438" s="102"/>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4">
        <f t="shared" si="83"/>
        <v>0</v>
      </c>
    </row>
    <row r="439" spans="1:19">
      <c r="A439" s="102"/>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4">
        <f t="shared" si="83"/>
        <v>0</v>
      </c>
    </row>
    <row r="440" spans="1:19">
      <c r="A440" s="102"/>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4">
        <f t="shared" si="83"/>
        <v>0</v>
      </c>
    </row>
    <row r="441" spans="1:19">
      <c r="A441" s="102"/>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4">
        <f t="shared" si="83"/>
        <v>0</v>
      </c>
    </row>
    <row r="442" spans="1:19">
      <c r="A442" s="102"/>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4">
        <f t="shared" si="83"/>
        <v>0</v>
      </c>
    </row>
    <row r="443" spans="1:19">
      <c r="A443" s="102"/>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4">
        <f t="shared" si="83"/>
        <v>0</v>
      </c>
    </row>
    <row r="444" spans="1:19">
      <c r="A444" s="102"/>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4">
        <f t="shared" si="83"/>
        <v>0</v>
      </c>
    </row>
    <row r="445" spans="1:19">
      <c r="A445" s="102"/>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4">
        <f t="shared" si="83"/>
        <v>0</v>
      </c>
    </row>
    <row r="446" spans="1:19">
      <c r="A446" s="102"/>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4">
        <f t="shared" si="83"/>
        <v>0</v>
      </c>
    </row>
    <row r="447" spans="1:19">
      <c r="A447" s="102"/>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4">
        <f t="shared" si="83"/>
        <v>0</v>
      </c>
    </row>
    <row r="448" spans="1:19">
      <c r="A448" s="102"/>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4">
        <f t="shared" si="83"/>
        <v>0</v>
      </c>
    </row>
    <row r="449" spans="1:19">
      <c r="A449" s="102"/>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4">
        <f t="shared" si="83"/>
        <v>0</v>
      </c>
    </row>
    <row r="450" spans="1:19">
      <c r="A450" s="102"/>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4">
        <f t="shared" si="83"/>
        <v>0</v>
      </c>
    </row>
    <row r="451" spans="1:19">
      <c r="A451" s="102"/>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4">
        <f t="shared" si="83"/>
        <v>0</v>
      </c>
    </row>
    <row r="452" spans="1:19">
      <c r="A452" s="102"/>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4">
        <f t="shared" si="83"/>
        <v>0</v>
      </c>
    </row>
    <row r="453" spans="1:19">
      <c r="A453" s="102"/>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4">
        <f t="shared" si="83"/>
        <v>0</v>
      </c>
    </row>
    <row r="454" spans="1:19">
      <c r="A454" s="102"/>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4">
        <f t="shared" si="83"/>
        <v>0</v>
      </c>
    </row>
    <row r="455" spans="1:19">
      <c r="A455" s="102"/>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4">
        <f t="shared" si="83"/>
        <v>0</v>
      </c>
    </row>
    <row r="456" spans="1:19">
      <c r="A456" s="102"/>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4">
        <f t="shared" si="83"/>
        <v>0</v>
      </c>
    </row>
    <row r="457" spans="1:19">
      <c r="A457" s="102"/>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4">
        <f t="shared" si="83"/>
        <v>0</v>
      </c>
    </row>
    <row r="458" spans="1:19">
      <c r="A458" s="102"/>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4">
        <f t="shared" si="83"/>
        <v>0</v>
      </c>
    </row>
    <row r="459" spans="1:19">
      <c r="A459" s="102"/>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4">
        <f t="shared" si="83"/>
        <v>0</v>
      </c>
    </row>
    <row r="460" spans="1:19">
      <c r="A460" s="102"/>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4">
        <f t="shared" si="83"/>
        <v>0</v>
      </c>
    </row>
    <row r="461" spans="1:19">
      <c r="A461" s="102"/>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4">
        <f t="shared" si="83"/>
        <v>0</v>
      </c>
    </row>
    <row r="462" spans="1:19">
      <c r="A462" s="102"/>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4">
        <f t="shared" si="83"/>
        <v>0</v>
      </c>
    </row>
    <row r="463" spans="1:19">
      <c r="A463" s="102"/>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4">
        <f t="shared" si="83"/>
        <v>0</v>
      </c>
    </row>
    <row r="464" spans="1:19">
      <c r="A464" s="102"/>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4">
        <f t="shared" si="83"/>
        <v>0</v>
      </c>
    </row>
    <row r="465" spans="1:19">
      <c r="A465" s="102"/>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4">
        <f t="shared" si="83"/>
        <v>0</v>
      </c>
    </row>
    <row r="466" spans="1:19">
      <c r="A466" s="102"/>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4">
        <f t="shared" si="83"/>
        <v>0</v>
      </c>
    </row>
    <row r="467" spans="1:19">
      <c r="A467" s="102"/>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4">
        <f t="shared" si="83"/>
        <v>0</v>
      </c>
    </row>
    <row r="468" spans="1:19">
      <c r="A468" s="102"/>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4">
        <f t="shared" ref="S468:S497" si="84">ROUND(R468*B468/10000,0)</f>
        <v>0</v>
      </c>
    </row>
    <row r="469" spans="1:19">
      <c r="A469" s="102"/>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4">
        <f t="shared" si="84"/>
        <v>0</v>
      </c>
    </row>
    <row r="470" spans="1:19">
      <c r="A470" s="102"/>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4">
        <f t="shared" si="84"/>
        <v>0</v>
      </c>
    </row>
    <row r="471" spans="1:19">
      <c r="A471" s="102"/>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4">
        <f t="shared" si="84"/>
        <v>0</v>
      </c>
    </row>
    <row r="472" spans="1:19">
      <c r="A472" s="102"/>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4">
        <f t="shared" si="84"/>
        <v>0</v>
      </c>
    </row>
    <row r="473" spans="1:19">
      <c r="A473" s="102"/>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4">
        <f t="shared" si="84"/>
        <v>0</v>
      </c>
    </row>
    <row r="474" spans="1:19">
      <c r="A474" s="102"/>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4">
        <f t="shared" si="84"/>
        <v>0</v>
      </c>
    </row>
    <row r="475" spans="1:19">
      <c r="A475" s="102"/>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4">
        <f t="shared" si="84"/>
        <v>0</v>
      </c>
    </row>
    <row r="476" spans="1:19">
      <c r="A476" s="102"/>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4">
        <f t="shared" si="84"/>
        <v>0</v>
      </c>
    </row>
    <row r="477" spans="1:19">
      <c r="A477" s="102"/>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4">
        <f t="shared" si="84"/>
        <v>0</v>
      </c>
    </row>
    <row r="478" spans="1:19">
      <c r="A478" s="102"/>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4">
        <f t="shared" si="84"/>
        <v>0</v>
      </c>
    </row>
    <row r="479" spans="1:19">
      <c r="A479" s="102"/>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4">
        <f t="shared" si="84"/>
        <v>0</v>
      </c>
    </row>
    <row r="480" spans="1:19">
      <c r="A480" s="102"/>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4">
        <f t="shared" si="84"/>
        <v>0</v>
      </c>
    </row>
    <row r="481" spans="1:19">
      <c r="A481" s="102"/>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4">
        <f t="shared" si="84"/>
        <v>0</v>
      </c>
    </row>
    <row r="482" spans="1:19">
      <c r="A482" s="102"/>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4">
        <f t="shared" si="84"/>
        <v>0</v>
      </c>
    </row>
    <row r="483" spans="1:19">
      <c r="A483" s="102"/>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4">
        <f t="shared" si="84"/>
        <v>0</v>
      </c>
    </row>
    <row r="484" spans="1:19">
      <c r="A484" s="102"/>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4">
        <f t="shared" si="84"/>
        <v>0</v>
      </c>
    </row>
    <row r="485" spans="1:19">
      <c r="A485" s="102"/>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4">
        <f t="shared" si="84"/>
        <v>0</v>
      </c>
    </row>
    <row r="486" spans="1:19">
      <c r="A486" s="102"/>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4">
        <f t="shared" si="84"/>
        <v>0</v>
      </c>
    </row>
    <row r="487" spans="1:19">
      <c r="A487" s="102"/>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4">
        <f t="shared" si="84"/>
        <v>0</v>
      </c>
    </row>
    <row r="488" spans="1:19">
      <c r="A488" s="102"/>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4">
        <f t="shared" si="84"/>
        <v>0</v>
      </c>
    </row>
    <row r="489" spans="1:19">
      <c r="A489" s="102"/>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4">
        <f t="shared" si="84"/>
        <v>0</v>
      </c>
    </row>
    <row r="490" spans="1:19">
      <c r="A490" s="102"/>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4">
        <f t="shared" si="84"/>
        <v>0</v>
      </c>
    </row>
    <row r="491" spans="1:19">
      <c r="A491" s="102"/>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4">
        <f t="shared" si="84"/>
        <v>0</v>
      </c>
    </row>
    <row r="492" spans="1:19">
      <c r="A492" s="102"/>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4">
        <f t="shared" si="84"/>
        <v>0</v>
      </c>
    </row>
    <row r="493" spans="1:19">
      <c r="A493" s="102"/>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4">
        <f t="shared" si="84"/>
        <v>0</v>
      </c>
    </row>
    <row r="494" spans="1:19">
      <c r="A494" s="102"/>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4">
        <f t="shared" si="84"/>
        <v>0</v>
      </c>
    </row>
    <row r="495" spans="1:19">
      <c r="A495" s="102"/>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4">
        <f t="shared" si="84"/>
        <v>0</v>
      </c>
    </row>
    <row r="496" spans="1:19">
      <c r="A496" s="102"/>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4">
        <f t="shared" si="84"/>
        <v>0</v>
      </c>
    </row>
    <row r="497" spans="1:19">
      <c r="A497" s="102"/>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4">
        <f t="shared" si="84"/>
        <v>0</v>
      </c>
    </row>
    <row r="498" spans="1:19">
      <c r="A498" s="102"/>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4">
        <f t="shared" ref="S498:S524" si="94">ROUND(R498*B498/10000,0)</f>
        <v>0</v>
      </c>
    </row>
    <row r="499" spans="1:19">
      <c r="A499" s="102"/>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4">
        <f t="shared" si="94"/>
        <v>0</v>
      </c>
    </row>
    <row r="500" spans="1:19">
      <c r="A500" s="102"/>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4">
        <f t="shared" si="94"/>
        <v>0</v>
      </c>
    </row>
    <row r="501" spans="1:19">
      <c r="A501" s="102"/>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4">
        <f t="shared" si="94"/>
        <v>0</v>
      </c>
    </row>
    <row r="502" spans="1:19">
      <c r="A502" s="102"/>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4">
        <f t="shared" si="94"/>
        <v>0</v>
      </c>
    </row>
    <row r="503" spans="1:19">
      <c r="A503" s="102"/>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4">
        <f t="shared" si="94"/>
        <v>0</v>
      </c>
    </row>
    <row r="504" spans="1:19">
      <c r="A504" s="102"/>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4">
        <f t="shared" si="94"/>
        <v>0</v>
      </c>
    </row>
    <row r="505" spans="1:19">
      <c r="A505" s="102"/>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4">
        <f t="shared" si="94"/>
        <v>0</v>
      </c>
    </row>
    <row r="506" spans="1:19">
      <c r="A506" s="102"/>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4">
        <f t="shared" si="94"/>
        <v>0</v>
      </c>
    </row>
    <row r="507" spans="1:19">
      <c r="A507" s="102"/>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4">
        <f t="shared" si="94"/>
        <v>0</v>
      </c>
    </row>
    <row r="508" spans="1:19">
      <c r="A508" s="102"/>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4">
        <f t="shared" si="94"/>
        <v>0</v>
      </c>
    </row>
    <row r="509" spans="1:19">
      <c r="A509" s="102"/>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4">
        <f t="shared" si="94"/>
        <v>0</v>
      </c>
    </row>
    <row r="510" spans="1:19">
      <c r="A510" s="102"/>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4">
        <f t="shared" si="94"/>
        <v>0</v>
      </c>
    </row>
    <row r="511" spans="1:19">
      <c r="A511" s="102"/>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4">
        <f t="shared" si="94"/>
        <v>0</v>
      </c>
    </row>
    <row r="512" spans="1:19">
      <c r="A512" s="102"/>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4">
        <f t="shared" si="94"/>
        <v>0</v>
      </c>
    </row>
    <row r="513" spans="1:19">
      <c r="A513" s="102"/>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4">
        <f t="shared" si="94"/>
        <v>0</v>
      </c>
    </row>
    <row r="514" spans="1:19">
      <c r="A514" s="102"/>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4">
        <f t="shared" si="94"/>
        <v>0</v>
      </c>
    </row>
    <row r="515" spans="1:19">
      <c r="A515" s="102"/>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4">
        <f t="shared" si="94"/>
        <v>0</v>
      </c>
    </row>
    <row r="516" spans="1:19">
      <c r="A516" s="102"/>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4">
        <f t="shared" si="94"/>
        <v>0</v>
      </c>
    </row>
    <row r="517" spans="1:19">
      <c r="A517" s="102"/>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4">
        <f t="shared" si="94"/>
        <v>0</v>
      </c>
    </row>
    <row r="518" spans="1:19">
      <c r="A518" s="102"/>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4">
        <f t="shared" si="94"/>
        <v>0</v>
      </c>
    </row>
    <row r="519" spans="1:19">
      <c r="A519" s="102"/>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4">
        <f t="shared" si="94"/>
        <v>0</v>
      </c>
    </row>
    <row r="520" spans="1:19">
      <c r="A520" s="102"/>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4">
        <f t="shared" si="94"/>
        <v>0</v>
      </c>
    </row>
    <row r="521" spans="1:19">
      <c r="A521" s="102"/>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4">
        <f t="shared" si="94"/>
        <v>0</v>
      </c>
    </row>
    <row r="522" spans="1:19">
      <c r="A522" s="102"/>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4">
        <f t="shared" si="94"/>
        <v>0</v>
      </c>
    </row>
    <row r="523" spans="1:19">
      <c r="A523" s="102"/>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4">
        <f t="shared" si="94"/>
        <v>0</v>
      </c>
    </row>
    <row r="524" spans="1:19">
      <c r="A524" s="102"/>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4">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6" customWidth="1"/>
    <col min="2" max="2" width="29.25" style="238" customWidth="1"/>
    <col min="3" max="3" width="12.125" style="238" customWidth="1"/>
    <col min="4" max="5" width="11.25" style="259" customWidth="1"/>
    <col min="6" max="6" width="9.5" style="238" customWidth="1"/>
    <col min="7" max="7" width="31.875" style="238" customWidth="1"/>
    <col min="8" max="254" width="9" style="238" customWidth="1"/>
    <col min="255" max="16384" width="8.375" style="238"/>
  </cols>
  <sheetData>
    <row r="1" spans="1:7" s="187" customFormat="1" ht="20.25">
      <c r="A1" s="183" t="s">
        <v>83</v>
      </c>
      <c r="B1" s="184"/>
      <c r="C1" s="185"/>
      <c r="D1" s="185"/>
      <c r="E1" s="185"/>
      <c r="F1" s="185"/>
      <c r="G1" s="186"/>
    </row>
    <row r="2" spans="1:7" s="187" customFormat="1" ht="18" customHeight="1">
      <c r="A2" s="188" t="s">
        <v>84</v>
      </c>
      <c r="B2" s="189">
        <f ca="1">C52</f>
        <v>66290</v>
      </c>
      <c r="C2" s="2" t="s">
        <v>133</v>
      </c>
      <c r="D2" s="186"/>
      <c r="E2" s="186"/>
      <c r="F2" s="186"/>
      <c r="G2" s="186"/>
    </row>
    <row r="3" spans="1:7" s="187" customFormat="1" ht="18" customHeight="1" thickBot="1">
      <c r="A3" s="190" t="s">
        <v>85</v>
      </c>
      <c r="B3" s="191">
        <f ca="1">ROUND(B2*10000/'数据-汇总表'!E3,0)</f>
        <v>5549</v>
      </c>
      <c r="C3" s="2" t="s">
        <v>134</v>
      </c>
      <c r="D3" s="186"/>
      <c r="E3" s="186"/>
      <c r="F3" s="186"/>
      <c r="G3" s="186"/>
    </row>
    <row r="4" spans="1:7" s="195" customFormat="1" ht="15.75">
      <c r="A4" s="192" t="s">
        <v>86</v>
      </c>
      <c r="B4" s="193"/>
      <c r="C4" s="193"/>
      <c r="D4" s="193"/>
      <c r="E4" s="193"/>
      <c r="F4" s="193"/>
      <c r="G4" s="194"/>
    </row>
    <row r="5" spans="1:7" s="201" customFormat="1" ht="13.5" customHeight="1">
      <c r="A5" s="242" t="s">
        <v>1054</v>
      </c>
      <c r="B5" s="197" t="s">
        <v>87</v>
      </c>
      <c r="C5" s="198">
        <f>C6+C7+C8</f>
        <v>20610</v>
      </c>
      <c r="D5" s="198" t="s">
        <v>88</v>
      </c>
      <c r="E5" s="199" t="s">
        <v>89</v>
      </c>
      <c r="F5" s="199" t="s">
        <v>90</v>
      </c>
      <c r="G5" s="200"/>
    </row>
    <row r="6" spans="1:7" s="201" customFormat="1" ht="13.5" customHeight="1">
      <c r="A6" s="895" t="s">
        <v>791</v>
      </c>
      <c r="B6" s="202" t="s">
        <v>91</v>
      </c>
      <c r="C6" s="203">
        <v>20000</v>
      </c>
      <c r="D6" s="204"/>
      <c r="E6" s="205"/>
      <c r="F6" s="205"/>
      <c r="G6" s="206"/>
    </row>
    <row r="7" spans="1:7" s="201" customFormat="1" ht="13.5" customHeight="1">
      <c r="A7" s="895" t="s">
        <v>792</v>
      </c>
      <c r="B7" s="202" t="s">
        <v>57</v>
      </c>
      <c r="C7" s="207">
        <f>ROUND(C6*F7,0)</f>
        <v>610</v>
      </c>
      <c r="D7" s="207"/>
      <c r="E7" s="205"/>
      <c r="F7" s="208">
        <f>'数据-取费表'!B48+'数据-取费表'!B49</f>
        <v>3.0499999999999999E-2</v>
      </c>
      <c r="G7" s="206"/>
    </row>
    <row r="8" spans="1:7" s="210" customFormat="1">
      <c r="A8" s="895" t="s">
        <v>793</v>
      </c>
      <c r="B8" s="202" t="s">
        <v>92</v>
      </c>
      <c r="C8" s="207" t="str">
        <f>IF(G8="已包含在土地购买价格中","0",'数据-取费表'!B29)</f>
        <v>0</v>
      </c>
      <c r="D8" s="209"/>
      <c r="E8" s="207"/>
      <c r="F8" s="208"/>
      <c r="G8" s="1" t="s">
        <v>1148</v>
      </c>
    </row>
    <row r="9" spans="1:7" s="201" customFormat="1" ht="13.5" customHeight="1">
      <c r="A9" s="896" t="s">
        <v>800</v>
      </c>
      <c r="B9" s="211" t="s">
        <v>93</v>
      </c>
      <c r="C9" s="212">
        <f>ROUND(D9*E9/10000,0)</f>
        <v>3471</v>
      </c>
      <c r="D9" s="978">
        <f>'数据-汇总表'!E5</f>
        <v>80721.099999999991</v>
      </c>
      <c r="E9" s="212">
        <f>'数据-取费表'!B27</f>
        <v>430</v>
      </c>
      <c r="F9" s="208"/>
      <c r="G9" s="213"/>
    </row>
    <row r="10" spans="1:7" s="201" customFormat="1" ht="13.5" customHeight="1">
      <c r="A10" s="896" t="s">
        <v>801</v>
      </c>
      <c r="B10" s="211" t="s">
        <v>94</v>
      </c>
      <c r="C10" s="212">
        <f>ROUND(D10*E10/10000,0)</f>
        <v>1666</v>
      </c>
      <c r="D10" s="978">
        <f>'数据-汇总表'!E6</f>
        <v>38733.490000000005</v>
      </c>
      <c r="E10" s="212">
        <f>'数据-取费表'!B28</f>
        <v>430</v>
      </c>
      <c r="F10" s="208"/>
      <c r="G10" s="213"/>
    </row>
    <row r="11" spans="1:7" s="201" customFormat="1" ht="13.5" hidden="1" customHeight="1">
      <c r="A11" s="214" t="s">
        <v>7</v>
      </c>
      <c r="B11" s="202" t="s">
        <v>95</v>
      </c>
      <c r="C11" s="198"/>
      <c r="D11" s="980"/>
      <c r="E11" s="205"/>
      <c r="F11" s="205"/>
      <c r="G11" s="206"/>
    </row>
    <row r="12" spans="1:7" s="201" customFormat="1" ht="13.5" hidden="1" customHeight="1">
      <c r="A12" s="214" t="s">
        <v>8</v>
      </c>
      <c r="B12" s="202" t="s">
        <v>96</v>
      </c>
      <c r="C12" s="198">
        <v>0</v>
      </c>
      <c r="D12" s="980"/>
      <c r="E12" s="215"/>
      <c r="F12" s="208">
        <v>3.0499999999999999E-2</v>
      </c>
      <c r="G12" s="206"/>
    </row>
    <row r="13" spans="1:7" s="201" customFormat="1" ht="13.5" hidden="1" customHeight="1">
      <c r="A13" s="214" t="s">
        <v>9</v>
      </c>
      <c r="B13" s="202" t="s">
        <v>97</v>
      </c>
      <c r="C13" s="198"/>
      <c r="D13" s="980"/>
      <c r="E13" s="205"/>
      <c r="F13" s="205"/>
      <c r="G13" s="206"/>
    </row>
    <row r="14" spans="1:7" s="201" customFormat="1" ht="13.5" hidden="1" customHeight="1">
      <c r="A14" s="214" t="s">
        <v>10</v>
      </c>
      <c r="B14" s="202" t="s">
        <v>92</v>
      </c>
      <c r="C14" s="198"/>
      <c r="D14" s="980"/>
      <c r="E14" s="205"/>
      <c r="F14" s="205"/>
      <c r="G14" s="206" t="s">
        <v>98</v>
      </c>
    </row>
    <row r="15" spans="1:7" s="201" customFormat="1" ht="13.5" hidden="1" customHeight="1">
      <c r="A15" s="214" t="s">
        <v>11</v>
      </c>
      <c r="B15" s="202" t="s">
        <v>99</v>
      </c>
      <c r="C15" s="207"/>
      <c r="D15" s="980"/>
      <c r="E15" s="205"/>
      <c r="F15" s="205"/>
      <c r="G15" s="206" t="s">
        <v>100</v>
      </c>
    </row>
    <row r="16" spans="1:7" s="201" customFormat="1" ht="13.5" hidden="1" customHeight="1">
      <c r="A16" s="214" t="s">
        <v>12</v>
      </c>
      <c r="B16" s="202" t="s">
        <v>92</v>
      </c>
      <c r="C16" s="207"/>
      <c r="D16" s="980"/>
      <c r="E16" s="205"/>
      <c r="F16" s="205"/>
      <c r="G16" s="206"/>
    </row>
    <row r="17" spans="1:7" s="201" customFormat="1" ht="13.5" hidden="1" customHeight="1">
      <c r="A17" s="214" t="s">
        <v>13</v>
      </c>
      <c r="B17" s="202" t="s">
        <v>101</v>
      </c>
      <c r="C17" s="216"/>
      <c r="D17" s="981"/>
      <c r="E17" s="216"/>
      <c r="F17" s="216"/>
      <c r="G17" s="206" t="s">
        <v>100</v>
      </c>
    </row>
    <row r="18" spans="1:7" s="201" customFormat="1" ht="13.5" hidden="1" customHeight="1">
      <c r="A18" s="214" t="s">
        <v>14</v>
      </c>
      <c r="B18" s="202" t="s">
        <v>102</v>
      </c>
      <c r="C18" s="207">
        <v>0</v>
      </c>
      <c r="D18" s="980"/>
      <c r="E18" s="205"/>
      <c r="F18" s="208">
        <v>3.0499999999999999E-2</v>
      </c>
      <c r="G18" s="206" t="s">
        <v>103</v>
      </c>
    </row>
    <row r="19" spans="1:7" s="210" customFormat="1" ht="13.5" customHeight="1">
      <c r="A19" s="894" t="s">
        <v>1055</v>
      </c>
      <c r="B19" s="197" t="s">
        <v>111</v>
      </c>
      <c r="C19" s="198">
        <f>IF(G19="已包含在土地取得成本中","0",ROUND(D19*E19/10000,0))</f>
        <v>2389</v>
      </c>
      <c r="D19" s="982">
        <f>'数据-汇总表'!E3</f>
        <v>119454.59</v>
      </c>
      <c r="E19" s="198">
        <f>'数据-取费表'!B31</f>
        <v>200</v>
      </c>
      <c r="F19" s="218"/>
      <c r="G19" s="1" t="s">
        <v>1074</v>
      </c>
    </row>
    <row r="20" spans="1:7" s="201" customFormat="1" ht="13.5" customHeight="1">
      <c r="A20" s="894" t="s">
        <v>1057</v>
      </c>
      <c r="B20" s="197" t="s">
        <v>104</v>
      </c>
      <c r="C20" s="219">
        <f>ROUND((C5+C19)*F20,0)</f>
        <v>460</v>
      </c>
      <c r="D20" s="219"/>
      <c r="E20" s="219"/>
      <c r="F20" s="220">
        <f>'数据-取费表'!B37</f>
        <v>0.02</v>
      </c>
      <c r="G20" s="1221" t="s">
        <v>1068</v>
      </c>
    </row>
    <row r="21" spans="1:7" s="201" customFormat="1" ht="13.5" customHeight="1">
      <c r="A21" s="894" t="s">
        <v>1059</v>
      </c>
      <c r="B21" s="197" t="s">
        <v>105</v>
      </c>
      <c r="C21" s="222">
        <f>F21</f>
        <v>0.02</v>
      </c>
      <c r="D21" s="223" t="s">
        <v>126</v>
      </c>
      <c r="E21" s="219"/>
      <c r="F21" s="220">
        <f>'数据-取费表'!B38</f>
        <v>0.02</v>
      </c>
      <c r="G21" s="221" t="s">
        <v>106</v>
      </c>
    </row>
    <row r="22" spans="1:7" s="201" customFormat="1" ht="13.5" customHeight="1">
      <c r="A22" s="894" t="s">
        <v>786</v>
      </c>
      <c r="B22" s="197" t="s">
        <v>107</v>
      </c>
      <c r="C22" s="1286">
        <f ca="1">ROUND(SUM(C23:C25),0)</f>
        <v>1674</v>
      </c>
      <c r="D22" s="222">
        <f ca="1">C26</f>
        <v>6.9999999999999999E-4</v>
      </c>
      <c r="E22" s="223" t="s">
        <v>126</v>
      </c>
      <c r="F22" s="224">
        <f ca="1">'数据-取费表'!B40</f>
        <v>4.7500000000000001E-2</v>
      </c>
      <c r="G22" s="1221" t="str">
        <f>IF('数据-取费表'!B22&lt;=1,"单利计息","复利计息")</f>
        <v>复利计息</v>
      </c>
    </row>
    <row r="23" spans="1:7" s="201" customFormat="1" ht="13.5" customHeight="1">
      <c r="A23" s="897" t="s">
        <v>794</v>
      </c>
      <c r="B23" s="202" t="s">
        <v>1061</v>
      </c>
      <c r="C23" s="1287">
        <f ca="1">ROUND(IF('数据-取费表'!B22&lt;=1,C5*F22*'数据-取费表'!B23,C5*(POWER((1+F22),'数据-取费表'!B23)-1)),0)</f>
        <v>1486</v>
      </c>
      <c r="D23" s="225"/>
      <c r="E23" s="225"/>
      <c r="F23" s="226"/>
      <c r="G23" s="227" t="s">
        <v>108</v>
      </c>
    </row>
    <row r="24" spans="1:7" s="201" customFormat="1" ht="13.5" customHeight="1">
      <c r="A24" s="897" t="s">
        <v>792</v>
      </c>
      <c r="B24" s="202" t="s">
        <v>1056</v>
      </c>
      <c r="C24" s="1287">
        <f ca="1">ROUND(IF('数据-取费表'!B22&lt;=1,C19*F22*('数据-取费表'!B19/2+'数据-取费表'!B21),C19*(POWER((1+F22),('数据-取费表'!B19/2+'数据-取费表'!B21))-1)),0)</f>
        <v>172</v>
      </c>
      <c r="D24" s="225"/>
      <c r="E24" s="225"/>
      <c r="F24" s="226"/>
      <c r="G24" s="227" t="s">
        <v>109</v>
      </c>
    </row>
    <row r="25" spans="1:7" s="201" customFormat="1" ht="24">
      <c r="A25" s="897" t="s">
        <v>793</v>
      </c>
      <c r="B25" s="202" t="s">
        <v>1058</v>
      </c>
      <c r="C25" s="1287">
        <f ca="1">ROUND(IF('数据-取费表'!B22&lt;=1,C20*F22*'数据-取费表'!B23/2,C20*(POWER((1+F22),'数据-取费表'!B23/2)-1)),0)</f>
        <v>16</v>
      </c>
      <c r="D25" s="225"/>
      <c r="E25" s="228"/>
      <c r="F25" s="226"/>
      <c r="G25" s="229" t="s">
        <v>110</v>
      </c>
    </row>
    <row r="26" spans="1:7" s="201" customFormat="1">
      <c r="A26" s="897" t="s">
        <v>795</v>
      </c>
      <c r="B26" s="202" t="s">
        <v>1060</v>
      </c>
      <c r="C26" s="225">
        <f ca="1">ROUND(IF('数据-取费表'!B22&lt;=1,F21*F22*'数据-取费表'!B23/2,F21*(POWER((1+F22),'数据-取费表'!B23/2)-1)),4)</f>
        <v>6.9999999999999999E-4</v>
      </c>
      <c r="D26" s="225"/>
      <c r="E26" s="228"/>
      <c r="F26" s="226"/>
      <c r="G26" s="230"/>
    </row>
    <row r="27" spans="1:7" s="201" customFormat="1" ht="24.75">
      <c r="A27" s="894" t="s">
        <v>787</v>
      </c>
      <c r="B27" s="231" t="s">
        <v>112</v>
      </c>
      <c r="C27" s="232">
        <f>C28</f>
        <v>704</v>
      </c>
      <c r="D27" s="222">
        <f>C29</f>
        <v>5.9999999999999995E-4</v>
      </c>
      <c r="E27" s="223" t="s">
        <v>126</v>
      </c>
      <c r="F27" s="233">
        <f>'数据-取费表'!Q16</f>
        <v>0.04</v>
      </c>
      <c r="G27" s="234" t="s">
        <v>1069</v>
      </c>
    </row>
    <row r="28" spans="1:7" s="201" customFormat="1" ht="13.5" customHeight="1">
      <c r="A28" s="897" t="s">
        <v>794</v>
      </c>
      <c r="B28" s="235" t="s">
        <v>1062</v>
      </c>
      <c r="C28" s="236">
        <f>ROUND((C5+C19+C20)*F27*'数据-取费表'!B21/'数据-取费表'!B20,0)</f>
        <v>704</v>
      </c>
      <c r="D28" s="222"/>
      <c r="E28" s="223"/>
      <c r="F28" s="233"/>
      <c r="G28" s="234"/>
    </row>
    <row r="29" spans="1:7" s="201" customFormat="1" ht="13.5" customHeight="1">
      <c r="A29" s="897" t="s">
        <v>792</v>
      </c>
      <c r="B29" s="235" t="s">
        <v>1063</v>
      </c>
      <c r="C29" s="225">
        <f>ROUND(C21*F27*'数据-取费表'!B21/'数据-取费表'!B20,4)</f>
        <v>5.9999999999999995E-4</v>
      </c>
      <c r="D29" s="222"/>
      <c r="E29" s="223"/>
      <c r="F29" s="233"/>
      <c r="G29" s="234"/>
    </row>
    <row r="30" spans="1:7" s="201" customFormat="1" ht="13.5" customHeight="1">
      <c r="A30" s="894" t="s">
        <v>788</v>
      </c>
      <c r="B30" s="197" t="s">
        <v>58</v>
      </c>
      <c r="C30" s="222">
        <f>F30</f>
        <v>5.6000000000000001E-2</v>
      </c>
      <c r="D30" s="223" t="s">
        <v>127</v>
      </c>
      <c r="E30" s="228"/>
      <c r="F30" s="224">
        <f>'数据-取费表'!B41</f>
        <v>5.6000000000000001E-2</v>
      </c>
      <c r="G30" s="221" t="s">
        <v>113</v>
      </c>
    </row>
    <row r="31" spans="1:7" ht="16.5" customHeight="1">
      <c r="A31" s="196">
        <v>1</v>
      </c>
      <c r="B31" s="197" t="s">
        <v>128</v>
      </c>
      <c r="C31" s="198">
        <f ca="1">ROUND((C5+C19+C20+C22+C27)/(1-C21-D22-D27-C30/(1+'数据-取费表'!B42)),0)</f>
        <v>27921</v>
      </c>
      <c r="D31" s="217"/>
      <c r="E31" s="198"/>
      <c r="F31" s="237"/>
      <c r="G31" s="221" t="s">
        <v>1070</v>
      </c>
    </row>
    <row r="32" spans="1:7" s="195" customFormat="1" ht="15.75">
      <c r="A32" s="239" t="s">
        <v>114</v>
      </c>
      <c r="B32" s="240"/>
      <c r="C32" s="240"/>
      <c r="D32" s="240"/>
      <c r="E32" s="240"/>
      <c r="F32" s="240"/>
      <c r="G32" s="241"/>
    </row>
    <row r="33" spans="1:7" s="201" customFormat="1" ht="13.5" customHeight="1">
      <c r="A33" s="242" t="s">
        <v>782</v>
      </c>
      <c r="B33" s="197" t="s">
        <v>115</v>
      </c>
      <c r="C33" s="243">
        <f>SUM(C34:C38)</f>
        <v>32362</v>
      </c>
      <c r="D33" s="219"/>
      <c r="E33" s="199"/>
      <c r="F33" s="228"/>
      <c r="G33" s="221"/>
    </row>
    <row r="34" spans="1:7" s="245" customFormat="1" ht="13.5" customHeight="1">
      <c r="A34" s="897" t="s">
        <v>794</v>
      </c>
      <c r="B34" s="202" t="s">
        <v>59</v>
      </c>
      <c r="C34" s="207">
        <f>IF(F34=100%,'数据-取费表'!M16-SUMIF('数据-取费表'!C:C,"公共配套",'数据-取费表'!M:M),'数据-取费表'!O16-SUMIF('数据-取费表'!C:C,"公共配套",'数据-取费表'!O:O))</f>
        <v>28875</v>
      </c>
      <c r="D34" s="204"/>
      <c r="E34" s="207"/>
      <c r="F34" s="244">
        <f>IF('数据-取费表'!B24=0,1,'数据-取费表'!N16)</f>
        <v>0.67200000000000004</v>
      </c>
      <c r="G34" s="206" t="s">
        <v>116</v>
      </c>
    </row>
    <row r="35" spans="1:7" ht="13.5" customHeight="1">
      <c r="A35" s="897" t="s">
        <v>796</v>
      </c>
      <c r="B35" s="202" t="s">
        <v>60</v>
      </c>
      <c r="C35" s="207">
        <f>ROUND(C34*F35,0)</f>
        <v>866</v>
      </c>
      <c r="D35" s="207"/>
      <c r="E35" s="207"/>
      <c r="F35" s="246">
        <f>'数据-取费表'!B33</f>
        <v>0.03</v>
      </c>
      <c r="G35" s="206" t="s">
        <v>117</v>
      </c>
    </row>
    <row r="36" spans="1:7" ht="24">
      <c r="A36" s="897" t="s">
        <v>797</v>
      </c>
      <c r="B36" s="202" t="s">
        <v>61</v>
      </c>
      <c r="C36" s="207">
        <f>ROUND(IF(SUMIF('数据-取费表'!C:C,"住宅",IF(F34=100%,'数据-取费表'!M:M,'数据-取费表'!O:O))=0,0,IF(F36=0,SUMIF('数据-取费表'!C:C,"公共配套",IF(F34=100%,'数据-取费表'!M:M,'数据-取费表'!O:O)),SUMIF('数据-取费表'!C:C,"住宅",IF(F34=100%,'数据-取费表'!M:M,'数据-取费表'!O:O))*F36)),0)</f>
        <v>583</v>
      </c>
      <c r="D36" s="207"/>
      <c r="E36" s="207"/>
      <c r="F36" s="246">
        <f>'数据-取费表'!B34</f>
        <v>0.03</v>
      </c>
      <c r="G36" s="247" t="s">
        <v>62</v>
      </c>
    </row>
    <row r="37" spans="1:7" s="245" customFormat="1" ht="13.5" customHeight="1">
      <c r="A37" s="897" t="s">
        <v>798</v>
      </c>
      <c r="B37" s="202" t="s">
        <v>118</v>
      </c>
      <c r="C37" s="236">
        <f>ROUND(E37*D37*F34/10000,0)</f>
        <v>1605</v>
      </c>
      <c r="D37" s="204">
        <f>'数据-汇总表'!E3</f>
        <v>119454.59</v>
      </c>
      <c r="E37" s="236">
        <f>'数据-取费表'!B35</f>
        <v>200</v>
      </c>
      <c r="F37" s="246"/>
      <c r="G37" s="248" t="s">
        <v>119</v>
      </c>
    </row>
    <row r="38" spans="1:7" ht="13.5" customHeight="1">
      <c r="A38" s="897" t="s">
        <v>799</v>
      </c>
      <c r="B38" s="202" t="s">
        <v>63</v>
      </c>
      <c r="C38" s="207">
        <f>ROUND(C34*F38,0)</f>
        <v>433</v>
      </c>
      <c r="D38" s="207"/>
      <c r="E38" s="207"/>
      <c r="F38" s="246">
        <f>'数据-取费表'!B36</f>
        <v>1.4999999999999999E-2</v>
      </c>
      <c r="G38" s="206" t="s">
        <v>117</v>
      </c>
    </row>
    <row r="39" spans="1:7" s="201" customFormat="1" ht="13.5" customHeight="1">
      <c r="A39" s="894" t="s">
        <v>783</v>
      </c>
      <c r="B39" s="197" t="s">
        <v>104</v>
      </c>
      <c r="C39" s="219">
        <f>ROUND(C33*F20,0)</f>
        <v>647</v>
      </c>
      <c r="D39" s="219"/>
      <c r="E39" s="219"/>
      <c r="F39" s="220"/>
      <c r="G39" s="1221" t="s">
        <v>1071</v>
      </c>
    </row>
    <row r="40" spans="1:7" s="201" customFormat="1" ht="13.5" customHeight="1">
      <c r="A40" s="894" t="s">
        <v>784</v>
      </c>
      <c r="B40" s="197" t="s">
        <v>105</v>
      </c>
      <c r="C40" s="249">
        <f>F21</f>
        <v>0.02</v>
      </c>
      <c r="D40" s="223" t="s">
        <v>129</v>
      </c>
      <c r="E40" s="219"/>
      <c r="F40" s="220"/>
      <c r="G40" s="221" t="s">
        <v>120</v>
      </c>
    </row>
    <row r="41" spans="1:7" s="201" customFormat="1" ht="13.5" customHeight="1">
      <c r="A41" s="894" t="s">
        <v>785</v>
      </c>
      <c r="B41" s="197" t="s">
        <v>107</v>
      </c>
      <c r="C41" s="219">
        <f ca="1">ROUND(SUM(C42:C43),0)</f>
        <v>1169</v>
      </c>
      <c r="D41" s="222">
        <f ca="1">C44</f>
        <v>6.9999999999999999E-4</v>
      </c>
      <c r="E41" s="223" t="s">
        <v>129</v>
      </c>
      <c r="F41" s="224"/>
      <c r="G41" s="1221" t="str">
        <f>IF('数据-取费表'!B22&lt;=1,"单利计息","复利计息")</f>
        <v>复利计息</v>
      </c>
    </row>
    <row r="42" spans="1:7" ht="13.5" customHeight="1">
      <c r="A42" s="897" t="s">
        <v>794</v>
      </c>
      <c r="B42" s="202" t="s">
        <v>1061</v>
      </c>
      <c r="C42" s="225">
        <f ca="1">ROUND(IF('数据-取费表'!B22&lt;=1,C33*F22*'数据-取费表'!B21/2,C33*(POWER((1+F22),'数据-取费表'!B21/2)-1)),0)</f>
        <v>1146</v>
      </c>
      <c r="D42" s="225"/>
      <c r="E42" s="225"/>
      <c r="F42" s="226"/>
      <c r="G42" s="3271" t="s">
        <v>121</v>
      </c>
    </row>
    <row r="43" spans="1:7" ht="13.5" customHeight="1">
      <c r="A43" s="897" t="s">
        <v>792</v>
      </c>
      <c r="B43" s="202" t="s">
        <v>1064</v>
      </c>
      <c r="C43" s="225">
        <f ca="1">ROUND(IF('数据-取费表'!B22&lt;=1,C39*F22*'数据-取费表'!B21/2,C39*(POWER((1+F22),'数据-取费表'!B21/2)-1)),0)</f>
        <v>23</v>
      </c>
      <c r="D43" s="225"/>
      <c r="E43" s="225"/>
      <c r="F43" s="226"/>
      <c r="G43" s="3272"/>
    </row>
    <row r="44" spans="1:7" ht="13.5" customHeight="1">
      <c r="A44" s="897" t="s">
        <v>793</v>
      </c>
      <c r="B44" s="202" t="s">
        <v>1066</v>
      </c>
      <c r="C44" s="225">
        <f ca="1">ROUND(IF('数据-取费表'!B22&lt;=1,C40*F22*'数据-取费表'!B21/2,C40*(POWER((1+F22),'数据-取费表'!B21/2)-1)),4)</f>
        <v>6.9999999999999999E-4</v>
      </c>
      <c r="D44" s="225"/>
      <c r="E44" s="225"/>
      <c r="F44" s="226"/>
      <c r="G44" s="3273"/>
    </row>
    <row r="45" spans="1:7" s="201" customFormat="1" ht="13.5" customHeight="1">
      <c r="A45" s="894" t="s">
        <v>786</v>
      </c>
      <c r="B45" s="231" t="s">
        <v>112</v>
      </c>
      <c r="C45" s="232">
        <f>C46</f>
        <v>1320</v>
      </c>
      <c r="D45" s="222">
        <f>C47</f>
        <v>8.0000000000000004E-4</v>
      </c>
      <c r="E45" s="223" t="s">
        <v>129</v>
      </c>
      <c r="F45" s="233"/>
      <c r="G45" s="234" t="s">
        <v>1072</v>
      </c>
    </row>
    <row r="46" spans="1:7" s="201" customFormat="1" ht="13.5" customHeight="1">
      <c r="A46" s="897" t="s">
        <v>794</v>
      </c>
      <c r="B46" s="235" t="s">
        <v>1065</v>
      </c>
      <c r="C46" s="236">
        <f>ROUND((C33+C39)*F27,0)</f>
        <v>1320</v>
      </c>
      <c r="D46" s="250"/>
      <c r="E46" s="223"/>
      <c r="F46" s="233"/>
      <c r="G46" s="234"/>
    </row>
    <row r="47" spans="1:7" s="201" customFormat="1" ht="13.5" customHeight="1">
      <c r="A47" s="897" t="s">
        <v>792</v>
      </c>
      <c r="B47" s="235" t="s">
        <v>1067</v>
      </c>
      <c r="C47" s="225">
        <f>ROUND(C40*F27,4)</f>
        <v>8.0000000000000004E-4</v>
      </c>
      <c r="D47" s="250"/>
      <c r="E47" s="223"/>
      <c r="F47" s="233"/>
      <c r="G47" s="234"/>
    </row>
    <row r="48" spans="1:7" s="201" customFormat="1" ht="13.5" customHeight="1">
      <c r="A48" s="894" t="s">
        <v>787</v>
      </c>
      <c r="B48" s="197" t="s">
        <v>122</v>
      </c>
      <c r="C48" s="249">
        <f>F30</f>
        <v>5.6000000000000001E-2</v>
      </c>
      <c r="D48" s="223" t="s">
        <v>130</v>
      </c>
      <c r="E48" s="219"/>
      <c r="F48" s="224"/>
      <c r="G48" s="221" t="s">
        <v>123</v>
      </c>
    </row>
    <row r="49" spans="1:7" ht="16.5" customHeight="1">
      <c r="A49" s="894" t="s">
        <v>788</v>
      </c>
      <c r="B49" s="197" t="s">
        <v>131</v>
      </c>
      <c r="C49" s="219">
        <f ca="1">ROUND((C33+C39+C41+C45)/(1-C40-D41-D45-C48/(1+'数据-取费表'!B42)),0)</f>
        <v>38369</v>
      </c>
      <c r="D49" s="219"/>
      <c r="E49" s="219"/>
      <c r="F49" s="251"/>
      <c r="G49" s="221" t="s">
        <v>1073</v>
      </c>
    </row>
    <row r="50" spans="1:7" s="245" customFormat="1" ht="24">
      <c r="A50" s="894" t="s">
        <v>789</v>
      </c>
      <c r="B50" s="197" t="s">
        <v>124</v>
      </c>
      <c r="C50" s="219"/>
      <c r="D50" s="219"/>
      <c r="E50" s="219"/>
      <c r="F50" s="251">
        <f>IF('数据-取费表'!B24=0,'数据-取费表'!N16,1)</f>
        <v>1</v>
      </c>
      <c r="G50" s="234" t="s">
        <v>125</v>
      </c>
    </row>
    <row r="51" spans="1:7" ht="16.5" customHeight="1">
      <c r="A51" s="894" t="s">
        <v>790</v>
      </c>
      <c r="B51" s="197" t="s">
        <v>132</v>
      </c>
      <c r="C51" s="219">
        <f ca="1">ROUND(C49*F50,0)</f>
        <v>38369</v>
      </c>
      <c r="D51" s="219"/>
      <c r="E51" s="219"/>
      <c r="F51" s="251"/>
      <c r="G51" s="221" t="s">
        <v>64</v>
      </c>
    </row>
    <row r="52" spans="1:7" s="195" customFormat="1" ht="16.5" thickBot="1">
      <c r="A52" s="252" t="s">
        <v>65</v>
      </c>
      <c r="B52" s="253"/>
      <c r="C52" s="254">
        <f ca="1">C31+C51</f>
        <v>66290</v>
      </c>
      <c r="D52" s="253"/>
      <c r="E52" s="253"/>
      <c r="F52" s="253"/>
      <c r="G52" s="255"/>
    </row>
    <row r="55" spans="1:7" ht="15">
      <c r="B55" s="257" t="s">
        <v>66</v>
      </c>
      <c r="C55" s="258"/>
    </row>
    <row r="56" spans="1:7">
      <c r="B56" s="260" t="s">
        <v>67</v>
      </c>
      <c r="C56" s="261">
        <f ca="1">ROUND(C51/C52,3)</f>
        <v>0.57899999999999996</v>
      </c>
    </row>
    <row r="57" spans="1:7">
      <c r="B57" s="260" t="s">
        <v>68</v>
      </c>
      <c r="C57" s="262">
        <f ca="1">1-C56</f>
        <v>0.42100000000000004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98" customWidth="1"/>
    <col min="2" max="5" width="10.25" style="756" customWidth="1"/>
    <col min="6" max="6" width="9" style="756"/>
    <col min="7" max="8" width="9" style="771"/>
    <col min="9" max="16384" width="9" style="756"/>
  </cols>
  <sheetData>
    <row r="1" spans="1:19">
      <c r="A1" s="3411" t="s">
        <v>156</v>
      </c>
      <c r="B1" s="3411"/>
      <c r="C1" s="3411"/>
      <c r="D1" s="3411"/>
      <c r="E1" s="3411"/>
      <c r="F1" s="3411"/>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12" t="s">
        <v>169</v>
      </c>
      <c r="B2" s="3412"/>
      <c r="C2" s="3412"/>
      <c r="D2" s="3412"/>
      <c r="E2" s="3412"/>
      <c r="F2" s="3412"/>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13"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14"/>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1053</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1053</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11" t="s">
        <v>871</v>
      </c>
      <c r="B1" s="3411"/>
    </row>
    <row r="2" spans="1:6" ht="14.25" thickBot="1">
      <c r="A2" s="1003"/>
      <c r="B2" s="1003"/>
    </row>
    <row r="3" spans="1:6" ht="14.25" thickBot="1">
      <c r="A3" s="1003"/>
      <c r="B3" s="1003"/>
      <c r="C3" s="1007" t="s">
        <v>874</v>
      </c>
      <c r="D3" s="1007" t="s">
        <v>875</v>
      </c>
      <c r="E3" s="1007" t="s">
        <v>876</v>
      </c>
      <c r="F3" s="1007" t="s">
        <v>877</v>
      </c>
    </row>
    <row r="4" spans="1:6" ht="14.25" thickBot="1">
      <c r="A4" s="1005" t="s">
        <v>872</v>
      </c>
      <c r="B4" s="1006" t="s">
        <v>873</v>
      </c>
      <c r="C4" s="1007"/>
      <c r="D4" s="1007"/>
      <c r="E4" s="1007"/>
      <c r="F4" s="1007"/>
    </row>
    <row r="5" spans="1:6" ht="14.25" thickBot="1">
      <c r="A5" s="783" t="s">
        <v>878</v>
      </c>
      <c r="B5" s="784" t="s">
        <v>879</v>
      </c>
      <c r="C5" s="1008">
        <v>8.8999999999999996E-2</v>
      </c>
      <c r="D5" s="1008">
        <v>7.3999999999999996E-2</v>
      </c>
      <c r="E5" s="1008">
        <v>7.4999999999999997E-2</v>
      </c>
      <c r="F5" s="1009">
        <v>0.1</v>
      </c>
    </row>
    <row r="6" spans="1:6" ht="14.25" thickBot="1">
      <c r="A6" s="783" t="s">
        <v>212</v>
      </c>
      <c r="B6" s="777" t="s">
        <v>880</v>
      </c>
      <c r="C6" s="1010">
        <v>0.1</v>
      </c>
      <c r="D6" s="1010">
        <v>9.0999999999999998E-2</v>
      </c>
      <c r="E6" s="1010">
        <v>9.0999999999999998E-2</v>
      </c>
      <c r="F6" s="1011">
        <v>0.1</v>
      </c>
    </row>
    <row r="7" spans="1:6" ht="14.25" thickBot="1">
      <c r="A7" s="783" t="s">
        <v>212</v>
      </c>
      <c r="B7" s="787" t="s">
        <v>201</v>
      </c>
      <c r="C7" s="1010">
        <v>8.5999999999999993E-2</v>
      </c>
      <c r="D7" s="1010">
        <v>9.6000000000000002E-2</v>
      </c>
      <c r="E7" s="1010">
        <v>7.5999999999999998E-2</v>
      </c>
      <c r="F7" s="1011">
        <v>0.1</v>
      </c>
    </row>
    <row r="8" spans="1:6" ht="14.25" thickBot="1">
      <c r="A8" s="783" t="s">
        <v>212</v>
      </c>
      <c r="B8" s="777" t="s">
        <v>213</v>
      </c>
      <c r="C8" s="1010">
        <v>9.9000000000000005E-2</v>
      </c>
      <c r="D8" s="1010">
        <v>9.8000000000000004E-2</v>
      </c>
      <c r="E8" s="1010">
        <v>9.8000000000000004E-2</v>
      </c>
      <c r="F8" s="1011">
        <v>0.1</v>
      </c>
    </row>
    <row r="9" spans="1:6" ht="14.25" thickBot="1">
      <c r="A9" s="793" t="s">
        <v>212</v>
      </c>
      <c r="B9" s="788" t="s">
        <v>225</v>
      </c>
      <c r="C9" s="1012">
        <v>0.05</v>
      </c>
      <c r="D9" s="1020"/>
      <c r="E9" s="1020"/>
      <c r="F9" s="1021"/>
    </row>
    <row r="10" spans="1:6" ht="14.25" thickBot="1">
      <c r="A10" s="783" t="s">
        <v>269</v>
      </c>
      <c r="B10" s="784" t="s">
        <v>881</v>
      </c>
      <c r="C10" s="1008">
        <v>8.8999999999999996E-2</v>
      </c>
      <c r="D10" s="1008">
        <v>7.2999999999999995E-2</v>
      </c>
      <c r="E10" s="1008">
        <v>8.2000000000000003E-2</v>
      </c>
      <c r="F10" s="1009">
        <v>0.1</v>
      </c>
    </row>
    <row r="11" spans="1:6" ht="14.25" thickBot="1">
      <c r="A11" s="783" t="s">
        <v>269</v>
      </c>
      <c r="B11" s="787" t="s">
        <v>188</v>
      </c>
      <c r="C11" s="1010">
        <v>8.8999999999999996E-2</v>
      </c>
      <c r="D11" s="1010">
        <v>7.2999999999999995E-2</v>
      </c>
      <c r="E11" s="1010">
        <v>8.2000000000000003E-2</v>
      </c>
      <c r="F11" s="1011">
        <v>0.1</v>
      </c>
    </row>
    <row r="12" spans="1:6" ht="14.25" thickBot="1">
      <c r="A12" s="783" t="s">
        <v>269</v>
      </c>
      <c r="B12" s="787" t="s">
        <v>138</v>
      </c>
      <c r="C12" s="1010">
        <v>6.0999999999999999E-2</v>
      </c>
      <c r="D12" s="1010">
        <v>7.0999999999999994E-2</v>
      </c>
      <c r="E12" s="1010">
        <v>9.6000000000000002E-2</v>
      </c>
      <c r="F12" s="1011">
        <v>0.1</v>
      </c>
    </row>
    <row r="13" spans="1:6" ht="14.25" thickBot="1">
      <c r="A13" s="783" t="s">
        <v>269</v>
      </c>
      <c r="B13" s="787" t="s">
        <v>214</v>
      </c>
      <c r="C13" s="1010">
        <v>6.9000000000000006E-2</v>
      </c>
      <c r="D13" s="1010">
        <v>6.5000000000000002E-2</v>
      </c>
      <c r="E13" s="1010">
        <v>6.6000000000000003E-2</v>
      </c>
      <c r="F13" s="1011">
        <v>0.1</v>
      </c>
    </row>
    <row r="14" spans="1:6" ht="14.25" thickBot="1">
      <c r="A14" s="783" t="s">
        <v>269</v>
      </c>
      <c r="B14" s="787" t="s">
        <v>226</v>
      </c>
      <c r="C14" s="1010">
        <v>0.1</v>
      </c>
      <c r="D14" s="1010">
        <v>6.5000000000000002E-2</v>
      </c>
      <c r="E14" s="1010">
        <v>7.0000000000000007E-2</v>
      </c>
      <c r="F14" s="1011">
        <v>0.1</v>
      </c>
    </row>
    <row r="15" spans="1:6" ht="14.25" thickBot="1">
      <c r="A15" s="783" t="s">
        <v>269</v>
      </c>
      <c r="B15" s="787" t="s">
        <v>237</v>
      </c>
      <c r="C15" s="1010">
        <v>9.8000000000000004E-2</v>
      </c>
      <c r="D15" s="1010">
        <v>8.8999999999999996E-2</v>
      </c>
      <c r="E15" s="1010">
        <v>8.8999999999999996E-2</v>
      </c>
      <c r="F15" s="1011">
        <v>0.1</v>
      </c>
    </row>
    <row r="16" spans="1:6" ht="14.25" thickBot="1">
      <c r="A16" s="783" t="s">
        <v>269</v>
      </c>
      <c r="B16" s="787" t="s">
        <v>248</v>
      </c>
      <c r="C16" s="1010">
        <v>7.0000000000000007E-2</v>
      </c>
      <c r="D16" s="1010">
        <v>9.2999999999999999E-2</v>
      </c>
      <c r="E16" s="1010">
        <v>9.6000000000000002E-2</v>
      </c>
      <c r="F16" s="1011">
        <v>0.1</v>
      </c>
    </row>
    <row r="17" spans="1:6" ht="14.25" thickBot="1">
      <c r="A17" s="783" t="s">
        <v>269</v>
      </c>
      <c r="B17" s="787" t="s">
        <v>259</v>
      </c>
      <c r="C17" s="1010">
        <v>9.5000000000000001E-2</v>
      </c>
      <c r="D17" s="1010">
        <v>0.1</v>
      </c>
      <c r="E17" s="1010">
        <v>0.1</v>
      </c>
      <c r="F17" s="1022"/>
    </row>
    <row r="18" spans="1:6" ht="14.25" thickBot="1">
      <c r="A18" s="783" t="s">
        <v>269</v>
      </c>
      <c r="B18" s="787" t="s">
        <v>271</v>
      </c>
      <c r="C18" s="1010">
        <v>7.3999999999999996E-2</v>
      </c>
      <c r="D18" s="1010">
        <v>9.9000000000000005E-2</v>
      </c>
      <c r="E18" s="1010">
        <v>0.1</v>
      </c>
      <c r="F18" s="1022"/>
    </row>
    <row r="19" spans="1:6" ht="14.25" thickBot="1">
      <c r="A19" s="783" t="s">
        <v>269</v>
      </c>
      <c r="B19" s="787" t="s">
        <v>281</v>
      </c>
      <c r="C19" s="1010">
        <v>9.9000000000000005E-2</v>
      </c>
      <c r="D19" s="1010">
        <v>7.5999999999999998E-2</v>
      </c>
      <c r="E19" s="1010">
        <v>8.6999999999999994E-2</v>
      </c>
      <c r="F19" s="1022"/>
    </row>
    <row r="20" spans="1:6" ht="14.25" thickBot="1">
      <c r="A20" s="783" t="s">
        <v>269</v>
      </c>
      <c r="B20" s="787" t="s">
        <v>291</v>
      </c>
      <c r="C20" s="1010">
        <v>9.8000000000000004E-2</v>
      </c>
      <c r="D20" s="1010">
        <v>8.5000000000000006E-2</v>
      </c>
      <c r="E20" s="1010">
        <v>8.2000000000000003E-2</v>
      </c>
      <c r="F20" s="1022"/>
    </row>
    <row r="21" spans="1:6" ht="14.25" thickBot="1">
      <c r="A21" s="783" t="s">
        <v>269</v>
      </c>
      <c r="B21" s="787" t="s">
        <v>301</v>
      </c>
      <c r="C21" s="1010">
        <v>6.6000000000000003E-2</v>
      </c>
      <c r="D21" s="1010">
        <v>6.4000000000000001E-2</v>
      </c>
      <c r="E21" s="1010">
        <v>6.5000000000000002E-2</v>
      </c>
      <c r="F21" s="1022"/>
    </row>
    <row r="22" spans="1:6" ht="14.25" thickBot="1">
      <c r="A22" s="783" t="s">
        <v>269</v>
      </c>
      <c r="B22" s="787" t="s">
        <v>882</v>
      </c>
      <c r="C22" s="1010">
        <v>0.08</v>
      </c>
      <c r="D22" s="1010">
        <v>9.8000000000000004E-2</v>
      </c>
      <c r="E22" s="1010">
        <v>9.8000000000000004E-2</v>
      </c>
      <c r="F22" s="1022"/>
    </row>
    <row r="23" spans="1:6" ht="14.25" thickBot="1">
      <c r="A23" s="783" t="s">
        <v>269</v>
      </c>
      <c r="B23" s="787" t="s">
        <v>322</v>
      </c>
      <c r="C23" s="1010">
        <v>9.9000000000000005E-2</v>
      </c>
      <c r="D23" s="1010">
        <v>9.8000000000000004E-2</v>
      </c>
      <c r="E23" s="1010">
        <v>9.0999999999999998E-2</v>
      </c>
      <c r="F23" s="1022"/>
    </row>
    <row r="24" spans="1:6" ht="14.25" thickBot="1">
      <c r="A24" s="783" t="s">
        <v>269</v>
      </c>
      <c r="B24" s="787" t="s">
        <v>333</v>
      </c>
      <c r="C24" s="1010">
        <v>8.8999999999999996E-2</v>
      </c>
      <c r="D24" s="1010">
        <v>9.7000000000000003E-2</v>
      </c>
      <c r="E24" s="1010">
        <v>7.0000000000000007E-2</v>
      </c>
      <c r="F24" s="1022"/>
    </row>
    <row r="25" spans="1:6" ht="14.25" thickBot="1">
      <c r="A25" s="783" t="s">
        <v>269</v>
      </c>
      <c r="B25" s="787" t="s">
        <v>343</v>
      </c>
      <c r="C25" s="1010">
        <v>8.8999999999999996E-2</v>
      </c>
      <c r="D25" s="1010">
        <v>0.1</v>
      </c>
      <c r="E25" s="1010">
        <v>8.1000000000000003E-2</v>
      </c>
      <c r="F25" s="1022"/>
    </row>
    <row r="26" spans="1:6" ht="14.25" thickBot="1">
      <c r="A26" s="783" t="s">
        <v>269</v>
      </c>
      <c r="B26" s="787" t="s">
        <v>353</v>
      </c>
      <c r="C26" s="1023"/>
      <c r="D26" s="1010">
        <v>9.6000000000000002E-2</v>
      </c>
      <c r="E26" s="1010">
        <v>9.2999999999999999E-2</v>
      </c>
      <c r="F26" s="1022"/>
    </row>
    <row r="27" spans="1:6" ht="14.25" thickBot="1">
      <c r="A27" s="783" t="s">
        <v>269</v>
      </c>
      <c r="B27" s="787" t="s">
        <v>363</v>
      </c>
      <c r="C27" s="1023"/>
      <c r="D27" s="1010">
        <v>7.5999999999999998E-2</v>
      </c>
      <c r="E27" s="1010">
        <v>9.1999999999999998E-2</v>
      </c>
      <c r="F27" s="1022"/>
    </row>
    <row r="28" spans="1:6" ht="14.25" thickBot="1">
      <c r="A28" s="793" t="s">
        <v>269</v>
      </c>
      <c r="B28" s="788" t="s">
        <v>373</v>
      </c>
      <c r="C28" s="1020"/>
      <c r="D28" s="1012">
        <v>7.5999999999999998E-2</v>
      </c>
      <c r="E28" s="1012">
        <v>9.1999999999999998E-2</v>
      </c>
      <c r="F28" s="1021"/>
    </row>
    <row r="29" spans="1:6" ht="14.25" thickBot="1">
      <c r="A29" s="783" t="s">
        <v>442</v>
      </c>
      <c r="B29" s="784" t="s">
        <v>883</v>
      </c>
      <c r="C29" s="1008">
        <v>6.4000000000000001E-2</v>
      </c>
      <c r="D29" s="1008">
        <v>6.5000000000000002E-2</v>
      </c>
      <c r="E29" s="1008">
        <v>6.9000000000000006E-2</v>
      </c>
      <c r="F29" s="1009">
        <v>0.1</v>
      </c>
    </row>
    <row r="30" spans="1:6" ht="14.25" thickBot="1">
      <c r="A30" s="783" t="s">
        <v>442</v>
      </c>
      <c r="B30" s="787" t="s">
        <v>189</v>
      </c>
      <c r="C30" s="1010">
        <v>6.4000000000000001E-2</v>
      </c>
      <c r="D30" s="1010">
        <v>9.9000000000000005E-2</v>
      </c>
      <c r="E30" s="1010">
        <v>0.1</v>
      </c>
      <c r="F30" s="1011">
        <v>0.1</v>
      </c>
    </row>
    <row r="31" spans="1:6" ht="14.25" thickBot="1">
      <c r="A31" s="783" t="s">
        <v>442</v>
      </c>
      <c r="B31" s="787" t="s">
        <v>202</v>
      </c>
      <c r="C31" s="1010">
        <v>0.1</v>
      </c>
      <c r="D31" s="1010">
        <v>9.5000000000000001E-2</v>
      </c>
      <c r="E31" s="1010">
        <v>8.8999999999999996E-2</v>
      </c>
      <c r="F31" s="1011">
        <v>0.1</v>
      </c>
    </row>
    <row r="32" spans="1:6" ht="14.25" thickBot="1">
      <c r="A32" s="783" t="s">
        <v>442</v>
      </c>
      <c r="B32" s="787" t="s">
        <v>215</v>
      </c>
      <c r="C32" s="1010">
        <v>0.05</v>
      </c>
      <c r="D32" s="1010">
        <v>0.05</v>
      </c>
      <c r="E32" s="1010">
        <v>8.7999999999999995E-2</v>
      </c>
      <c r="F32" s="1011">
        <v>0.1</v>
      </c>
    </row>
    <row r="33" spans="1:6" ht="14.25" thickBot="1">
      <c r="A33" s="783" t="s">
        <v>442</v>
      </c>
      <c r="B33" s="787" t="s">
        <v>227</v>
      </c>
      <c r="C33" s="1010">
        <v>7.4999999999999997E-2</v>
      </c>
      <c r="D33" s="1010">
        <v>9.4E-2</v>
      </c>
      <c r="E33" s="1010">
        <v>9.7000000000000003E-2</v>
      </c>
      <c r="F33" s="1011">
        <v>0.1</v>
      </c>
    </row>
    <row r="34" spans="1:6" ht="14.25" thickBot="1">
      <c r="A34" s="783" t="s">
        <v>442</v>
      </c>
      <c r="B34" s="787" t="s">
        <v>238</v>
      </c>
      <c r="C34" s="1010">
        <v>9.8000000000000004E-2</v>
      </c>
      <c r="D34" s="1010">
        <v>8.5999999999999993E-2</v>
      </c>
      <c r="E34" s="1010">
        <v>9.7000000000000003E-2</v>
      </c>
      <c r="F34" s="1011">
        <v>0.1</v>
      </c>
    </row>
    <row r="35" spans="1:6" ht="14.25" thickBot="1">
      <c r="A35" s="783" t="s">
        <v>442</v>
      </c>
      <c r="B35" s="787" t="s">
        <v>249</v>
      </c>
      <c r="C35" s="1010">
        <v>5.8999999999999997E-2</v>
      </c>
      <c r="D35" s="1010">
        <v>6.5000000000000002E-2</v>
      </c>
      <c r="E35" s="1010">
        <v>7.0000000000000007E-2</v>
      </c>
      <c r="F35" s="1011">
        <v>0.1</v>
      </c>
    </row>
    <row r="36" spans="1:6" ht="14.25" thickBot="1">
      <c r="A36" s="783" t="s">
        <v>442</v>
      </c>
      <c r="B36" s="787" t="s">
        <v>260</v>
      </c>
      <c r="C36" s="1010">
        <v>6.3E-2</v>
      </c>
      <c r="D36" s="1010">
        <v>0.1</v>
      </c>
      <c r="E36" s="1010">
        <v>0.1</v>
      </c>
      <c r="F36" s="1011">
        <v>0.1</v>
      </c>
    </row>
    <row r="37" spans="1:6" ht="14.25" thickBot="1">
      <c r="A37" s="783" t="s">
        <v>442</v>
      </c>
      <c r="B37" s="787" t="s">
        <v>272</v>
      </c>
      <c r="C37" s="1010">
        <v>7.3999999999999996E-2</v>
      </c>
      <c r="D37" s="1010">
        <v>0.1</v>
      </c>
      <c r="E37" s="1010">
        <v>0.1</v>
      </c>
      <c r="F37" s="1011">
        <v>0.1</v>
      </c>
    </row>
    <row r="38" spans="1:6" ht="14.25" thickBot="1">
      <c r="A38" s="783" t="s">
        <v>442</v>
      </c>
      <c r="B38" s="787" t="s">
        <v>282</v>
      </c>
      <c r="C38" s="1010">
        <v>0.1</v>
      </c>
      <c r="D38" s="1010">
        <v>9.6000000000000002E-2</v>
      </c>
      <c r="E38" s="1010">
        <v>9.6000000000000002E-2</v>
      </c>
      <c r="F38" s="1022"/>
    </row>
    <row r="39" spans="1:6" ht="14.25" thickBot="1">
      <c r="A39" s="783" t="s">
        <v>442</v>
      </c>
      <c r="B39" s="787" t="s">
        <v>292</v>
      </c>
      <c r="C39" s="1010">
        <v>0.1</v>
      </c>
      <c r="D39" s="1010">
        <v>9.6000000000000002E-2</v>
      </c>
      <c r="E39" s="1010">
        <v>9.6000000000000002E-2</v>
      </c>
      <c r="F39" s="1022"/>
    </row>
    <row r="40" spans="1:6" ht="14.25" thickBot="1">
      <c r="A40" s="783" t="s">
        <v>442</v>
      </c>
      <c r="B40" s="787" t="s">
        <v>302</v>
      </c>
      <c r="C40" s="1010">
        <v>9.6000000000000002E-2</v>
      </c>
      <c r="D40" s="1010">
        <v>0.1</v>
      </c>
      <c r="E40" s="1010">
        <v>9.9000000000000005E-2</v>
      </c>
      <c r="F40" s="1022"/>
    </row>
    <row r="41" spans="1:6" ht="14.25" thickBot="1">
      <c r="A41" s="783" t="s">
        <v>442</v>
      </c>
      <c r="B41" s="787" t="s">
        <v>312</v>
      </c>
      <c r="C41" s="1010">
        <v>9.6000000000000002E-2</v>
      </c>
      <c r="D41" s="1010">
        <v>9.8000000000000004E-2</v>
      </c>
      <c r="E41" s="1010">
        <v>9.8000000000000004E-2</v>
      </c>
      <c r="F41" s="1022"/>
    </row>
    <row r="42" spans="1:6" ht="14.25" thickBot="1">
      <c r="A42" s="783" t="s">
        <v>442</v>
      </c>
      <c r="B42" s="787" t="s">
        <v>323</v>
      </c>
      <c r="C42" s="1010">
        <v>0.1</v>
      </c>
      <c r="D42" s="1010">
        <v>8.7999999999999995E-2</v>
      </c>
      <c r="E42" s="1010">
        <v>0.1</v>
      </c>
      <c r="F42" s="1022"/>
    </row>
    <row r="43" spans="1:6" ht="14.25" thickBot="1">
      <c r="A43" s="783" t="s">
        <v>442</v>
      </c>
      <c r="B43" s="787" t="s">
        <v>334</v>
      </c>
      <c r="C43" s="1010">
        <v>9.8000000000000004E-2</v>
      </c>
      <c r="D43" s="1010">
        <v>9.7000000000000003E-2</v>
      </c>
      <c r="E43" s="1010">
        <v>9.6000000000000002E-2</v>
      </c>
      <c r="F43" s="1022"/>
    </row>
    <row r="44" spans="1:6" ht="14.25" thickBot="1">
      <c r="A44" s="783" t="s">
        <v>442</v>
      </c>
      <c r="B44" s="787" t="s">
        <v>344</v>
      </c>
      <c r="C44" s="1010">
        <v>8.5999999999999993E-2</v>
      </c>
      <c r="D44" s="1010">
        <v>7.9000000000000001E-2</v>
      </c>
      <c r="E44" s="1010">
        <v>7.0999999999999994E-2</v>
      </c>
      <c r="F44" s="1022"/>
    </row>
    <row r="45" spans="1:6" ht="14.25" thickBot="1">
      <c r="A45" s="783" t="s">
        <v>442</v>
      </c>
      <c r="B45" s="787" t="s">
        <v>354</v>
      </c>
      <c r="C45" s="1010">
        <v>9.8000000000000004E-2</v>
      </c>
      <c r="D45" s="1010">
        <v>9.6000000000000002E-2</v>
      </c>
      <c r="E45" s="1010">
        <v>9.6000000000000002E-2</v>
      </c>
      <c r="F45" s="1022"/>
    </row>
    <row r="46" spans="1:6" ht="14.25" thickBot="1">
      <c r="A46" s="783" t="s">
        <v>442</v>
      </c>
      <c r="B46" s="787" t="s">
        <v>364</v>
      </c>
      <c r="C46" s="1010">
        <v>8.5999999999999993E-2</v>
      </c>
      <c r="D46" s="1010">
        <v>9.8000000000000004E-2</v>
      </c>
      <c r="E46" s="1010">
        <v>8.7999999999999995E-2</v>
      </c>
      <c r="F46" s="1022"/>
    </row>
    <row r="47" spans="1:6" ht="14.25" thickBot="1">
      <c r="A47" s="783" t="s">
        <v>442</v>
      </c>
      <c r="B47" s="787" t="s">
        <v>374</v>
      </c>
      <c r="C47" s="1010">
        <v>9.6000000000000002E-2</v>
      </c>
      <c r="D47" s="1023"/>
      <c r="E47" s="1010">
        <v>6.9000000000000006E-2</v>
      </c>
      <c r="F47" s="1022"/>
    </row>
    <row r="48" spans="1:6" ht="14.25" thickBot="1">
      <c r="A48" s="793" t="s">
        <v>442</v>
      </c>
      <c r="B48" s="788" t="s">
        <v>383</v>
      </c>
      <c r="C48" s="1012">
        <v>9.8000000000000004E-2</v>
      </c>
      <c r="D48" s="1020"/>
      <c r="E48" s="1012">
        <v>9.5000000000000001E-2</v>
      </c>
      <c r="F48" s="1021"/>
    </row>
    <row r="49" spans="1:6" ht="14.25" thickBot="1">
      <c r="A49" s="783" t="s">
        <v>137</v>
      </c>
      <c r="B49" s="784" t="s">
        <v>884</v>
      </c>
      <c r="C49" s="1008">
        <v>9.7000000000000003E-2</v>
      </c>
      <c r="D49" s="1008">
        <v>9.5000000000000001E-2</v>
      </c>
      <c r="E49" s="1008">
        <v>9.7000000000000003E-2</v>
      </c>
      <c r="F49" s="1009">
        <v>0.1</v>
      </c>
    </row>
    <row r="50" spans="1:6" ht="14.25" thickBot="1">
      <c r="A50" s="783" t="s">
        <v>137</v>
      </c>
      <c r="B50" s="777" t="s">
        <v>190</v>
      </c>
      <c r="C50" s="1010">
        <v>7.4999999999999997E-2</v>
      </c>
      <c r="D50" s="1010">
        <v>9.5000000000000001E-2</v>
      </c>
      <c r="E50" s="1010">
        <v>0.1</v>
      </c>
      <c r="F50" s="1011">
        <v>0.1</v>
      </c>
    </row>
    <row r="51" spans="1:6" ht="14.25" thickBot="1">
      <c r="A51" s="783" t="s">
        <v>137</v>
      </c>
      <c r="B51" s="777" t="s">
        <v>203</v>
      </c>
      <c r="C51" s="1010">
        <v>9.8000000000000004E-2</v>
      </c>
      <c r="D51" s="1010">
        <v>8.8999999999999996E-2</v>
      </c>
      <c r="E51" s="1010">
        <v>0.1</v>
      </c>
      <c r="F51" s="1011">
        <v>0.1</v>
      </c>
    </row>
    <row r="52" spans="1:6" ht="14.25" thickBot="1">
      <c r="A52" s="783" t="s">
        <v>137</v>
      </c>
      <c r="B52" s="777" t="s">
        <v>216</v>
      </c>
      <c r="C52" s="1010">
        <v>9.8000000000000004E-2</v>
      </c>
      <c r="D52" s="1010">
        <v>9.7000000000000003E-2</v>
      </c>
      <c r="E52" s="1010">
        <v>8.1000000000000003E-2</v>
      </c>
      <c r="F52" s="1011">
        <v>0.1</v>
      </c>
    </row>
    <row r="53" spans="1:6" ht="14.25" thickBot="1">
      <c r="A53" s="783" t="s">
        <v>137</v>
      </c>
      <c r="B53" s="777" t="s">
        <v>228</v>
      </c>
      <c r="C53" s="1010">
        <v>9.7000000000000003E-2</v>
      </c>
      <c r="D53" s="1010">
        <v>7.5999999999999998E-2</v>
      </c>
      <c r="E53" s="1010">
        <v>7.0999999999999994E-2</v>
      </c>
      <c r="F53" s="1011">
        <v>0.1</v>
      </c>
    </row>
    <row r="54" spans="1:6" ht="14.25" thickBot="1">
      <c r="A54" s="783" t="s">
        <v>137</v>
      </c>
      <c r="B54" s="777" t="s">
        <v>239</v>
      </c>
      <c r="C54" s="1010">
        <v>7.5999999999999998E-2</v>
      </c>
      <c r="D54" s="1010">
        <v>0.1</v>
      </c>
      <c r="E54" s="1010">
        <v>9.9000000000000005E-2</v>
      </c>
      <c r="F54" s="1011">
        <v>0.1</v>
      </c>
    </row>
    <row r="55" spans="1:6" ht="14.25" thickBot="1">
      <c r="A55" s="783" t="s">
        <v>137</v>
      </c>
      <c r="B55" s="777" t="s">
        <v>250</v>
      </c>
      <c r="C55" s="1010">
        <v>0.1</v>
      </c>
      <c r="D55" s="1010">
        <v>0.1</v>
      </c>
      <c r="E55" s="1010">
        <v>9.6000000000000002E-2</v>
      </c>
      <c r="F55" s="1011">
        <v>0.1</v>
      </c>
    </row>
    <row r="56" spans="1:6" ht="14.25" thickBot="1">
      <c r="A56" s="783" t="s">
        <v>137</v>
      </c>
      <c r="B56" s="777" t="s">
        <v>261</v>
      </c>
      <c r="C56" s="1010">
        <v>0.1</v>
      </c>
      <c r="D56" s="1010">
        <v>9.6000000000000002E-2</v>
      </c>
      <c r="E56" s="1010">
        <v>5.1999999999999998E-2</v>
      </c>
      <c r="F56" s="1011">
        <v>0.1</v>
      </c>
    </row>
    <row r="57" spans="1:6" ht="14.25" thickBot="1">
      <c r="A57" s="783" t="s">
        <v>137</v>
      </c>
      <c r="B57" s="777" t="s">
        <v>273</v>
      </c>
      <c r="C57" s="1010">
        <v>9.7000000000000003E-2</v>
      </c>
      <c r="D57" s="1010">
        <v>9.6000000000000002E-2</v>
      </c>
      <c r="E57" s="1010">
        <v>9.6000000000000002E-2</v>
      </c>
      <c r="F57" s="1011">
        <v>0.1</v>
      </c>
    </row>
    <row r="58" spans="1:6" ht="14.25" thickBot="1">
      <c r="A58" s="783" t="s">
        <v>137</v>
      </c>
      <c r="B58" s="777" t="s">
        <v>283</v>
      </c>
      <c r="C58" s="1010">
        <v>9.6000000000000002E-2</v>
      </c>
      <c r="D58" s="1010">
        <v>9.9000000000000005E-2</v>
      </c>
      <c r="E58" s="1010">
        <v>9.6000000000000002E-2</v>
      </c>
      <c r="F58" s="1011">
        <v>0.1</v>
      </c>
    </row>
    <row r="59" spans="1:6" ht="14.25" thickBot="1">
      <c r="A59" s="783" t="s">
        <v>137</v>
      </c>
      <c r="B59" s="777" t="s">
        <v>293</v>
      </c>
      <c r="C59" s="1010">
        <v>7.1999999999999995E-2</v>
      </c>
      <c r="D59" s="1010">
        <v>9.6000000000000002E-2</v>
      </c>
      <c r="E59" s="1010">
        <v>7.0999999999999994E-2</v>
      </c>
      <c r="F59" s="1011">
        <v>0.1</v>
      </c>
    </row>
    <row r="60" spans="1:6" ht="14.25" thickBot="1">
      <c r="A60" s="783" t="s">
        <v>137</v>
      </c>
      <c r="B60" s="777" t="s">
        <v>303</v>
      </c>
      <c r="C60" s="1010">
        <v>9.6000000000000002E-2</v>
      </c>
      <c r="D60" s="1010">
        <v>8.8999999999999996E-2</v>
      </c>
      <c r="E60" s="1010">
        <v>9.6000000000000002E-2</v>
      </c>
      <c r="F60" s="1011">
        <v>0.1</v>
      </c>
    </row>
    <row r="61" spans="1:6" ht="14.25" thickBot="1">
      <c r="A61" s="783" t="s">
        <v>137</v>
      </c>
      <c r="B61" s="777" t="s">
        <v>313</v>
      </c>
      <c r="C61" s="1010">
        <v>8.8999999999999996E-2</v>
      </c>
      <c r="D61" s="1010">
        <v>9.8000000000000004E-2</v>
      </c>
      <c r="E61" s="1010">
        <v>8.7999999999999995E-2</v>
      </c>
      <c r="F61" s="1022"/>
    </row>
    <row r="62" spans="1:6" ht="14.25" thickBot="1">
      <c r="A62" s="783" t="s">
        <v>137</v>
      </c>
      <c r="B62" s="777" t="s">
        <v>324</v>
      </c>
      <c r="C62" s="1010">
        <v>9.8000000000000004E-2</v>
      </c>
      <c r="D62" s="1010">
        <v>9.2999999999999999E-2</v>
      </c>
      <c r="E62" s="1010">
        <v>9.7000000000000003E-2</v>
      </c>
      <c r="F62" s="1022"/>
    </row>
    <row r="63" spans="1:6" ht="14.25" thickBot="1">
      <c r="A63" s="783" t="s">
        <v>137</v>
      </c>
      <c r="B63" s="777" t="s">
        <v>335</v>
      </c>
      <c r="C63" s="1010">
        <v>9.6000000000000002E-2</v>
      </c>
      <c r="D63" s="1010">
        <v>9.8000000000000004E-2</v>
      </c>
      <c r="E63" s="1010">
        <v>0.09</v>
      </c>
      <c r="F63" s="1022"/>
    </row>
    <row r="64" spans="1:6" ht="14.25" thickBot="1">
      <c r="A64" s="783" t="s">
        <v>137</v>
      </c>
      <c r="B64" s="777" t="s">
        <v>345</v>
      </c>
      <c r="C64" s="1010">
        <v>9.9000000000000005E-2</v>
      </c>
      <c r="D64" s="1010">
        <v>9.7000000000000003E-2</v>
      </c>
      <c r="E64" s="1010">
        <v>9.9000000000000005E-2</v>
      </c>
      <c r="F64" s="1022"/>
    </row>
    <row r="65" spans="1:6" ht="14.25" thickBot="1">
      <c r="A65" s="783" t="s">
        <v>137</v>
      </c>
      <c r="B65" s="777" t="s">
        <v>355</v>
      </c>
      <c r="C65" s="1010">
        <v>9.8000000000000004E-2</v>
      </c>
      <c r="D65" s="1010">
        <v>9.6000000000000002E-2</v>
      </c>
      <c r="E65" s="1010">
        <v>9.6000000000000002E-2</v>
      </c>
      <c r="F65" s="1022"/>
    </row>
    <row r="66" spans="1:6" ht="14.25" thickBot="1">
      <c r="A66" s="783" t="s">
        <v>137</v>
      </c>
      <c r="B66" s="777" t="s">
        <v>365</v>
      </c>
      <c r="C66" s="1010">
        <v>9.6000000000000002E-2</v>
      </c>
      <c r="D66" s="1010">
        <v>9.1999999999999998E-2</v>
      </c>
      <c r="E66" s="1010">
        <v>9.6000000000000002E-2</v>
      </c>
      <c r="F66" s="1022"/>
    </row>
    <row r="67" spans="1:6" ht="14.25" thickBot="1">
      <c r="A67" s="783" t="s">
        <v>137</v>
      </c>
      <c r="B67" s="777" t="s">
        <v>375</v>
      </c>
      <c r="C67" s="1010">
        <v>9.4E-2</v>
      </c>
      <c r="D67" s="1010">
        <v>0.1</v>
      </c>
      <c r="E67" s="1010">
        <v>8.7999999999999995E-2</v>
      </c>
      <c r="F67" s="1022"/>
    </row>
    <row r="68" spans="1:6" ht="14.25" thickBot="1">
      <c r="A68" s="783" t="s">
        <v>137</v>
      </c>
      <c r="B68" s="777" t="s">
        <v>384</v>
      </c>
      <c r="C68" s="1010">
        <v>0.1</v>
      </c>
      <c r="D68" s="1010">
        <v>8.7999999999999995E-2</v>
      </c>
      <c r="E68" s="1010">
        <v>9.7000000000000003E-2</v>
      </c>
      <c r="F68" s="1022"/>
    </row>
    <row r="69" spans="1:6" ht="14.25" thickBot="1">
      <c r="A69" s="783" t="s">
        <v>137</v>
      </c>
      <c r="B69" s="777" t="s">
        <v>393</v>
      </c>
      <c r="C69" s="1010">
        <v>6.4000000000000001E-2</v>
      </c>
      <c r="D69" s="1010">
        <v>0.1</v>
      </c>
      <c r="E69" s="1010">
        <v>0.1</v>
      </c>
      <c r="F69" s="1022"/>
    </row>
    <row r="70" spans="1:6" ht="14.25" thickBot="1">
      <c r="A70" s="783" t="s">
        <v>137</v>
      </c>
      <c r="B70" s="777" t="s">
        <v>401</v>
      </c>
      <c r="C70" s="1010">
        <v>9.0999999999999998E-2</v>
      </c>
      <c r="D70" s="1023"/>
      <c r="E70" s="1023"/>
      <c r="F70" s="1022"/>
    </row>
    <row r="71" spans="1:6" ht="14.25" thickBot="1">
      <c r="A71" s="783" t="s">
        <v>137</v>
      </c>
      <c r="B71" s="777" t="s">
        <v>408</v>
      </c>
      <c r="C71" s="1010">
        <v>0.1</v>
      </c>
      <c r="D71" s="1023"/>
      <c r="E71" s="1023"/>
      <c r="F71" s="1022"/>
    </row>
    <row r="72" spans="1:6" ht="14.25" thickBot="1">
      <c r="A72" s="783" t="s">
        <v>137</v>
      </c>
      <c r="B72" s="777" t="s">
        <v>885</v>
      </c>
      <c r="C72" s="1023"/>
      <c r="D72" s="1023"/>
      <c r="E72" s="1023"/>
      <c r="F72" s="1011">
        <v>0.05</v>
      </c>
    </row>
    <row r="73" spans="1:6" ht="14.25" thickBot="1">
      <c r="A73" s="783" t="s">
        <v>137</v>
      </c>
      <c r="B73" s="777" t="s">
        <v>886</v>
      </c>
      <c r="C73" s="1023"/>
      <c r="D73" s="1023"/>
      <c r="E73" s="1023"/>
      <c r="F73" s="1011">
        <v>0.05</v>
      </c>
    </row>
    <row r="74" spans="1:6" ht="14.25" thickBot="1">
      <c r="A74" s="783" t="s">
        <v>137</v>
      </c>
      <c r="B74" s="777" t="s">
        <v>887</v>
      </c>
      <c r="C74" s="1023"/>
      <c r="D74" s="1023"/>
      <c r="E74" s="1023"/>
      <c r="F74" s="1011">
        <v>0.05</v>
      </c>
    </row>
    <row r="75" spans="1:6" ht="14.25" thickBot="1">
      <c r="A75" s="793" t="s">
        <v>137</v>
      </c>
      <c r="B75" s="789" t="s">
        <v>888</v>
      </c>
      <c r="C75" s="1020"/>
      <c r="D75" s="1020"/>
      <c r="E75" s="1020"/>
      <c r="F75" s="1013">
        <v>0.05</v>
      </c>
    </row>
    <row r="76" spans="1:6" ht="14.25" thickBot="1">
      <c r="A76" s="783" t="s">
        <v>523</v>
      </c>
      <c r="B76" s="784" t="s">
        <v>889</v>
      </c>
      <c r="C76" s="1008">
        <v>0.1</v>
      </c>
      <c r="D76" s="1008">
        <v>0.1</v>
      </c>
      <c r="E76" s="1008">
        <v>0.1</v>
      </c>
      <c r="F76" s="1009">
        <v>0.1</v>
      </c>
    </row>
    <row r="77" spans="1:6" ht="14.25" thickBot="1">
      <c r="A77" s="783" t="s">
        <v>523</v>
      </c>
      <c r="B77" s="777" t="s">
        <v>191</v>
      </c>
      <c r="C77" s="1010">
        <v>8.7999999999999995E-2</v>
      </c>
      <c r="D77" s="1010">
        <v>8.6999999999999994E-2</v>
      </c>
      <c r="E77" s="1010">
        <v>7.9000000000000001E-2</v>
      </c>
      <c r="F77" s="1011">
        <v>0.1</v>
      </c>
    </row>
    <row r="78" spans="1:6" ht="14.25" thickBot="1">
      <c r="A78" s="783" t="s">
        <v>523</v>
      </c>
      <c r="B78" s="777" t="s">
        <v>204</v>
      </c>
      <c r="C78" s="1010">
        <v>8.6999999999999994E-2</v>
      </c>
      <c r="D78" s="1010">
        <v>8.4000000000000005E-2</v>
      </c>
      <c r="E78" s="1010">
        <v>9.6000000000000002E-2</v>
      </c>
      <c r="F78" s="1011">
        <v>0.1</v>
      </c>
    </row>
    <row r="79" spans="1:6" ht="14.25" thickBot="1">
      <c r="A79" s="783" t="s">
        <v>523</v>
      </c>
      <c r="B79" s="777" t="s">
        <v>217</v>
      </c>
      <c r="C79" s="1010">
        <v>9.8000000000000004E-2</v>
      </c>
      <c r="D79" s="1010">
        <v>9.8000000000000004E-2</v>
      </c>
      <c r="E79" s="1010">
        <v>9.0999999999999998E-2</v>
      </c>
      <c r="F79" s="1011">
        <v>0.1</v>
      </c>
    </row>
    <row r="80" spans="1:6" ht="14.25" thickBot="1">
      <c r="A80" s="783" t="s">
        <v>523</v>
      </c>
      <c r="B80" s="777" t="s">
        <v>229</v>
      </c>
      <c r="C80" s="1010">
        <v>9.6000000000000002E-2</v>
      </c>
      <c r="D80" s="1010">
        <v>9.6000000000000002E-2</v>
      </c>
      <c r="E80" s="1010">
        <v>0.1</v>
      </c>
      <c r="F80" s="1011">
        <v>0.1</v>
      </c>
    </row>
    <row r="81" spans="1:6" ht="14.25" thickBot="1">
      <c r="A81" s="783" t="s">
        <v>523</v>
      </c>
      <c r="B81" s="777" t="s">
        <v>240</v>
      </c>
      <c r="C81" s="1010">
        <v>9.9000000000000005E-2</v>
      </c>
      <c r="D81" s="1010">
        <v>9.9000000000000005E-2</v>
      </c>
      <c r="E81" s="1010">
        <v>9.8000000000000004E-2</v>
      </c>
      <c r="F81" s="1011">
        <v>0.1</v>
      </c>
    </row>
    <row r="82" spans="1:6" ht="14.25" thickBot="1">
      <c r="A82" s="783" t="s">
        <v>523</v>
      </c>
      <c r="B82" s="777" t="s">
        <v>251</v>
      </c>
      <c r="C82" s="1010">
        <v>9.9000000000000005E-2</v>
      </c>
      <c r="D82" s="1010">
        <v>9.9000000000000005E-2</v>
      </c>
      <c r="E82" s="1010">
        <v>9.7000000000000003E-2</v>
      </c>
      <c r="F82" s="1011">
        <v>0.1</v>
      </c>
    </row>
    <row r="83" spans="1:6" ht="14.25" thickBot="1">
      <c r="A83" s="783" t="s">
        <v>523</v>
      </c>
      <c r="B83" s="777" t="s">
        <v>262</v>
      </c>
      <c r="C83" s="1010">
        <v>9.8000000000000004E-2</v>
      </c>
      <c r="D83" s="1010">
        <v>9.8000000000000004E-2</v>
      </c>
      <c r="E83" s="1010">
        <v>9.8000000000000004E-2</v>
      </c>
      <c r="F83" s="1011">
        <v>0.1</v>
      </c>
    </row>
    <row r="84" spans="1:6" ht="14.25" thickBot="1">
      <c r="A84" s="783" t="s">
        <v>523</v>
      </c>
      <c r="B84" s="777" t="s">
        <v>274</v>
      </c>
      <c r="C84" s="1010">
        <v>9.9000000000000005E-2</v>
      </c>
      <c r="D84" s="1010">
        <v>9.9000000000000005E-2</v>
      </c>
      <c r="E84" s="1010">
        <v>9.9000000000000005E-2</v>
      </c>
      <c r="F84" s="1011">
        <v>0.1</v>
      </c>
    </row>
    <row r="85" spans="1:6" ht="14.25" thickBot="1">
      <c r="A85" s="783" t="s">
        <v>523</v>
      </c>
      <c r="B85" s="777" t="s">
        <v>284</v>
      </c>
      <c r="C85" s="1010">
        <v>9.9000000000000005E-2</v>
      </c>
      <c r="D85" s="1010">
        <v>9.9000000000000005E-2</v>
      </c>
      <c r="E85" s="1010">
        <v>9.9000000000000005E-2</v>
      </c>
      <c r="F85" s="1011">
        <v>0.1</v>
      </c>
    </row>
    <row r="86" spans="1:6" ht="14.25" thickBot="1">
      <c r="A86" s="783" t="s">
        <v>523</v>
      </c>
      <c r="B86" s="777" t="s">
        <v>294</v>
      </c>
      <c r="C86" s="1010">
        <v>0.1</v>
      </c>
      <c r="D86" s="1010">
        <v>0.1</v>
      </c>
      <c r="E86" s="1010">
        <v>7.6999999999999999E-2</v>
      </c>
      <c r="F86" s="1011">
        <v>0.1</v>
      </c>
    </row>
    <row r="87" spans="1:6" ht="14.25" thickBot="1">
      <c r="A87" s="783" t="s">
        <v>523</v>
      </c>
      <c r="B87" s="777" t="s">
        <v>304</v>
      </c>
      <c r="C87" s="1010">
        <v>0.1</v>
      </c>
      <c r="D87" s="1010">
        <v>0.1</v>
      </c>
      <c r="E87" s="1010">
        <v>9.8000000000000004E-2</v>
      </c>
      <c r="F87" s="1022"/>
    </row>
    <row r="88" spans="1:6" ht="14.25" thickBot="1">
      <c r="A88" s="783" t="s">
        <v>523</v>
      </c>
      <c r="B88" s="777" t="s">
        <v>314</v>
      </c>
      <c r="C88" s="1010">
        <v>9.1999999999999998E-2</v>
      </c>
      <c r="D88" s="1010">
        <v>8.5000000000000006E-2</v>
      </c>
      <c r="E88" s="1010">
        <v>9.6000000000000002E-2</v>
      </c>
      <c r="F88" s="1022"/>
    </row>
    <row r="89" spans="1:6" ht="14.25" thickBot="1">
      <c r="A89" s="783" t="s">
        <v>523</v>
      </c>
      <c r="B89" s="777" t="s">
        <v>325</v>
      </c>
      <c r="C89" s="1010">
        <v>0.1</v>
      </c>
      <c r="D89" s="1010">
        <v>0.1</v>
      </c>
      <c r="E89" s="1010">
        <v>9.7000000000000003E-2</v>
      </c>
      <c r="F89" s="1022"/>
    </row>
    <row r="90" spans="1:6" ht="14.25" thickBot="1">
      <c r="A90" s="783" t="s">
        <v>523</v>
      </c>
      <c r="B90" s="777" t="s">
        <v>336</v>
      </c>
      <c r="C90" s="1010">
        <v>9.8000000000000004E-2</v>
      </c>
      <c r="D90" s="1010">
        <v>9.8000000000000004E-2</v>
      </c>
      <c r="E90" s="1010">
        <v>8.7999999999999995E-2</v>
      </c>
      <c r="F90" s="1022"/>
    </row>
    <row r="91" spans="1:6" ht="14.25" thickBot="1">
      <c r="A91" s="783" t="s">
        <v>523</v>
      </c>
      <c r="B91" s="777" t="s">
        <v>346</v>
      </c>
      <c r="C91" s="1010">
        <v>9.9000000000000005E-2</v>
      </c>
      <c r="D91" s="1010">
        <v>9.9000000000000005E-2</v>
      </c>
      <c r="E91" s="1010">
        <v>9.0999999999999998E-2</v>
      </c>
      <c r="F91" s="1022"/>
    </row>
    <row r="92" spans="1:6" ht="14.25" thickBot="1">
      <c r="A92" s="783" t="s">
        <v>523</v>
      </c>
      <c r="B92" s="777" t="s">
        <v>356</v>
      </c>
      <c r="C92" s="1010">
        <v>9.6000000000000002E-2</v>
      </c>
      <c r="D92" s="1010">
        <v>9.6000000000000002E-2</v>
      </c>
      <c r="E92" s="1010">
        <v>7.2999999999999995E-2</v>
      </c>
      <c r="F92" s="1022"/>
    </row>
    <row r="93" spans="1:6" ht="14.25" thickBot="1">
      <c r="A93" s="783" t="s">
        <v>523</v>
      </c>
      <c r="B93" s="777" t="s">
        <v>366</v>
      </c>
      <c r="C93" s="1010">
        <v>9.6000000000000002E-2</v>
      </c>
      <c r="D93" s="1010">
        <v>9.6000000000000002E-2</v>
      </c>
      <c r="E93" s="1010">
        <v>9.9000000000000005E-2</v>
      </c>
      <c r="F93" s="1022"/>
    </row>
    <row r="94" spans="1:6" ht="14.25" thickBot="1">
      <c r="A94" s="783" t="s">
        <v>523</v>
      </c>
      <c r="B94" s="777" t="s">
        <v>376</v>
      </c>
      <c r="C94" s="1010">
        <v>7.5999999999999998E-2</v>
      </c>
      <c r="D94" s="1010">
        <v>7.3999999999999996E-2</v>
      </c>
      <c r="E94" s="1010">
        <v>9.7000000000000003E-2</v>
      </c>
      <c r="F94" s="1022"/>
    </row>
    <row r="95" spans="1:6" ht="14.25" thickBot="1">
      <c r="A95" s="783" t="s">
        <v>523</v>
      </c>
      <c r="B95" s="777" t="s">
        <v>385</v>
      </c>
      <c r="C95" s="1010">
        <v>9.9000000000000005E-2</v>
      </c>
      <c r="D95" s="1010">
        <v>9.4E-2</v>
      </c>
      <c r="E95" s="1010">
        <v>9.6000000000000002E-2</v>
      </c>
      <c r="F95" s="1022"/>
    </row>
    <row r="96" spans="1:6" ht="14.25" thickBot="1">
      <c r="A96" s="783" t="s">
        <v>523</v>
      </c>
      <c r="B96" s="777" t="s">
        <v>394</v>
      </c>
      <c r="C96" s="1010">
        <v>9.9000000000000005E-2</v>
      </c>
      <c r="D96" s="1010">
        <v>9.9000000000000005E-2</v>
      </c>
      <c r="E96" s="1010">
        <v>9.9000000000000005E-2</v>
      </c>
      <c r="F96" s="1022"/>
    </row>
    <row r="97" spans="1:6" ht="14.25" thickBot="1">
      <c r="A97" s="783" t="s">
        <v>523</v>
      </c>
      <c r="B97" s="777" t="s">
        <v>402</v>
      </c>
      <c r="C97" s="1010">
        <v>9.8000000000000004E-2</v>
      </c>
      <c r="D97" s="1010">
        <v>9.8000000000000004E-2</v>
      </c>
      <c r="E97" s="1010">
        <v>9.7000000000000003E-2</v>
      </c>
      <c r="F97" s="1022"/>
    </row>
    <row r="98" spans="1:6" ht="14.25" thickBot="1">
      <c r="A98" s="783" t="s">
        <v>523</v>
      </c>
      <c r="B98" s="777" t="s">
        <v>409</v>
      </c>
      <c r="C98" s="1010">
        <v>0.1</v>
      </c>
      <c r="D98" s="1010">
        <v>0.1</v>
      </c>
      <c r="E98" s="1010">
        <v>9.7000000000000003E-2</v>
      </c>
      <c r="F98" s="1022"/>
    </row>
    <row r="99" spans="1:6" ht="14.25" thickBot="1">
      <c r="A99" s="783" t="s">
        <v>523</v>
      </c>
      <c r="B99" s="777" t="s">
        <v>416</v>
      </c>
      <c r="C99" s="1010">
        <v>0.1</v>
      </c>
      <c r="D99" s="1010">
        <v>0.1</v>
      </c>
      <c r="E99" s="1023"/>
      <c r="F99" s="1022"/>
    </row>
    <row r="100" spans="1:6" ht="14.25" thickBot="1">
      <c r="A100" s="783" t="s">
        <v>523</v>
      </c>
      <c r="B100" s="777" t="s">
        <v>423</v>
      </c>
      <c r="C100" s="1010">
        <v>0.09</v>
      </c>
      <c r="D100" s="1010">
        <v>8.8999999999999996E-2</v>
      </c>
      <c r="E100" s="1023"/>
      <c r="F100" s="1022"/>
    </row>
    <row r="101" spans="1:6" ht="14.25" thickBot="1">
      <c r="A101" s="783" t="s">
        <v>523</v>
      </c>
      <c r="B101" s="777" t="s">
        <v>430</v>
      </c>
      <c r="C101" s="1010">
        <v>9.8000000000000004E-2</v>
      </c>
      <c r="D101" s="1010">
        <v>9.7000000000000003E-2</v>
      </c>
      <c r="E101" s="1023"/>
      <c r="F101" s="1022"/>
    </row>
    <row r="102" spans="1:6" ht="14.25" thickBot="1">
      <c r="A102" s="783" t="s">
        <v>523</v>
      </c>
      <c r="B102" s="777" t="s">
        <v>890</v>
      </c>
      <c r="C102" s="1023"/>
      <c r="D102" s="1023"/>
      <c r="E102" s="1023"/>
      <c r="F102" s="1011">
        <v>0.05</v>
      </c>
    </row>
    <row r="103" spans="1:6" ht="24.75" thickBot="1">
      <c r="A103" s="783" t="s">
        <v>523</v>
      </c>
      <c r="B103" s="777" t="s">
        <v>891</v>
      </c>
      <c r="C103" s="1023"/>
      <c r="D103" s="1023"/>
      <c r="E103" s="1023"/>
      <c r="F103" s="1011">
        <v>0.05</v>
      </c>
    </row>
    <row r="104" spans="1:6" ht="14.25" thickBot="1">
      <c r="A104" s="783" t="s">
        <v>523</v>
      </c>
      <c r="B104" s="777" t="s">
        <v>892</v>
      </c>
      <c r="C104" s="1023"/>
      <c r="D104" s="1023"/>
      <c r="E104" s="1023"/>
      <c r="F104" s="1011">
        <v>0.05</v>
      </c>
    </row>
    <row r="105" spans="1:6" ht="14.25" thickBot="1">
      <c r="A105" s="783" t="s">
        <v>523</v>
      </c>
      <c r="B105" s="777" t="s">
        <v>893</v>
      </c>
      <c r="C105" s="1023"/>
      <c r="D105" s="1023"/>
      <c r="E105" s="1023"/>
      <c r="F105" s="1011">
        <v>0.05</v>
      </c>
    </row>
    <row r="106" spans="1:6" ht="14.25" thickBot="1">
      <c r="A106" s="783" t="s">
        <v>523</v>
      </c>
      <c r="B106" s="777" t="s">
        <v>894</v>
      </c>
      <c r="C106" s="1023"/>
      <c r="D106" s="1023"/>
      <c r="E106" s="1023"/>
      <c r="F106" s="1011">
        <v>0.05</v>
      </c>
    </row>
    <row r="107" spans="1:6" ht="24.75" thickBot="1">
      <c r="A107" s="783" t="s">
        <v>523</v>
      </c>
      <c r="B107" s="777" t="s">
        <v>895</v>
      </c>
      <c r="C107" s="1023"/>
      <c r="D107" s="1023"/>
      <c r="E107" s="1023"/>
      <c r="F107" s="1011">
        <v>0.05</v>
      </c>
    </row>
    <row r="108" spans="1:6" ht="24.75" thickBot="1">
      <c r="A108" s="783" t="s">
        <v>523</v>
      </c>
      <c r="B108" s="777" t="s">
        <v>896</v>
      </c>
      <c r="C108" s="1023"/>
      <c r="D108" s="1023"/>
      <c r="E108" s="1023"/>
      <c r="F108" s="1011">
        <v>0.05</v>
      </c>
    </row>
    <row r="109" spans="1:6" ht="24.75" thickBot="1">
      <c r="A109" s="793" t="s">
        <v>523</v>
      </c>
      <c r="B109" s="789" t="s">
        <v>897</v>
      </c>
      <c r="C109" s="1020"/>
      <c r="D109" s="1020"/>
      <c r="E109" s="1020"/>
      <c r="F109" s="1013">
        <v>0.05</v>
      </c>
    </row>
    <row r="110" spans="1:6" ht="14.25" thickBot="1">
      <c r="A110" s="783" t="s">
        <v>56</v>
      </c>
      <c r="B110" s="784" t="s">
        <v>898</v>
      </c>
      <c r="C110" s="1008">
        <v>0.129</v>
      </c>
      <c r="D110" s="1008">
        <v>0.129</v>
      </c>
      <c r="E110" s="1008">
        <v>0.126</v>
      </c>
      <c r="F110" s="1009">
        <v>0.13</v>
      </c>
    </row>
    <row r="111" spans="1:6" ht="14.25" thickBot="1">
      <c r="A111" s="783" t="s">
        <v>56</v>
      </c>
      <c r="B111" s="777" t="s">
        <v>192</v>
      </c>
      <c r="C111" s="1010">
        <v>0.11</v>
      </c>
      <c r="D111" s="1010">
        <v>0.11</v>
      </c>
      <c r="E111" s="1010">
        <v>9.9000000000000005E-2</v>
      </c>
      <c r="F111" s="1011">
        <v>0.128</v>
      </c>
    </row>
    <row r="112" spans="1:6" ht="14.25" thickBot="1">
      <c r="A112" s="783" t="s">
        <v>56</v>
      </c>
      <c r="B112" s="777" t="s">
        <v>205</v>
      </c>
      <c r="C112" s="1010">
        <v>0.125</v>
      </c>
      <c r="D112" s="1010">
        <v>0.125</v>
      </c>
      <c r="E112" s="1010">
        <v>0.12</v>
      </c>
      <c r="F112" s="1011">
        <v>0.125</v>
      </c>
    </row>
    <row r="113" spans="1:6" ht="14.25" thickBot="1">
      <c r="A113" s="783" t="s">
        <v>56</v>
      </c>
      <c r="B113" s="777" t="s">
        <v>218</v>
      </c>
      <c r="C113" s="1010">
        <v>0.13</v>
      </c>
      <c r="D113" s="1010">
        <v>0.13</v>
      </c>
      <c r="E113" s="1010">
        <v>0.13</v>
      </c>
      <c r="F113" s="1011">
        <v>0.13</v>
      </c>
    </row>
    <row r="114" spans="1:6" ht="14.25" thickBot="1">
      <c r="A114" s="783" t="s">
        <v>56</v>
      </c>
      <c r="B114" s="777" t="s">
        <v>230</v>
      </c>
      <c r="C114" s="1010">
        <v>0.123</v>
      </c>
      <c r="D114" s="1010">
        <v>0.123</v>
      </c>
      <c r="E114" s="1010">
        <v>0.12</v>
      </c>
      <c r="F114" s="1011">
        <v>0.13</v>
      </c>
    </row>
    <row r="115" spans="1:6" ht="14.25" thickBot="1">
      <c r="A115" s="783" t="s">
        <v>56</v>
      </c>
      <c r="B115" s="777" t="s">
        <v>241</v>
      </c>
      <c r="C115" s="1010">
        <v>0.125</v>
      </c>
      <c r="D115" s="1010">
        <v>0.125</v>
      </c>
      <c r="E115" s="1010">
        <v>0.11700000000000001</v>
      </c>
      <c r="F115" s="1011">
        <v>0.13</v>
      </c>
    </row>
    <row r="116" spans="1:6" ht="14.25" thickBot="1">
      <c r="A116" s="783" t="s">
        <v>56</v>
      </c>
      <c r="B116" s="777" t="s">
        <v>252</v>
      </c>
      <c r="C116" s="1010">
        <v>0.11700000000000001</v>
      </c>
      <c r="D116" s="1010">
        <v>0.11700000000000001</v>
      </c>
      <c r="E116" s="1010">
        <v>8.7999999999999995E-2</v>
      </c>
      <c r="F116" s="1011">
        <v>0.13</v>
      </c>
    </row>
    <row r="117" spans="1:6" ht="14.25" thickBot="1">
      <c r="A117" s="783" t="s">
        <v>56</v>
      </c>
      <c r="B117" s="777" t="s">
        <v>263</v>
      </c>
      <c r="C117" s="1010">
        <v>0.13</v>
      </c>
      <c r="D117" s="1010">
        <v>0.13</v>
      </c>
      <c r="E117" s="1010">
        <v>0.129</v>
      </c>
      <c r="F117" s="1011">
        <v>0.13</v>
      </c>
    </row>
    <row r="118" spans="1:6" ht="14.25" thickBot="1">
      <c r="A118" s="783" t="s">
        <v>56</v>
      </c>
      <c r="B118" s="777" t="s">
        <v>275</v>
      </c>
      <c r="C118" s="1010">
        <v>0.123</v>
      </c>
      <c r="D118" s="1010">
        <v>0.123</v>
      </c>
      <c r="E118" s="1010">
        <v>0.11600000000000001</v>
      </c>
      <c r="F118" s="1011">
        <v>0.13</v>
      </c>
    </row>
    <row r="119" spans="1:6" ht="14.25" thickBot="1">
      <c r="A119" s="783" t="s">
        <v>56</v>
      </c>
      <c r="B119" s="777" t="s">
        <v>285</v>
      </c>
      <c r="C119" s="1010">
        <v>0.127</v>
      </c>
      <c r="D119" s="1010">
        <v>0.127</v>
      </c>
      <c r="E119" s="1010">
        <v>0.124</v>
      </c>
      <c r="F119" s="1011">
        <v>0.13</v>
      </c>
    </row>
    <row r="120" spans="1:6" ht="14.25" thickBot="1">
      <c r="A120" s="783" t="s">
        <v>56</v>
      </c>
      <c r="B120" s="777" t="s">
        <v>295</v>
      </c>
      <c r="C120" s="1010">
        <v>0.125</v>
      </c>
      <c r="D120" s="1010">
        <v>0.125</v>
      </c>
      <c r="E120" s="1010">
        <v>0.122</v>
      </c>
      <c r="F120" s="1011">
        <v>0.13</v>
      </c>
    </row>
    <row r="121" spans="1:6" ht="14.25" thickBot="1">
      <c r="A121" s="783" t="s">
        <v>56</v>
      </c>
      <c r="B121" s="777" t="s">
        <v>305</v>
      </c>
      <c r="C121" s="1010">
        <v>0.13</v>
      </c>
      <c r="D121" s="1010">
        <v>0.13</v>
      </c>
      <c r="E121" s="1010">
        <v>0.13</v>
      </c>
      <c r="F121" s="1011">
        <v>0.13</v>
      </c>
    </row>
    <row r="122" spans="1:6" ht="14.25" thickBot="1">
      <c r="A122" s="783" t="s">
        <v>56</v>
      </c>
      <c r="B122" s="777" t="s">
        <v>315</v>
      </c>
      <c r="C122" s="1010">
        <v>0.13</v>
      </c>
      <c r="D122" s="1010">
        <v>0.13</v>
      </c>
      <c r="E122" s="1010">
        <v>0.125</v>
      </c>
      <c r="F122" s="1011">
        <v>0.13</v>
      </c>
    </row>
    <row r="123" spans="1:6" ht="14.25" thickBot="1">
      <c r="A123" s="783" t="s">
        <v>56</v>
      </c>
      <c r="B123" s="777" t="s">
        <v>326</v>
      </c>
      <c r="C123" s="1010">
        <v>0.129</v>
      </c>
      <c r="D123" s="1010">
        <v>0.129</v>
      </c>
      <c r="E123" s="1010">
        <v>0.123</v>
      </c>
      <c r="F123" s="1011">
        <v>0.13</v>
      </c>
    </row>
    <row r="124" spans="1:6" ht="14.25" thickBot="1">
      <c r="A124" s="783" t="s">
        <v>56</v>
      </c>
      <c r="B124" s="777" t="s">
        <v>337</v>
      </c>
      <c r="C124" s="1010">
        <v>0.10199999999999999</v>
      </c>
      <c r="D124" s="1010">
        <v>0.10100000000000001</v>
      </c>
      <c r="E124" s="1010">
        <v>0.08</v>
      </c>
      <c r="F124" s="1022"/>
    </row>
    <row r="125" spans="1:6" ht="14.25" thickBot="1">
      <c r="A125" s="783" t="s">
        <v>56</v>
      </c>
      <c r="B125" s="777" t="s">
        <v>347</v>
      </c>
      <c r="C125" s="1010">
        <v>0.13</v>
      </c>
      <c r="D125" s="1010">
        <v>0.13</v>
      </c>
      <c r="E125" s="1010">
        <v>0.129</v>
      </c>
      <c r="F125" s="1022"/>
    </row>
    <row r="126" spans="1:6" ht="14.25" thickBot="1">
      <c r="A126" s="783" t="s">
        <v>56</v>
      </c>
      <c r="B126" s="777" t="s">
        <v>357</v>
      </c>
      <c r="C126" s="1010">
        <v>0.13</v>
      </c>
      <c r="D126" s="1010">
        <v>0.13</v>
      </c>
      <c r="E126" s="1010">
        <v>0.126</v>
      </c>
      <c r="F126" s="1022"/>
    </row>
    <row r="127" spans="1:6" ht="14.25" thickBot="1">
      <c r="A127" s="783" t="s">
        <v>56</v>
      </c>
      <c r="B127" s="777" t="s">
        <v>367</v>
      </c>
      <c r="C127" s="1010">
        <v>0.125</v>
      </c>
      <c r="D127" s="1010">
        <v>0.125</v>
      </c>
      <c r="E127" s="1010">
        <v>0.121</v>
      </c>
      <c r="F127" s="1022"/>
    </row>
    <row r="128" spans="1:6" ht="14.25" thickBot="1">
      <c r="A128" s="783" t="s">
        <v>56</v>
      </c>
      <c r="B128" s="777" t="s">
        <v>377</v>
      </c>
      <c r="C128" s="1010">
        <v>0.12</v>
      </c>
      <c r="D128" s="1010">
        <v>0.12</v>
      </c>
      <c r="E128" s="1010">
        <v>0.105</v>
      </c>
      <c r="F128" s="1022"/>
    </row>
    <row r="129" spans="1:6" ht="14.25" thickBot="1">
      <c r="A129" s="783" t="s">
        <v>56</v>
      </c>
      <c r="B129" s="777" t="s">
        <v>386</v>
      </c>
      <c r="C129" s="1010">
        <v>0.13</v>
      </c>
      <c r="D129" s="1010">
        <v>0.13</v>
      </c>
      <c r="E129" s="1010">
        <v>0.126</v>
      </c>
      <c r="F129" s="1022"/>
    </row>
    <row r="130" spans="1:6" ht="14.25" thickBot="1">
      <c r="A130" s="783" t="s">
        <v>56</v>
      </c>
      <c r="B130" s="777" t="s">
        <v>395</v>
      </c>
      <c r="C130" s="1010">
        <v>0.125</v>
      </c>
      <c r="D130" s="1010">
        <v>0.125</v>
      </c>
      <c r="E130" s="1010">
        <v>0.122</v>
      </c>
      <c r="F130" s="1022"/>
    </row>
    <row r="131" spans="1:6" ht="14.25" thickBot="1">
      <c r="A131" s="783" t="s">
        <v>56</v>
      </c>
      <c r="B131" s="777" t="s">
        <v>403</v>
      </c>
      <c r="C131" s="1010">
        <v>0.127</v>
      </c>
      <c r="D131" s="1010">
        <v>0.126</v>
      </c>
      <c r="E131" s="1010">
        <v>0.123</v>
      </c>
      <c r="F131" s="1022"/>
    </row>
    <row r="132" spans="1:6" ht="14.25" thickBot="1">
      <c r="A132" s="783" t="s">
        <v>56</v>
      </c>
      <c r="B132" s="777" t="s">
        <v>410</v>
      </c>
      <c r="C132" s="1010">
        <v>9.0999999999999998E-2</v>
      </c>
      <c r="D132" s="1010">
        <v>0.121</v>
      </c>
      <c r="E132" s="1010">
        <v>9.9000000000000005E-2</v>
      </c>
      <c r="F132" s="1022"/>
    </row>
    <row r="133" spans="1:6" ht="14.25" thickBot="1">
      <c r="A133" s="783" t="s">
        <v>56</v>
      </c>
      <c r="B133" s="777" t="s">
        <v>417</v>
      </c>
      <c r="C133" s="1010">
        <v>0.13</v>
      </c>
      <c r="D133" s="1010">
        <v>0.13</v>
      </c>
      <c r="E133" s="1010">
        <v>0.129</v>
      </c>
      <c r="F133" s="1022"/>
    </row>
    <row r="134" spans="1:6" ht="14.25" thickBot="1">
      <c r="A134" s="783" t="s">
        <v>56</v>
      </c>
      <c r="B134" s="777" t="s">
        <v>899</v>
      </c>
      <c r="C134" s="1010">
        <v>6.8000000000000005E-2</v>
      </c>
      <c r="D134" s="1010">
        <v>6.5000000000000002E-2</v>
      </c>
      <c r="E134" s="1010">
        <v>6.5000000000000002E-2</v>
      </c>
      <c r="F134" s="1011">
        <v>0.13</v>
      </c>
    </row>
    <row r="135" spans="1:6" ht="14.25" thickBot="1">
      <c r="A135" s="783" t="s">
        <v>56</v>
      </c>
      <c r="B135" s="777" t="s">
        <v>431</v>
      </c>
      <c r="C135" s="1010">
        <v>0.123</v>
      </c>
      <c r="D135" s="1010">
        <v>0.123</v>
      </c>
      <c r="E135" s="1010">
        <v>0.11</v>
      </c>
      <c r="F135" s="1022"/>
    </row>
    <row r="136" spans="1:6" ht="14.25" thickBot="1">
      <c r="A136" s="783" t="s">
        <v>56</v>
      </c>
      <c r="B136" s="777" t="s">
        <v>438</v>
      </c>
      <c r="C136" s="1010">
        <v>0.13</v>
      </c>
      <c r="D136" s="1010">
        <v>0.13</v>
      </c>
      <c r="E136" s="1010">
        <v>0.125</v>
      </c>
      <c r="F136" s="1022"/>
    </row>
    <row r="137" spans="1:6" ht="14.25" thickBot="1">
      <c r="A137" s="783" t="s">
        <v>56</v>
      </c>
      <c r="B137" s="777" t="s">
        <v>445</v>
      </c>
      <c r="C137" s="1010">
        <v>0.121</v>
      </c>
      <c r="D137" s="1010">
        <v>0.122</v>
      </c>
      <c r="E137" s="1010">
        <v>0.115</v>
      </c>
      <c r="F137" s="1022"/>
    </row>
    <row r="138" spans="1:6" ht="14.25" thickBot="1">
      <c r="A138" s="783" t="s">
        <v>56</v>
      </c>
      <c r="B138" s="777" t="s">
        <v>900</v>
      </c>
      <c r="C138" s="1010">
        <v>0.105</v>
      </c>
      <c r="D138" s="1010">
        <v>0.125</v>
      </c>
      <c r="E138" s="1010">
        <v>0.112</v>
      </c>
      <c r="F138" s="1022"/>
    </row>
    <row r="139" spans="1:6" ht="14.25" thickBot="1">
      <c r="A139" s="783" t="s">
        <v>56</v>
      </c>
      <c r="B139" s="777" t="s">
        <v>901</v>
      </c>
      <c r="C139" s="1010">
        <v>0.127</v>
      </c>
      <c r="D139" s="1010">
        <v>0.127</v>
      </c>
      <c r="E139" s="1010">
        <v>0.122</v>
      </c>
      <c r="F139" s="1011">
        <v>0.13</v>
      </c>
    </row>
    <row r="140" spans="1:6" ht="14.25" thickBot="1">
      <c r="A140" s="783" t="s">
        <v>56</v>
      </c>
      <c r="B140" s="777" t="s">
        <v>902</v>
      </c>
      <c r="C140" s="1010">
        <v>0.125</v>
      </c>
      <c r="D140" s="1010">
        <v>0.125</v>
      </c>
      <c r="E140" s="1010">
        <v>0.11899999999999999</v>
      </c>
      <c r="F140" s="1011">
        <v>0.13</v>
      </c>
    </row>
    <row r="141" spans="1:6" ht="14.25" thickBot="1">
      <c r="A141" s="783" t="s">
        <v>56</v>
      </c>
      <c r="B141" s="777" t="s">
        <v>464</v>
      </c>
      <c r="C141" s="1010">
        <v>0.125</v>
      </c>
      <c r="D141" s="1010">
        <v>0.125</v>
      </c>
      <c r="E141" s="1010">
        <v>0.11700000000000001</v>
      </c>
      <c r="F141" s="1022"/>
    </row>
    <row r="142" spans="1:6" ht="14.25" thickBot="1">
      <c r="A142" s="783" t="s">
        <v>56</v>
      </c>
      <c r="B142" s="777" t="s">
        <v>469</v>
      </c>
      <c r="C142" s="1010">
        <v>0.125</v>
      </c>
      <c r="D142" s="1010">
        <v>0.125</v>
      </c>
      <c r="E142" s="1010">
        <v>0.115</v>
      </c>
      <c r="F142" s="1022"/>
    </row>
    <row r="143" spans="1:6" ht="14.25" thickBot="1">
      <c r="A143" s="783" t="s">
        <v>56</v>
      </c>
      <c r="B143" s="777" t="s">
        <v>474</v>
      </c>
      <c r="C143" s="1010">
        <v>0.121</v>
      </c>
      <c r="D143" s="1010">
        <v>0.121</v>
      </c>
      <c r="E143" s="1010">
        <v>0.108</v>
      </c>
      <c r="F143" s="1022"/>
    </row>
    <row r="144" spans="1:6" ht="14.25" thickBot="1">
      <c r="A144" s="783" t="s">
        <v>56</v>
      </c>
      <c r="B144" s="1014" t="s">
        <v>903</v>
      </c>
      <c r="C144" s="1015">
        <v>0.126</v>
      </c>
      <c r="D144" s="1015">
        <v>0.126</v>
      </c>
      <c r="E144" s="1015">
        <v>0.121</v>
      </c>
      <c r="F144" s="1022"/>
    </row>
    <row r="145" spans="1:6" ht="14.25" thickBot="1">
      <c r="A145" s="793" t="s">
        <v>56</v>
      </c>
      <c r="B145" s="1016" t="s">
        <v>904</v>
      </c>
      <c r="C145" s="1024"/>
      <c r="D145" s="1024"/>
      <c r="E145" s="1024"/>
      <c r="F145" s="1017">
        <v>0.05</v>
      </c>
    </row>
    <row r="146" spans="1:6" ht="24.75" thickBot="1">
      <c r="A146" s="1018" t="s">
        <v>56</v>
      </c>
      <c r="B146" s="787" t="s">
        <v>905</v>
      </c>
      <c r="C146" s="1023"/>
      <c r="D146" s="1023"/>
      <c r="E146" s="1023"/>
      <c r="F146" s="1019">
        <v>0.05</v>
      </c>
    </row>
    <row r="147" spans="1:6" ht="24.75" thickBot="1">
      <c r="A147" s="783" t="s">
        <v>56</v>
      </c>
      <c r="B147" s="777" t="s">
        <v>906</v>
      </c>
      <c r="C147" s="1023"/>
      <c r="D147" s="1023"/>
      <c r="E147" s="1023"/>
      <c r="F147" s="1011">
        <v>0.05</v>
      </c>
    </row>
    <row r="148" spans="1:6" ht="24.75" thickBot="1">
      <c r="A148" s="783" t="s">
        <v>56</v>
      </c>
      <c r="B148" s="777" t="s">
        <v>907</v>
      </c>
      <c r="C148" s="1023"/>
      <c r="D148" s="1023"/>
      <c r="E148" s="1023"/>
      <c r="F148" s="1011">
        <v>0.05</v>
      </c>
    </row>
    <row r="149" spans="1:6" ht="24.75" thickBot="1">
      <c r="A149" s="783" t="s">
        <v>56</v>
      </c>
      <c r="B149" s="777" t="s">
        <v>908</v>
      </c>
      <c r="C149" s="1023"/>
      <c r="D149" s="1023"/>
      <c r="E149" s="1023"/>
      <c r="F149" s="1011">
        <v>0.05</v>
      </c>
    </row>
    <row r="150" spans="1:6" ht="24.75" thickBot="1">
      <c r="A150" s="783" t="s">
        <v>56</v>
      </c>
      <c r="B150" s="777" t="s">
        <v>909</v>
      </c>
      <c r="C150" s="1023"/>
      <c r="D150" s="1023"/>
      <c r="E150" s="1023"/>
      <c r="F150" s="1011">
        <v>0.05</v>
      </c>
    </row>
    <row r="151" spans="1:6" ht="24.75" thickBot="1">
      <c r="A151" s="783" t="s">
        <v>56</v>
      </c>
      <c r="B151" s="777" t="s">
        <v>910</v>
      </c>
      <c r="C151" s="1023"/>
      <c r="D151" s="1023"/>
      <c r="E151" s="1023"/>
      <c r="F151" s="1011">
        <v>0.05</v>
      </c>
    </row>
    <row r="152" spans="1:6" ht="24.75" thickBot="1">
      <c r="A152" s="783" t="s">
        <v>56</v>
      </c>
      <c r="B152" s="777" t="s">
        <v>507</v>
      </c>
      <c r="C152" s="1023"/>
      <c r="D152" s="1023"/>
      <c r="E152" s="1023"/>
      <c r="F152" s="1011">
        <v>0.05</v>
      </c>
    </row>
    <row r="153" spans="1:6" ht="14.25" thickBot="1">
      <c r="A153" s="783" t="s">
        <v>56</v>
      </c>
      <c r="B153" s="777" t="s">
        <v>911</v>
      </c>
      <c r="C153" s="1023"/>
      <c r="D153" s="1023"/>
      <c r="E153" s="1023"/>
      <c r="F153" s="1011">
        <v>0.05</v>
      </c>
    </row>
    <row r="154" spans="1:6" ht="14.25" thickBot="1">
      <c r="A154" s="783" t="s">
        <v>56</v>
      </c>
      <c r="B154" s="777" t="s">
        <v>912</v>
      </c>
      <c r="C154" s="1023"/>
      <c r="D154" s="1023"/>
      <c r="E154" s="1023"/>
      <c r="F154" s="1011">
        <v>0.05</v>
      </c>
    </row>
    <row r="155" spans="1:6" ht="24.75" thickBot="1">
      <c r="A155" s="783" t="s">
        <v>56</v>
      </c>
      <c r="B155" s="777" t="s">
        <v>913</v>
      </c>
      <c r="C155" s="1023"/>
      <c r="D155" s="1023"/>
      <c r="E155" s="1023"/>
      <c r="F155" s="1011">
        <v>0.05</v>
      </c>
    </row>
    <row r="156" spans="1:6" ht="24.75" thickBot="1">
      <c r="A156" s="783" t="s">
        <v>56</v>
      </c>
      <c r="B156" s="777" t="s">
        <v>914</v>
      </c>
      <c r="C156" s="1023"/>
      <c r="D156" s="1023"/>
      <c r="E156" s="1023"/>
      <c r="F156" s="1011">
        <v>0.05</v>
      </c>
    </row>
    <row r="157" spans="1:6" ht="14.25" thickBot="1">
      <c r="A157" s="793" t="s">
        <v>56</v>
      </c>
      <c r="B157" s="789" t="s">
        <v>915</v>
      </c>
      <c r="C157" s="1020"/>
      <c r="D157" s="1020"/>
      <c r="E157" s="1020"/>
      <c r="F157" s="1013">
        <v>0.05</v>
      </c>
    </row>
    <row r="158" spans="1:6" ht="14.25" thickBot="1">
      <c r="A158" s="783" t="s">
        <v>526</v>
      </c>
      <c r="B158" s="784" t="s">
        <v>916</v>
      </c>
      <c r="C158" s="1008">
        <v>0.13</v>
      </c>
      <c r="D158" s="1008">
        <v>0.13</v>
      </c>
      <c r="E158" s="1008">
        <v>0.13</v>
      </c>
      <c r="F158" s="1009">
        <v>0.13</v>
      </c>
    </row>
    <row r="159" spans="1:6" ht="14.25" thickBot="1">
      <c r="A159" s="783" t="s">
        <v>526</v>
      </c>
      <c r="B159" s="777" t="s">
        <v>193</v>
      </c>
      <c r="C159" s="1010">
        <v>0.13</v>
      </c>
      <c r="D159" s="1010">
        <v>0.13</v>
      </c>
      <c r="E159" s="1010">
        <v>0.13</v>
      </c>
      <c r="F159" s="1011">
        <v>0.13</v>
      </c>
    </row>
    <row r="160" spans="1:6" ht="14.25" thickBot="1">
      <c r="A160" s="783" t="s">
        <v>526</v>
      </c>
      <c r="B160" s="777" t="s">
        <v>206</v>
      </c>
      <c r="C160" s="1010">
        <v>0.13</v>
      </c>
      <c r="D160" s="1010">
        <v>0.13</v>
      </c>
      <c r="E160" s="1010">
        <v>0.129</v>
      </c>
      <c r="F160" s="1011">
        <v>0.13</v>
      </c>
    </row>
    <row r="161" spans="1:6" ht="14.25" thickBot="1">
      <c r="A161" s="783" t="s">
        <v>526</v>
      </c>
      <c r="B161" s="777" t="s">
        <v>219</v>
      </c>
      <c r="C161" s="1010">
        <v>0.128</v>
      </c>
      <c r="D161" s="1010">
        <v>0.128</v>
      </c>
      <c r="E161" s="1010">
        <v>0.125</v>
      </c>
      <c r="F161" s="1011">
        <v>0.13</v>
      </c>
    </row>
    <row r="162" spans="1:6" ht="14.25" thickBot="1">
      <c r="A162" s="783" t="s">
        <v>526</v>
      </c>
      <c r="B162" s="777" t="s">
        <v>231</v>
      </c>
      <c r="C162" s="1010">
        <v>0.122</v>
      </c>
      <c r="D162" s="1010">
        <v>0.122</v>
      </c>
      <c r="E162" s="1010">
        <v>0.126</v>
      </c>
      <c r="F162" s="1011">
        <v>0.122</v>
      </c>
    </row>
    <row r="163" spans="1:6" ht="14.25" thickBot="1">
      <c r="A163" s="783" t="s">
        <v>526</v>
      </c>
      <c r="B163" s="777" t="s">
        <v>242</v>
      </c>
      <c r="C163" s="1010">
        <v>0.13</v>
      </c>
      <c r="D163" s="1010">
        <v>0.13</v>
      </c>
      <c r="E163" s="1010">
        <v>0.125</v>
      </c>
      <c r="F163" s="1011">
        <v>0.13</v>
      </c>
    </row>
    <row r="164" spans="1:6" ht="14.25" thickBot="1">
      <c r="A164" s="783" t="s">
        <v>526</v>
      </c>
      <c r="B164" s="777" t="s">
        <v>253</v>
      </c>
      <c r="C164" s="1010">
        <v>0.13</v>
      </c>
      <c r="D164" s="1010">
        <v>0.13</v>
      </c>
      <c r="E164" s="1010">
        <v>0.13</v>
      </c>
      <c r="F164" s="1011">
        <v>0.13</v>
      </c>
    </row>
    <row r="165" spans="1:6" ht="14.25" thickBot="1">
      <c r="A165" s="783" t="s">
        <v>526</v>
      </c>
      <c r="B165" s="777" t="s">
        <v>264</v>
      </c>
      <c r="C165" s="1010">
        <v>0.13</v>
      </c>
      <c r="D165" s="1010">
        <v>0.13</v>
      </c>
      <c r="E165" s="1010">
        <v>0.124</v>
      </c>
      <c r="F165" s="1011">
        <v>0.13</v>
      </c>
    </row>
    <row r="166" spans="1:6" ht="14.25" thickBot="1">
      <c r="A166" s="783" t="s">
        <v>526</v>
      </c>
      <c r="B166" s="777" t="s">
        <v>276</v>
      </c>
      <c r="C166" s="1010">
        <v>0.13</v>
      </c>
      <c r="D166" s="1010">
        <v>0.13</v>
      </c>
      <c r="E166" s="1010">
        <v>0.13</v>
      </c>
      <c r="F166" s="1011">
        <v>0.13</v>
      </c>
    </row>
    <row r="167" spans="1:6" ht="14.25" thickBot="1">
      <c r="A167" s="783" t="s">
        <v>526</v>
      </c>
      <c r="B167" s="777" t="s">
        <v>286</v>
      </c>
      <c r="C167" s="1010">
        <v>0.125</v>
      </c>
      <c r="D167" s="1010">
        <v>0.125</v>
      </c>
      <c r="E167" s="1010">
        <v>0.121</v>
      </c>
      <c r="F167" s="1022"/>
    </row>
    <row r="168" spans="1:6" ht="14.25" thickBot="1">
      <c r="A168" s="783" t="s">
        <v>526</v>
      </c>
      <c r="B168" s="777" t="s">
        <v>296</v>
      </c>
      <c r="C168" s="1010">
        <v>0.13</v>
      </c>
      <c r="D168" s="1010">
        <v>0.13</v>
      </c>
      <c r="E168" s="1010">
        <v>0.126</v>
      </c>
      <c r="F168" s="1022"/>
    </row>
    <row r="169" spans="1:6" ht="14.25" thickBot="1">
      <c r="A169" s="783" t="s">
        <v>526</v>
      </c>
      <c r="B169" s="777" t="s">
        <v>306</v>
      </c>
      <c r="C169" s="1010">
        <v>0.128</v>
      </c>
      <c r="D169" s="1010">
        <v>0.129</v>
      </c>
      <c r="E169" s="1010">
        <v>0.13</v>
      </c>
      <c r="F169" s="1022"/>
    </row>
    <row r="170" spans="1:6" ht="14.25" thickBot="1">
      <c r="A170" s="783" t="s">
        <v>526</v>
      </c>
      <c r="B170" s="777" t="s">
        <v>316</v>
      </c>
      <c r="C170" s="1010">
        <v>0.14099999999999999</v>
      </c>
      <c r="D170" s="1010">
        <v>0.13</v>
      </c>
      <c r="E170" s="1010">
        <v>0.125</v>
      </c>
      <c r="F170" s="1022"/>
    </row>
    <row r="171" spans="1:6" ht="14.25" thickBot="1">
      <c r="A171" s="783" t="s">
        <v>526</v>
      </c>
      <c r="B171" s="777" t="s">
        <v>917</v>
      </c>
      <c r="C171" s="1010">
        <v>0.127</v>
      </c>
      <c r="D171" s="1010">
        <v>0.126</v>
      </c>
      <c r="E171" s="1010">
        <v>0.126</v>
      </c>
      <c r="F171" s="1011">
        <v>0.11799999999999999</v>
      </c>
    </row>
    <row r="172" spans="1:6" ht="14.25" thickBot="1">
      <c r="A172" s="783" t="s">
        <v>526</v>
      </c>
      <c r="B172" s="777" t="s">
        <v>918</v>
      </c>
      <c r="C172" s="1010">
        <v>0.13</v>
      </c>
      <c r="D172" s="1010">
        <v>0.13</v>
      </c>
      <c r="E172" s="1010">
        <v>0.13</v>
      </c>
      <c r="F172" s="1022"/>
    </row>
    <row r="173" spans="1:6" ht="14.25" thickBot="1">
      <c r="A173" s="783" t="s">
        <v>526</v>
      </c>
      <c r="B173" s="777" t="s">
        <v>348</v>
      </c>
      <c r="C173" s="1010">
        <v>0.13</v>
      </c>
      <c r="D173" s="1010">
        <v>0.13</v>
      </c>
      <c r="E173" s="1010">
        <v>0.13</v>
      </c>
      <c r="F173" s="1022"/>
    </row>
    <row r="174" spans="1:6" ht="14.25" thickBot="1">
      <c r="A174" s="783" t="s">
        <v>526</v>
      </c>
      <c r="B174" s="777" t="s">
        <v>919</v>
      </c>
      <c r="C174" s="1010">
        <v>0.13</v>
      </c>
      <c r="D174" s="1010">
        <v>0.13</v>
      </c>
      <c r="E174" s="1010">
        <v>0.13</v>
      </c>
      <c r="F174" s="1011">
        <v>0.13</v>
      </c>
    </row>
    <row r="175" spans="1:6" ht="14.25" thickBot="1">
      <c r="A175" s="783" t="s">
        <v>526</v>
      </c>
      <c r="B175" s="777" t="s">
        <v>920</v>
      </c>
      <c r="C175" s="1010">
        <v>0.13</v>
      </c>
      <c r="D175" s="1010">
        <v>0.13</v>
      </c>
      <c r="E175" s="1010">
        <v>0.13</v>
      </c>
      <c r="F175" s="1011">
        <v>0.13</v>
      </c>
    </row>
    <row r="176" spans="1:6" ht="14.25" thickBot="1">
      <c r="A176" s="783" t="s">
        <v>526</v>
      </c>
      <c r="B176" s="777" t="s">
        <v>378</v>
      </c>
      <c r="C176" s="1010">
        <v>0.13</v>
      </c>
      <c r="D176" s="1010">
        <v>0.13</v>
      </c>
      <c r="E176" s="1010">
        <v>0.13</v>
      </c>
      <c r="F176" s="1011">
        <v>0.13</v>
      </c>
    </row>
    <row r="177" spans="1:6" ht="14.25" thickBot="1">
      <c r="A177" s="783" t="s">
        <v>526</v>
      </c>
      <c r="B177" s="777" t="s">
        <v>921</v>
      </c>
      <c r="C177" s="1010">
        <v>0.13</v>
      </c>
      <c r="D177" s="1010">
        <v>0.13</v>
      </c>
      <c r="E177" s="1010">
        <v>0.13</v>
      </c>
      <c r="F177" s="1011">
        <v>0.13</v>
      </c>
    </row>
    <row r="178" spans="1:6" ht="14.25" thickBot="1">
      <c r="A178" s="783" t="s">
        <v>526</v>
      </c>
      <c r="B178" s="777" t="s">
        <v>396</v>
      </c>
      <c r="C178" s="1010">
        <v>0.13</v>
      </c>
      <c r="D178" s="1010">
        <v>0.13</v>
      </c>
      <c r="E178" s="1010">
        <v>0.13</v>
      </c>
      <c r="F178" s="1011">
        <v>0.127</v>
      </c>
    </row>
    <row r="179" spans="1:6" ht="14.25" thickBot="1">
      <c r="A179" s="783" t="s">
        <v>526</v>
      </c>
      <c r="B179" s="777" t="s">
        <v>404</v>
      </c>
      <c r="C179" s="1010">
        <v>0.13</v>
      </c>
      <c r="D179" s="1010">
        <v>0.13</v>
      </c>
      <c r="E179" s="1010">
        <v>0.13</v>
      </c>
      <c r="F179" s="1022"/>
    </row>
    <row r="180" spans="1:6" ht="14.25" thickBot="1">
      <c r="A180" s="783" t="s">
        <v>526</v>
      </c>
      <c r="B180" s="777" t="s">
        <v>922</v>
      </c>
      <c r="C180" s="1010">
        <v>0.13</v>
      </c>
      <c r="D180" s="1010">
        <v>0.13</v>
      </c>
      <c r="E180" s="1010">
        <v>0.125</v>
      </c>
      <c r="F180" s="1011">
        <v>0.13</v>
      </c>
    </row>
    <row r="181" spans="1:6" ht="14.25" thickBot="1">
      <c r="A181" s="783" t="s">
        <v>526</v>
      </c>
      <c r="B181" s="777" t="s">
        <v>418</v>
      </c>
      <c r="C181" s="1010">
        <v>0.122</v>
      </c>
      <c r="D181" s="1010">
        <v>0.123</v>
      </c>
      <c r="E181" s="1010">
        <v>0.126</v>
      </c>
      <c r="F181" s="1011">
        <v>0.121</v>
      </c>
    </row>
    <row r="182" spans="1:6" ht="14.25" thickBot="1">
      <c r="A182" s="783" t="s">
        <v>526</v>
      </c>
      <c r="B182" s="777" t="s">
        <v>425</v>
      </c>
      <c r="C182" s="1010">
        <v>0.125</v>
      </c>
      <c r="D182" s="1010">
        <v>0.125</v>
      </c>
      <c r="E182" s="1010">
        <v>0.11700000000000001</v>
      </c>
      <c r="F182" s="1011">
        <v>0.13</v>
      </c>
    </row>
    <row r="183" spans="1:6" ht="14.25" thickBot="1">
      <c r="A183" s="783" t="s">
        <v>526</v>
      </c>
      <c r="B183" s="777" t="s">
        <v>432</v>
      </c>
      <c r="C183" s="1010">
        <v>0.127</v>
      </c>
      <c r="D183" s="1010">
        <v>0.127</v>
      </c>
      <c r="E183" s="1010">
        <v>0.128</v>
      </c>
      <c r="F183" s="1022"/>
    </row>
    <row r="184" spans="1:6" ht="14.25" thickBot="1">
      <c r="A184" s="783" t="s">
        <v>526</v>
      </c>
      <c r="B184" s="777" t="s">
        <v>439</v>
      </c>
      <c r="C184" s="1010">
        <v>0.125</v>
      </c>
      <c r="D184" s="1010">
        <v>0.125</v>
      </c>
      <c r="E184" s="1010">
        <v>0.127</v>
      </c>
      <c r="F184" s="1022"/>
    </row>
    <row r="185" spans="1:6" ht="14.25" thickBot="1">
      <c r="A185" s="783" t="s">
        <v>526</v>
      </c>
      <c r="B185" s="777" t="s">
        <v>923</v>
      </c>
      <c r="C185" s="1010">
        <v>0.127</v>
      </c>
      <c r="D185" s="1010">
        <v>0.127</v>
      </c>
      <c r="E185" s="1010">
        <v>0.128</v>
      </c>
      <c r="F185" s="1011">
        <v>0.13</v>
      </c>
    </row>
    <row r="186" spans="1:6" ht="24.75" thickBot="1">
      <c r="A186" s="783" t="s">
        <v>526</v>
      </c>
      <c r="B186" s="777" t="s">
        <v>924</v>
      </c>
      <c r="C186" s="1023"/>
      <c r="D186" s="1023"/>
      <c r="E186" s="1023"/>
      <c r="F186" s="1011">
        <v>0.05</v>
      </c>
    </row>
    <row r="187" spans="1:6" ht="14.25" thickBot="1">
      <c r="A187" s="783" t="s">
        <v>526</v>
      </c>
      <c r="B187" s="777" t="s">
        <v>925</v>
      </c>
      <c r="C187" s="1023"/>
      <c r="D187" s="1023"/>
      <c r="E187" s="1023"/>
      <c r="F187" s="1011">
        <v>0.05</v>
      </c>
    </row>
    <row r="188" spans="1:6" ht="14.25" thickBot="1">
      <c r="A188" s="783" t="s">
        <v>526</v>
      </c>
      <c r="B188" s="777" t="s">
        <v>926</v>
      </c>
      <c r="C188" s="1023"/>
      <c r="D188" s="1023"/>
      <c r="E188" s="1023"/>
      <c r="F188" s="1011">
        <v>0.05</v>
      </c>
    </row>
    <row r="189" spans="1:6" ht="24.75" thickBot="1">
      <c r="A189" s="783" t="s">
        <v>526</v>
      </c>
      <c r="B189" s="777" t="s">
        <v>927</v>
      </c>
      <c r="C189" s="1023"/>
      <c r="D189" s="1023"/>
      <c r="E189" s="1023"/>
      <c r="F189" s="1011">
        <v>0.05</v>
      </c>
    </row>
    <row r="190" spans="1:6" ht="24.75" thickBot="1">
      <c r="A190" s="783" t="s">
        <v>526</v>
      </c>
      <c r="B190" s="777" t="s">
        <v>928</v>
      </c>
      <c r="C190" s="1023"/>
      <c r="D190" s="1023"/>
      <c r="E190" s="1023"/>
      <c r="F190" s="1011">
        <v>0.05</v>
      </c>
    </row>
    <row r="191" spans="1:6" ht="24.75" thickBot="1">
      <c r="A191" s="783" t="s">
        <v>526</v>
      </c>
      <c r="B191" s="777" t="s">
        <v>929</v>
      </c>
      <c r="C191" s="1023"/>
      <c r="D191" s="1023"/>
      <c r="E191" s="1023"/>
      <c r="F191" s="1011">
        <v>0.05</v>
      </c>
    </row>
    <row r="192" spans="1:6" ht="24.75" thickBot="1">
      <c r="A192" s="783" t="s">
        <v>526</v>
      </c>
      <c r="B192" s="777" t="s">
        <v>930</v>
      </c>
      <c r="C192" s="1023"/>
      <c r="D192" s="1023"/>
      <c r="E192" s="1023"/>
      <c r="F192" s="1011">
        <v>0.05</v>
      </c>
    </row>
    <row r="193" spans="1:6" ht="24.75" thickBot="1">
      <c r="A193" s="783" t="s">
        <v>526</v>
      </c>
      <c r="B193" s="777" t="s">
        <v>931</v>
      </c>
      <c r="C193" s="1023"/>
      <c r="D193" s="1023"/>
      <c r="E193" s="1023"/>
      <c r="F193" s="1011">
        <v>0.05</v>
      </c>
    </row>
    <row r="194" spans="1:6" ht="24.75" thickBot="1">
      <c r="A194" s="783" t="s">
        <v>526</v>
      </c>
      <c r="B194" s="777" t="s">
        <v>932</v>
      </c>
      <c r="C194" s="1023"/>
      <c r="D194" s="1023"/>
      <c r="E194" s="1023"/>
      <c r="F194" s="1011">
        <v>0.05</v>
      </c>
    </row>
    <row r="195" spans="1:6" ht="14.25" thickBot="1">
      <c r="A195" s="783" t="s">
        <v>526</v>
      </c>
      <c r="B195" s="777" t="s">
        <v>933</v>
      </c>
      <c r="C195" s="1023"/>
      <c r="D195" s="1023"/>
      <c r="E195" s="1023"/>
      <c r="F195" s="1011">
        <v>0.05</v>
      </c>
    </row>
    <row r="196" spans="1:6" ht="24.75" thickBot="1">
      <c r="A196" s="783" t="s">
        <v>526</v>
      </c>
      <c r="B196" s="777" t="s">
        <v>934</v>
      </c>
      <c r="C196" s="1023"/>
      <c r="D196" s="1023"/>
      <c r="E196" s="1023"/>
      <c r="F196" s="1011">
        <v>0.05</v>
      </c>
    </row>
    <row r="197" spans="1:6" ht="24.75" thickBot="1">
      <c r="A197" s="783" t="s">
        <v>526</v>
      </c>
      <c r="B197" s="777" t="s">
        <v>935</v>
      </c>
      <c r="C197" s="1023"/>
      <c r="D197" s="1023"/>
      <c r="E197" s="1023"/>
      <c r="F197" s="1011">
        <v>0.05</v>
      </c>
    </row>
    <row r="198" spans="1:6" ht="24.75" thickBot="1">
      <c r="A198" s="783" t="s">
        <v>526</v>
      </c>
      <c r="B198" s="777" t="s">
        <v>936</v>
      </c>
      <c r="C198" s="1023"/>
      <c r="D198" s="1023"/>
      <c r="E198" s="1023"/>
      <c r="F198" s="1011">
        <v>0.05</v>
      </c>
    </row>
    <row r="199" spans="1:6" ht="24.75" thickBot="1">
      <c r="A199" s="783" t="s">
        <v>526</v>
      </c>
      <c r="B199" s="777" t="s">
        <v>937</v>
      </c>
      <c r="C199" s="1023"/>
      <c r="D199" s="1023"/>
      <c r="E199" s="1023"/>
      <c r="F199" s="1011">
        <v>0.05</v>
      </c>
    </row>
    <row r="200" spans="1:6" ht="24.75" thickBot="1">
      <c r="A200" s="783" t="s">
        <v>526</v>
      </c>
      <c r="B200" s="777" t="s">
        <v>938</v>
      </c>
      <c r="C200" s="1023"/>
      <c r="D200" s="1023"/>
      <c r="E200" s="1023"/>
      <c r="F200" s="1011">
        <v>0.05</v>
      </c>
    </row>
    <row r="201" spans="1:6" ht="24.75" thickBot="1">
      <c r="A201" s="783" t="s">
        <v>526</v>
      </c>
      <c r="B201" s="777" t="s">
        <v>939</v>
      </c>
      <c r="C201" s="1023"/>
      <c r="D201" s="1023"/>
      <c r="E201" s="1023"/>
      <c r="F201" s="1011">
        <v>0.05</v>
      </c>
    </row>
    <row r="202" spans="1:6" ht="24.75" thickBot="1">
      <c r="A202" s="783" t="s">
        <v>526</v>
      </c>
      <c r="B202" s="777" t="s">
        <v>940</v>
      </c>
      <c r="C202" s="1023"/>
      <c r="D202" s="1023"/>
      <c r="E202" s="1023"/>
      <c r="F202" s="1011">
        <v>0.05</v>
      </c>
    </row>
    <row r="203" spans="1:6" ht="24.75" thickBot="1">
      <c r="A203" s="783" t="s">
        <v>526</v>
      </c>
      <c r="B203" s="777" t="s">
        <v>941</v>
      </c>
      <c r="C203" s="1023"/>
      <c r="D203" s="1023"/>
      <c r="E203" s="1023"/>
      <c r="F203" s="1011">
        <v>0.05</v>
      </c>
    </row>
    <row r="204" spans="1:6" ht="14.25" thickBot="1">
      <c r="A204" s="783" t="s">
        <v>526</v>
      </c>
      <c r="B204" s="777" t="s">
        <v>942</v>
      </c>
      <c r="C204" s="1023"/>
      <c r="D204" s="1023"/>
      <c r="E204" s="1023"/>
      <c r="F204" s="1011">
        <v>0.05</v>
      </c>
    </row>
    <row r="205" spans="1:6" ht="14.25" thickBot="1">
      <c r="A205" s="793" t="s">
        <v>526</v>
      </c>
      <c r="B205" s="789" t="s">
        <v>943</v>
      </c>
      <c r="C205" s="1020"/>
      <c r="D205" s="1020"/>
      <c r="E205" s="1020"/>
      <c r="F205" s="1013">
        <v>0.05</v>
      </c>
    </row>
    <row r="206" spans="1:6" ht="14.25" thickBot="1">
      <c r="A206" s="783" t="s">
        <v>528</v>
      </c>
      <c r="B206" s="784" t="s">
        <v>944</v>
      </c>
      <c r="C206" s="1008">
        <v>0.15</v>
      </c>
      <c r="D206" s="1008">
        <v>0.15</v>
      </c>
      <c r="E206" s="1008">
        <v>0.15</v>
      </c>
      <c r="F206" s="1009">
        <v>0.15</v>
      </c>
    </row>
    <row r="207" spans="1:6" ht="14.25" thickBot="1">
      <c r="A207" s="783" t="s">
        <v>528</v>
      </c>
      <c r="B207" s="777" t="s">
        <v>194</v>
      </c>
      <c r="C207" s="1010">
        <v>0.15</v>
      </c>
      <c r="D207" s="1010">
        <v>0.15</v>
      </c>
      <c r="E207" s="1010">
        <v>0.15</v>
      </c>
      <c r="F207" s="1011">
        <v>0.14399999999999999</v>
      </c>
    </row>
    <row r="208" spans="1:6" ht="14.25" thickBot="1">
      <c r="A208" s="783" t="s">
        <v>528</v>
      </c>
      <c r="B208" s="777" t="s">
        <v>207</v>
      </c>
      <c r="C208" s="1010">
        <v>0.15</v>
      </c>
      <c r="D208" s="1010">
        <v>0.15</v>
      </c>
      <c r="E208" s="1010">
        <v>0.15</v>
      </c>
      <c r="F208" s="1011">
        <v>0.15</v>
      </c>
    </row>
    <row r="209" spans="1:6" ht="14.25" thickBot="1">
      <c r="A209" s="783" t="s">
        <v>528</v>
      </c>
      <c r="B209" s="777" t="s">
        <v>220</v>
      </c>
      <c r="C209" s="1010">
        <v>0.13700000000000001</v>
      </c>
      <c r="D209" s="1010">
        <v>0.13700000000000001</v>
      </c>
      <c r="E209" s="1010">
        <v>0.14000000000000001</v>
      </c>
      <c r="F209" s="1011">
        <v>0.11700000000000001</v>
      </c>
    </row>
    <row r="210" spans="1:6" ht="14.25" thickBot="1">
      <c r="A210" s="783" t="s">
        <v>528</v>
      </c>
      <c r="B210" s="777" t="s">
        <v>945</v>
      </c>
      <c r="C210" s="1010">
        <v>0.15</v>
      </c>
      <c r="D210" s="1010">
        <v>0.15</v>
      </c>
      <c r="E210" s="1010">
        <v>0.15</v>
      </c>
      <c r="F210" s="1011">
        <v>0.13800000000000001</v>
      </c>
    </row>
    <row r="211" spans="1:6" ht="14.25" thickBot="1">
      <c r="A211" s="783" t="s">
        <v>528</v>
      </c>
      <c r="B211" s="777" t="s">
        <v>946</v>
      </c>
      <c r="C211" s="1010">
        <v>0.13700000000000001</v>
      </c>
      <c r="D211" s="1010">
        <v>0.13500000000000001</v>
      </c>
      <c r="E211" s="1010">
        <v>0.13600000000000001</v>
      </c>
      <c r="F211" s="1011">
        <v>0.1</v>
      </c>
    </row>
    <row r="212" spans="1:6" ht="14.25" thickBot="1">
      <c r="A212" s="783" t="s">
        <v>528</v>
      </c>
      <c r="B212" s="777" t="s">
        <v>947</v>
      </c>
      <c r="C212" s="1010">
        <v>0.15</v>
      </c>
      <c r="D212" s="1010">
        <v>0.15</v>
      </c>
      <c r="E212" s="1010">
        <v>0.14799999999999999</v>
      </c>
      <c r="F212" s="1011">
        <v>0.13600000000000001</v>
      </c>
    </row>
    <row r="213" spans="1:6" ht="14.25" thickBot="1">
      <c r="A213" s="783" t="s">
        <v>528</v>
      </c>
      <c r="B213" s="777" t="s">
        <v>265</v>
      </c>
      <c r="C213" s="1010">
        <v>0.15</v>
      </c>
      <c r="D213" s="1010">
        <v>0.15</v>
      </c>
      <c r="E213" s="1010">
        <v>0.15</v>
      </c>
      <c r="F213" s="1011">
        <v>0.13800000000000001</v>
      </c>
    </row>
    <row r="214" spans="1:6" ht="14.25" thickBot="1">
      <c r="A214" s="783" t="s">
        <v>528</v>
      </c>
      <c r="B214" s="777" t="s">
        <v>277</v>
      </c>
      <c r="C214" s="1010">
        <v>9.0999999999999998E-2</v>
      </c>
      <c r="D214" s="1010">
        <v>0.09</v>
      </c>
      <c r="E214" s="1010">
        <v>9.1999999999999998E-2</v>
      </c>
      <c r="F214" s="1022"/>
    </row>
    <row r="215" spans="1:6" ht="14.25" thickBot="1">
      <c r="A215" s="783" t="s">
        <v>528</v>
      </c>
      <c r="B215" s="777" t="s">
        <v>948</v>
      </c>
      <c r="C215" s="1010">
        <v>0.15</v>
      </c>
      <c r="D215" s="1010">
        <v>0.15</v>
      </c>
      <c r="E215" s="1010">
        <v>0.15</v>
      </c>
      <c r="F215" s="1011">
        <v>0.15</v>
      </c>
    </row>
    <row r="216" spans="1:6" ht="14.25" thickBot="1">
      <c r="A216" s="783" t="s">
        <v>528</v>
      </c>
      <c r="B216" s="777" t="s">
        <v>297</v>
      </c>
      <c r="C216" s="1010">
        <v>0.14699999999999999</v>
      </c>
      <c r="D216" s="1010">
        <v>0.14699999999999999</v>
      </c>
      <c r="E216" s="1010">
        <v>0.15</v>
      </c>
      <c r="F216" s="1011">
        <v>0.14000000000000001</v>
      </c>
    </row>
    <row r="217" spans="1:6" ht="14.25" thickBot="1">
      <c r="A217" s="783" t="s">
        <v>528</v>
      </c>
      <c r="B217" s="777" t="s">
        <v>307</v>
      </c>
      <c r="C217" s="1010">
        <v>0.15</v>
      </c>
      <c r="D217" s="1010">
        <v>0.15</v>
      </c>
      <c r="E217" s="1010">
        <v>0.15</v>
      </c>
      <c r="F217" s="1011">
        <v>0.15</v>
      </c>
    </row>
    <row r="218" spans="1:6" ht="14.25" thickBot="1">
      <c r="A218" s="783" t="s">
        <v>528</v>
      </c>
      <c r="B218" s="777" t="s">
        <v>949</v>
      </c>
      <c r="C218" s="1010">
        <v>0.15</v>
      </c>
      <c r="D218" s="1010">
        <v>0.15</v>
      </c>
      <c r="E218" s="1010">
        <v>0.15</v>
      </c>
      <c r="F218" s="1011">
        <v>0.15</v>
      </c>
    </row>
    <row r="219" spans="1:6" ht="14.25" thickBot="1">
      <c r="A219" s="783" t="s">
        <v>528</v>
      </c>
      <c r="B219" s="777" t="s">
        <v>328</v>
      </c>
      <c r="C219" s="1010">
        <v>0.15</v>
      </c>
      <c r="D219" s="1010">
        <v>0.15</v>
      </c>
      <c r="E219" s="1010">
        <v>0.15</v>
      </c>
      <c r="F219" s="1011">
        <v>0.14799999999999999</v>
      </c>
    </row>
    <row r="220" spans="1:6" ht="14.25" thickBot="1">
      <c r="A220" s="783" t="s">
        <v>528</v>
      </c>
      <c r="B220" s="777" t="s">
        <v>950</v>
      </c>
      <c r="C220" s="1010">
        <v>0.15</v>
      </c>
      <c r="D220" s="1010">
        <v>0.15</v>
      </c>
      <c r="E220" s="1010">
        <v>0.15</v>
      </c>
      <c r="F220" s="1011">
        <v>0.15</v>
      </c>
    </row>
    <row r="221" spans="1:6" ht="14.25" thickBot="1">
      <c r="A221" s="783" t="s">
        <v>528</v>
      </c>
      <c r="B221" s="777" t="s">
        <v>349</v>
      </c>
      <c r="C221" s="1010"/>
      <c r="D221" s="1023"/>
      <c r="E221" s="1023"/>
      <c r="F221" s="1011">
        <v>0.14799999999999999</v>
      </c>
    </row>
    <row r="222" spans="1:6" ht="14.25" thickBot="1">
      <c r="A222" s="783" t="s">
        <v>528</v>
      </c>
      <c r="B222" s="777" t="s">
        <v>359</v>
      </c>
      <c r="C222" s="1010"/>
      <c r="D222" s="1023"/>
      <c r="E222" s="1023"/>
      <c r="F222" s="1011">
        <v>0.1</v>
      </c>
    </row>
    <row r="223" spans="1:6" ht="14.25" thickBot="1">
      <c r="A223" s="783" t="s">
        <v>528</v>
      </c>
      <c r="B223" s="777" t="s">
        <v>369</v>
      </c>
      <c r="C223" s="1010"/>
      <c r="D223" s="1023"/>
      <c r="E223" s="1023"/>
      <c r="F223" s="1011">
        <v>0.15</v>
      </c>
    </row>
    <row r="224" spans="1:6" ht="14.25" thickBot="1">
      <c r="A224" s="783" t="s">
        <v>528</v>
      </c>
      <c r="B224" s="777" t="s">
        <v>379</v>
      </c>
      <c r="C224" s="1010"/>
      <c r="D224" s="1023"/>
      <c r="E224" s="1023"/>
      <c r="F224" s="1011">
        <v>0.15</v>
      </c>
    </row>
    <row r="225" spans="1:6" ht="14.25" thickBot="1">
      <c r="A225" s="783" t="s">
        <v>528</v>
      </c>
      <c r="B225" s="777" t="s">
        <v>951</v>
      </c>
      <c r="C225" s="1010">
        <v>0.15</v>
      </c>
      <c r="D225" s="1010">
        <v>0.15</v>
      </c>
      <c r="E225" s="1010">
        <v>0.15</v>
      </c>
      <c r="F225" s="1011">
        <v>0.15</v>
      </c>
    </row>
    <row r="226" spans="1:6" ht="14.25" thickBot="1">
      <c r="A226" s="783" t="s">
        <v>528</v>
      </c>
      <c r="B226" s="777" t="s">
        <v>397</v>
      </c>
      <c r="C226" s="1010">
        <v>0.15</v>
      </c>
      <c r="D226" s="1010">
        <v>0.15</v>
      </c>
      <c r="E226" s="1010">
        <v>0.15</v>
      </c>
      <c r="F226" s="1011">
        <v>0.14799999999999999</v>
      </c>
    </row>
    <row r="227" spans="1:6" ht="14.25" thickBot="1">
      <c r="A227" s="783" t="s">
        <v>528</v>
      </c>
      <c r="B227" s="777" t="s">
        <v>952</v>
      </c>
      <c r="C227" s="1010">
        <v>0.15</v>
      </c>
      <c r="D227" s="1010">
        <v>0.15</v>
      </c>
      <c r="E227" s="1010">
        <v>0.15</v>
      </c>
      <c r="F227" s="1011">
        <v>0.15</v>
      </c>
    </row>
    <row r="228" spans="1:6" ht="14.25" thickBot="1">
      <c r="A228" s="783" t="s">
        <v>528</v>
      </c>
      <c r="B228" s="777" t="s">
        <v>412</v>
      </c>
      <c r="C228" s="1010">
        <v>0.15</v>
      </c>
      <c r="D228" s="1010">
        <v>0.15</v>
      </c>
      <c r="E228" s="1010">
        <v>0.15</v>
      </c>
      <c r="F228" s="1011">
        <v>0.15</v>
      </c>
    </row>
    <row r="229" spans="1:6" ht="14.25" thickBot="1">
      <c r="A229" s="783" t="s">
        <v>528</v>
      </c>
      <c r="B229" s="777" t="s">
        <v>419</v>
      </c>
      <c r="C229" s="1010">
        <v>0.15</v>
      </c>
      <c r="D229" s="1010">
        <v>0.15</v>
      </c>
      <c r="E229" s="1010">
        <v>0.15</v>
      </c>
      <c r="F229" s="1022"/>
    </row>
    <row r="230" spans="1:6" ht="14.25" thickBot="1">
      <c r="A230" s="783" t="s">
        <v>528</v>
      </c>
      <c r="B230" s="777" t="s">
        <v>426</v>
      </c>
      <c r="C230" s="1010">
        <v>0.14499999999999999</v>
      </c>
      <c r="D230" s="1010">
        <v>0.14499999999999999</v>
      </c>
      <c r="E230" s="1010">
        <v>0.14399999999999999</v>
      </c>
      <c r="F230" s="1022"/>
    </row>
    <row r="231" spans="1:6" ht="14.25" thickBot="1">
      <c r="A231" s="783" t="s">
        <v>528</v>
      </c>
      <c r="B231" s="777" t="s">
        <v>953</v>
      </c>
      <c r="C231" s="1010">
        <v>0.128</v>
      </c>
      <c r="D231" s="1010">
        <v>0.125</v>
      </c>
      <c r="E231" s="1010">
        <v>0.13200000000000001</v>
      </c>
      <c r="F231" s="1022"/>
    </row>
    <row r="232" spans="1:6" ht="14.25" thickBot="1">
      <c r="A232" s="783" t="s">
        <v>528</v>
      </c>
      <c r="B232" s="777" t="s">
        <v>954</v>
      </c>
      <c r="C232" s="1010">
        <v>0.14499999999999999</v>
      </c>
      <c r="D232" s="1010">
        <v>0.14399999999999999</v>
      </c>
      <c r="E232" s="1010">
        <v>0.14599999999999999</v>
      </c>
      <c r="F232" s="1011">
        <v>0.13800000000000001</v>
      </c>
    </row>
    <row r="233" spans="1:6" ht="14.25" thickBot="1">
      <c r="A233" s="783" t="s">
        <v>528</v>
      </c>
      <c r="B233" s="777" t="s">
        <v>955</v>
      </c>
      <c r="C233" s="1010">
        <v>0.14499999999999999</v>
      </c>
      <c r="D233" s="1010">
        <v>0.14299999999999999</v>
      </c>
      <c r="E233" s="1010">
        <v>0.14199999999999999</v>
      </c>
      <c r="F233" s="1022"/>
    </row>
    <row r="234" spans="1:6" ht="14.25" thickBot="1">
      <c r="A234" s="783" t="s">
        <v>528</v>
      </c>
      <c r="B234" s="777" t="s">
        <v>956</v>
      </c>
      <c r="C234" s="1010">
        <v>0.14000000000000001</v>
      </c>
      <c r="D234" s="1010">
        <v>0.14000000000000001</v>
      </c>
      <c r="E234" s="1010">
        <v>0.14399999999999999</v>
      </c>
      <c r="F234" s="1022"/>
    </row>
    <row r="235" spans="1:6" ht="14.25" thickBot="1">
      <c r="A235" s="783" t="s">
        <v>528</v>
      </c>
      <c r="B235" s="777" t="s">
        <v>957</v>
      </c>
      <c r="C235" s="1010">
        <v>0.14099999999999999</v>
      </c>
      <c r="D235" s="1010">
        <v>0.14199999999999999</v>
      </c>
      <c r="E235" s="1010">
        <v>0.14499999999999999</v>
      </c>
      <c r="F235" s="1011">
        <v>0.15</v>
      </c>
    </row>
    <row r="236" spans="1:6" ht="14.25" thickBot="1">
      <c r="A236" s="783" t="s">
        <v>528</v>
      </c>
      <c r="B236" s="777" t="s">
        <v>461</v>
      </c>
      <c r="C236" s="1023"/>
      <c r="D236" s="1023"/>
      <c r="E236" s="1023"/>
      <c r="F236" s="1011">
        <v>0.14299999999999999</v>
      </c>
    </row>
    <row r="237" spans="1:6" ht="24.75" thickBot="1">
      <c r="A237" s="783" t="s">
        <v>528</v>
      </c>
      <c r="B237" s="777" t="s">
        <v>958</v>
      </c>
      <c r="C237" s="1023"/>
      <c r="D237" s="1023"/>
      <c r="E237" s="1023"/>
      <c r="F237" s="1011">
        <v>0.05</v>
      </c>
    </row>
    <row r="238" spans="1:6" ht="24.75" thickBot="1">
      <c r="A238" s="783" t="s">
        <v>528</v>
      </c>
      <c r="B238" s="777" t="s">
        <v>959</v>
      </c>
      <c r="C238" s="1023"/>
      <c r="D238" s="1023"/>
      <c r="E238" s="1023"/>
      <c r="F238" s="1011">
        <v>0.05</v>
      </c>
    </row>
    <row r="239" spans="1:6" ht="24.75" thickBot="1">
      <c r="A239" s="783" t="s">
        <v>528</v>
      </c>
      <c r="B239" s="777" t="s">
        <v>960</v>
      </c>
      <c r="C239" s="1023"/>
      <c r="D239" s="1023"/>
      <c r="E239" s="1023"/>
      <c r="F239" s="1011">
        <v>0.05</v>
      </c>
    </row>
    <row r="240" spans="1:6" ht="24.75" thickBot="1">
      <c r="A240" s="783" t="s">
        <v>528</v>
      </c>
      <c r="B240" s="777" t="s">
        <v>961</v>
      </c>
      <c r="C240" s="1023"/>
      <c r="D240" s="1023"/>
      <c r="E240" s="1023"/>
      <c r="F240" s="1011">
        <v>0.05</v>
      </c>
    </row>
    <row r="241" spans="1:6" ht="24.75" thickBot="1">
      <c r="A241" s="783" t="s">
        <v>528</v>
      </c>
      <c r="B241" s="777" t="s">
        <v>962</v>
      </c>
      <c r="C241" s="1023"/>
      <c r="D241" s="1023"/>
      <c r="E241" s="1023"/>
      <c r="F241" s="1011">
        <v>0.05</v>
      </c>
    </row>
    <row r="242" spans="1:6" ht="24.75" thickBot="1">
      <c r="A242" s="783" t="s">
        <v>528</v>
      </c>
      <c r="B242" s="777" t="s">
        <v>963</v>
      </c>
      <c r="C242" s="1023"/>
      <c r="D242" s="1023"/>
      <c r="E242" s="1023"/>
      <c r="F242" s="1011">
        <v>0.05</v>
      </c>
    </row>
    <row r="243" spans="1:6" ht="24.75" thickBot="1">
      <c r="A243" s="783" t="s">
        <v>528</v>
      </c>
      <c r="B243" s="777" t="s">
        <v>964</v>
      </c>
      <c r="C243" s="1023"/>
      <c r="D243" s="1023"/>
      <c r="E243" s="1023"/>
      <c r="F243" s="1011">
        <v>0.05</v>
      </c>
    </row>
    <row r="244" spans="1:6" ht="24.75" thickBot="1">
      <c r="A244" s="793" t="s">
        <v>528</v>
      </c>
      <c r="B244" s="789" t="s">
        <v>965</v>
      </c>
      <c r="C244" s="1020"/>
      <c r="D244" s="1020"/>
      <c r="E244" s="1020"/>
      <c r="F244" s="1013">
        <v>0.05</v>
      </c>
    </row>
    <row r="245" spans="1:6" ht="14.25" thickBot="1">
      <c r="A245" s="783" t="s">
        <v>530</v>
      </c>
      <c r="B245" s="784" t="s">
        <v>966</v>
      </c>
      <c r="C245" s="1008">
        <v>0.15</v>
      </c>
      <c r="D245" s="1008">
        <v>0.15</v>
      </c>
      <c r="E245" s="1008">
        <v>0.15</v>
      </c>
      <c r="F245" s="1009">
        <v>0.14299999999999999</v>
      </c>
    </row>
    <row r="246" spans="1:6" ht="14.25" thickBot="1">
      <c r="A246" s="783" t="s">
        <v>530</v>
      </c>
      <c r="B246" s="777" t="s">
        <v>195</v>
      </c>
      <c r="C246" s="1010">
        <v>0.15</v>
      </c>
      <c r="D246" s="1010">
        <v>0.15</v>
      </c>
      <c r="E246" s="1010">
        <v>0.15</v>
      </c>
      <c r="F246" s="1011">
        <v>0.114</v>
      </c>
    </row>
    <row r="247" spans="1:6" ht="14.25" thickBot="1">
      <c r="A247" s="783" t="s">
        <v>530</v>
      </c>
      <c r="B247" s="777" t="s">
        <v>967</v>
      </c>
      <c r="C247" s="1010">
        <v>0.15</v>
      </c>
      <c r="D247" s="1010">
        <v>0.15</v>
      </c>
      <c r="E247" s="1010">
        <v>0.15</v>
      </c>
      <c r="F247" s="1011">
        <v>0.15</v>
      </c>
    </row>
    <row r="248" spans="1:6" ht="14.25" thickBot="1">
      <c r="A248" s="783" t="s">
        <v>530</v>
      </c>
      <c r="B248" s="777" t="s">
        <v>968</v>
      </c>
      <c r="C248" s="1010">
        <v>0.15</v>
      </c>
      <c r="D248" s="1010">
        <v>0.15</v>
      </c>
      <c r="E248" s="1010">
        <v>0.15</v>
      </c>
      <c r="F248" s="1011">
        <v>0.14000000000000001</v>
      </c>
    </row>
    <row r="249" spans="1:6" ht="14.25" thickBot="1">
      <c r="A249" s="783" t="s">
        <v>530</v>
      </c>
      <c r="B249" s="777" t="s">
        <v>969</v>
      </c>
      <c r="C249" s="1010">
        <v>0.15</v>
      </c>
      <c r="D249" s="1010">
        <v>0.14899999999999999</v>
      </c>
      <c r="E249" s="1010">
        <v>0.15</v>
      </c>
      <c r="F249" s="1011">
        <v>0.1</v>
      </c>
    </row>
    <row r="250" spans="1:6" ht="14.25" thickBot="1">
      <c r="A250" s="783" t="s">
        <v>530</v>
      </c>
      <c r="B250" s="777" t="s">
        <v>970</v>
      </c>
      <c r="C250" s="1010">
        <v>0.15</v>
      </c>
      <c r="D250" s="1010">
        <v>0.15</v>
      </c>
      <c r="E250" s="1010">
        <v>0.15</v>
      </c>
      <c r="F250" s="1011">
        <v>0.14399999999999999</v>
      </c>
    </row>
    <row r="251" spans="1:6" ht="14.25" thickBot="1">
      <c r="A251" s="783" t="s">
        <v>530</v>
      </c>
      <c r="B251" s="777" t="s">
        <v>255</v>
      </c>
      <c r="C251" s="1010">
        <v>0.15</v>
      </c>
      <c r="D251" s="1010">
        <v>0.15</v>
      </c>
      <c r="E251" s="1010">
        <v>0.15</v>
      </c>
      <c r="F251" s="1011">
        <v>0.14299999999999999</v>
      </c>
    </row>
    <row r="252" spans="1:6" ht="14.25" thickBot="1">
      <c r="A252" s="783" t="s">
        <v>530</v>
      </c>
      <c r="B252" s="777" t="s">
        <v>266</v>
      </c>
      <c r="C252" s="1010">
        <v>0.15</v>
      </c>
      <c r="D252" s="1010">
        <v>0.15</v>
      </c>
      <c r="E252" s="1010">
        <v>0.15</v>
      </c>
      <c r="F252" s="1011">
        <v>0.1</v>
      </c>
    </row>
    <row r="253" spans="1:6" ht="14.25" thickBot="1">
      <c r="A253" s="783" t="s">
        <v>530</v>
      </c>
      <c r="B253" s="777" t="s">
        <v>278</v>
      </c>
      <c r="C253" s="1010">
        <v>0.15</v>
      </c>
      <c r="D253" s="1010">
        <v>0.15</v>
      </c>
      <c r="E253" s="1010">
        <v>0.15</v>
      </c>
      <c r="F253" s="1011">
        <v>0.1</v>
      </c>
    </row>
    <row r="254" spans="1:6" ht="14.25" thickBot="1">
      <c r="A254" s="783" t="s">
        <v>530</v>
      </c>
      <c r="B254" s="777" t="s">
        <v>288</v>
      </c>
      <c r="C254" s="1023"/>
      <c r="D254" s="1023"/>
      <c r="E254" s="1023"/>
      <c r="F254" s="1011">
        <v>0.15</v>
      </c>
    </row>
    <row r="255" spans="1:6" ht="14.25" thickBot="1">
      <c r="A255" s="783" t="s">
        <v>530</v>
      </c>
      <c r="B255" s="777" t="s">
        <v>298</v>
      </c>
      <c r="C255" s="1023"/>
      <c r="D255" s="1023"/>
      <c r="E255" s="1023"/>
      <c r="F255" s="1011">
        <v>0.14299999999999999</v>
      </c>
    </row>
    <row r="256" spans="1:6" ht="14.25" thickBot="1">
      <c r="A256" s="783" t="s">
        <v>530</v>
      </c>
      <c r="B256" s="777" t="s">
        <v>971</v>
      </c>
      <c r="C256" s="1010">
        <v>0.14599999999999999</v>
      </c>
      <c r="D256" s="1010">
        <v>0.14699999999999999</v>
      </c>
      <c r="E256" s="1010">
        <v>0.15</v>
      </c>
      <c r="F256" s="1011">
        <v>0.13200000000000001</v>
      </c>
    </row>
    <row r="257" spans="1:6" ht="14.25" thickBot="1">
      <c r="A257" s="783" t="s">
        <v>530</v>
      </c>
      <c r="B257" s="777" t="s">
        <v>318</v>
      </c>
      <c r="C257" s="1010">
        <v>0.15</v>
      </c>
      <c r="D257" s="1010">
        <v>0.15</v>
      </c>
      <c r="E257" s="1010">
        <v>0.15</v>
      </c>
      <c r="F257" s="1011">
        <v>0.13900000000000001</v>
      </c>
    </row>
    <row r="258" spans="1:6" ht="14.25" thickBot="1">
      <c r="A258" s="783" t="s">
        <v>530</v>
      </c>
      <c r="B258" s="777" t="s">
        <v>329</v>
      </c>
      <c r="C258" s="1010">
        <v>0.15</v>
      </c>
      <c r="D258" s="1010">
        <v>0.15</v>
      </c>
      <c r="E258" s="1010">
        <v>0.15</v>
      </c>
      <c r="F258" s="1011">
        <v>0.13</v>
      </c>
    </row>
    <row r="259" spans="1:6" ht="14.25" thickBot="1">
      <c r="A259" s="783" t="s">
        <v>530</v>
      </c>
      <c r="B259" s="777" t="s">
        <v>972</v>
      </c>
      <c r="C259" s="1010">
        <v>0.14799999999999999</v>
      </c>
      <c r="D259" s="1010">
        <v>0.14899999999999999</v>
      </c>
      <c r="E259" s="1010">
        <v>0.15</v>
      </c>
      <c r="F259" s="1011">
        <v>0.13700000000000001</v>
      </c>
    </row>
    <row r="260" spans="1:6" ht="14.25" thickBot="1">
      <c r="A260" s="783" t="s">
        <v>530</v>
      </c>
      <c r="B260" s="777" t="s">
        <v>350</v>
      </c>
      <c r="C260" s="1010">
        <v>0.15</v>
      </c>
      <c r="D260" s="1010">
        <v>0.15</v>
      </c>
      <c r="E260" s="1010">
        <v>0.15</v>
      </c>
      <c r="F260" s="1011">
        <v>0.14199999999999999</v>
      </c>
    </row>
    <row r="261" spans="1:6" ht="14.25" thickBot="1">
      <c r="A261" s="783" t="s">
        <v>530</v>
      </c>
      <c r="B261" s="777" t="s">
        <v>360</v>
      </c>
      <c r="C261" s="1010">
        <v>0.15</v>
      </c>
      <c r="D261" s="1010">
        <v>0.15</v>
      </c>
      <c r="E261" s="1010">
        <v>0.14899999999999999</v>
      </c>
      <c r="F261" s="1011">
        <v>0.14799999999999999</v>
      </c>
    </row>
    <row r="262" spans="1:6" ht="14.25" thickBot="1">
      <c r="A262" s="783" t="s">
        <v>530</v>
      </c>
      <c r="B262" s="777" t="s">
        <v>370</v>
      </c>
      <c r="C262" s="1010">
        <v>0.15</v>
      </c>
      <c r="D262" s="1010">
        <v>0.15</v>
      </c>
      <c r="E262" s="1010">
        <v>0.15</v>
      </c>
      <c r="F262" s="1022"/>
    </row>
    <row r="263" spans="1:6" ht="14.25" thickBot="1">
      <c r="A263" s="783" t="s">
        <v>530</v>
      </c>
      <c r="B263" s="777" t="s">
        <v>973</v>
      </c>
      <c r="C263" s="1010">
        <v>0.14899999999999999</v>
      </c>
      <c r="D263" s="1010">
        <v>0.14899999999999999</v>
      </c>
      <c r="E263" s="1010">
        <v>0.15</v>
      </c>
      <c r="F263" s="1011">
        <v>0.13</v>
      </c>
    </row>
    <row r="264" spans="1:6" ht="14.25" thickBot="1">
      <c r="A264" s="783" t="s">
        <v>530</v>
      </c>
      <c r="B264" s="777" t="s">
        <v>389</v>
      </c>
      <c r="C264" s="1010">
        <v>0.14799999999999999</v>
      </c>
      <c r="D264" s="1010">
        <v>0.14699999999999999</v>
      </c>
      <c r="E264" s="1010">
        <v>0.15</v>
      </c>
      <c r="F264" s="1011">
        <v>7.8E-2</v>
      </c>
    </row>
    <row r="265" spans="1:6" ht="14.25" thickBot="1">
      <c r="A265" s="783" t="s">
        <v>530</v>
      </c>
      <c r="B265" s="777" t="s">
        <v>398</v>
      </c>
      <c r="C265" s="1010">
        <v>0.15</v>
      </c>
      <c r="D265" s="1010">
        <v>0.15</v>
      </c>
      <c r="E265" s="1010">
        <v>0.15</v>
      </c>
      <c r="F265" s="1011">
        <v>7.3999999999999996E-2</v>
      </c>
    </row>
    <row r="266" spans="1:6" ht="14.25" thickBot="1">
      <c r="A266" s="783" t="s">
        <v>530</v>
      </c>
      <c r="B266" s="777" t="s">
        <v>406</v>
      </c>
      <c r="C266" s="1010">
        <v>0.14699999999999999</v>
      </c>
      <c r="D266" s="1010">
        <v>0.14699999999999999</v>
      </c>
      <c r="E266" s="1010">
        <v>0.15</v>
      </c>
      <c r="F266" s="1011">
        <v>0.14299999999999999</v>
      </c>
    </row>
    <row r="267" spans="1:6" ht="14.25" thickBot="1">
      <c r="A267" s="783" t="s">
        <v>530</v>
      </c>
      <c r="B267" s="777" t="s">
        <v>413</v>
      </c>
      <c r="C267" s="1010">
        <v>0.14199999999999999</v>
      </c>
      <c r="D267" s="1010">
        <v>0.14299999999999999</v>
      </c>
      <c r="E267" s="1010">
        <v>0.15</v>
      </c>
      <c r="F267" s="1022"/>
    </row>
    <row r="268" spans="1:6" ht="14.25" thickBot="1">
      <c r="A268" s="783" t="s">
        <v>530</v>
      </c>
      <c r="B268" s="777" t="s">
        <v>974</v>
      </c>
      <c r="C268" s="1010">
        <v>0.15</v>
      </c>
      <c r="D268" s="1010">
        <v>0.15</v>
      </c>
      <c r="E268" s="1010">
        <v>0.15</v>
      </c>
      <c r="F268" s="1011">
        <v>0.13</v>
      </c>
    </row>
    <row r="269" spans="1:6" ht="14.25" thickBot="1">
      <c r="A269" s="783" t="s">
        <v>530</v>
      </c>
      <c r="B269" s="777" t="s">
        <v>427</v>
      </c>
      <c r="C269" s="1010">
        <v>0.15</v>
      </c>
      <c r="D269" s="1010">
        <v>0.15</v>
      </c>
      <c r="E269" s="1010">
        <v>0.15</v>
      </c>
      <c r="F269" s="1011">
        <v>0.14299999999999999</v>
      </c>
    </row>
    <row r="270" spans="1:6" ht="14.25" thickBot="1">
      <c r="A270" s="783" t="s">
        <v>530</v>
      </c>
      <c r="B270" s="777" t="s">
        <v>434</v>
      </c>
      <c r="C270" s="1010">
        <v>0.14499999999999999</v>
      </c>
      <c r="D270" s="1010">
        <v>0.14499999999999999</v>
      </c>
      <c r="E270" s="1010">
        <v>0.15</v>
      </c>
      <c r="F270" s="1011">
        <v>0.14699999999999999</v>
      </c>
    </row>
    <row r="271" spans="1:6" ht="14.25" thickBot="1">
      <c r="A271" s="783" t="s">
        <v>530</v>
      </c>
      <c r="B271" s="777" t="s">
        <v>441</v>
      </c>
      <c r="C271" s="1010">
        <v>0.15</v>
      </c>
      <c r="D271" s="1010">
        <v>0.15</v>
      </c>
      <c r="E271" s="1010">
        <v>0.15</v>
      </c>
      <c r="F271" s="1011">
        <v>0.13800000000000001</v>
      </c>
    </row>
    <row r="272" spans="1:6" ht="14.25" thickBot="1">
      <c r="A272" s="783" t="s">
        <v>530</v>
      </c>
      <c r="B272" s="777" t="s">
        <v>448</v>
      </c>
      <c r="C272" s="1023"/>
      <c r="D272" s="1023"/>
      <c r="E272" s="1023"/>
      <c r="F272" s="1011">
        <v>0.14000000000000001</v>
      </c>
    </row>
    <row r="273" spans="1:6" ht="14.25" thickBot="1">
      <c r="A273" s="783" t="s">
        <v>530</v>
      </c>
      <c r="B273" s="777" t="s">
        <v>975</v>
      </c>
      <c r="C273" s="1010">
        <v>0.14199999999999999</v>
      </c>
      <c r="D273" s="1010">
        <v>0.14299999999999999</v>
      </c>
      <c r="E273" s="1010">
        <v>0.15</v>
      </c>
      <c r="F273" s="1011">
        <v>0.1</v>
      </c>
    </row>
    <row r="274" spans="1:6" ht="14.25" thickBot="1">
      <c r="A274" s="783" t="s">
        <v>530</v>
      </c>
      <c r="B274" s="777" t="s">
        <v>976</v>
      </c>
      <c r="C274" s="1010">
        <v>0.14799999999999999</v>
      </c>
      <c r="D274" s="1010">
        <v>0.14799999999999999</v>
      </c>
      <c r="E274" s="1010">
        <v>0.15</v>
      </c>
      <c r="F274" s="1011">
        <v>6.7000000000000004E-2</v>
      </c>
    </row>
    <row r="275" spans="1:6" ht="14.25" thickBot="1">
      <c r="A275" s="783" t="s">
        <v>530</v>
      </c>
      <c r="B275" s="777" t="s">
        <v>977</v>
      </c>
      <c r="C275" s="1010">
        <v>0.15</v>
      </c>
      <c r="D275" s="1010">
        <v>0.15</v>
      </c>
      <c r="E275" s="1010">
        <v>0.15</v>
      </c>
      <c r="F275" s="1011">
        <v>0.15</v>
      </c>
    </row>
    <row r="276" spans="1:6" ht="14.25" thickBot="1">
      <c r="A276" s="783" t="s">
        <v>530</v>
      </c>
      <c r="B276" s="777" t="s">
        <v>978</v>
      </c>
      <c r="C276" s="1010">
        <v>0.14499999999999999</v>
      </c>
      <c r="D276" s="1010">
        <v>0.14299999999999999</v>
      </c>
      <c r="E276" s="1010">
        <v>0.15</v>
      </c>
      <c r="F276" s="1011">
        <v>5.8999999999999997E-2</v>
      </c>
    </row>
    <row r="277" spans="1:6" ht="14.25" thickBot="1">
      <c r="A277" s="783" t="s">
        <v>530</v>
      </c>
      <c r="B277" s="777" t="s">
        <v>979</v>
      </c>
      <c r="C277" s="1010">
        <v>0.15</v>
      </c>
      <c r="D277" s="1010">
        <v>0.15</v>
      </c>
      <c r="E277" s="1010">
        <v>0.15</v>
      </c>
      <c r="F277" s="1011">
        <v>0.121</v>
      </c>
    </row>
    <row r="278" spans="1:6" ht="14.25" thickBot="1">
      <c r="A278" s="783" t="s">
        <v>530</v>
      </c>
      <c r="B278" s="777" t="s">
        <v>980</v>
      </c>
      <c r="C278" s="1010">
        <v>0.15</v>
      </c>
      <c r="D278" s="1010">
        <v>0.15</v>
      </c>
      <c r="E278" s="1010">
        <v>0.15</v>
      </c>
      <c r="F278" s="1011">
        <v>0.13800000000000001</v>
      </c>
    </row>
    <row r="279" spans="1:6" ht="24.75" thickBot="1">
      <c r="A279" s="783" t="s">
        <v>530</v>
      </c>
      <c r="B279" s="777" t="s">
        <v>981</v>
      </c>
      <c r="C279" s="1023"/>
      <c r="D279" s="1023"/>
      <c r="E279" s="1023"/>
      <c r="F279" s="1011">
        <v>0.05</v>
      </c>
    </row>
    <row r="280" spans="1:6" ht="24.75" thickBot="1">
      <c r="A280" s="783" t="s">
        <v>530</v>
      </c>
      <c r="B280" s="777" t="s">
        <v>982</v>
      </c>
      <c r="C280" s="1023"/>
      <c r="D280" s="1023"/>
      <c r="E280" s="1023"/>
      <c r="F280" s="1011">
        <v>0.05</v>
      </c>
    </row>
    <row r="281" spans="1:6" ht="24.75" thickBot="1">
      <c r="A281" s="783" t="s">
        <v>530</v>
      </c>
      <c r="B281" s="777" t="s">
        <v>983</v>
      </c>
      <c r="C281" s="1023"/>
      <c r="D281" s="1023"/>
      <c r="E281" s="1023"/>
      <c r="F281" s="1011">
        <v>0.05</v>
      </c>
    </row>
    <row r="282" spans="1:6" ht="24.75" thickBot="1">
      <c r="A282" s="783" t="s">
        <v>530</v>
      </c>
      <c r="B282" s="777" t="s">
        <v>984</v>
      </c>
      <c r="C282" s="1023"/>
      <c r="D282" s="1023"/>
      <c r="E282" s="1023"/>
      <c r="F282" s="1011">
        <v>0.05</v>
      </c>
    </row>
    <row r="283" spans="1:6" ht="24.75" thickBot="1">
      <c r="A283" s="783" t="s">
        <v>530</v>
      </c>
      <c r="B283" s="777" t="s">
        <v>985</v>
      </c>
      <c r="C283" s="1023"/>
      <c r="D283" s="1023"/>
      <c r="E283" s="1023"/>
      <c r="F283" s="1011">
        <v>0.05</v>
      </c>
    </row>
    <row r="284" spans="1:6" ht="24.75" thickBot="1">
      <c r="A284" s="783" t="s">
        <v>530</v>
      </c>
      <c r="B284" s="777" t="s">
        <v>986</v>
      </c>
      <c r="C284" s="1023"/>
      <c r="D284" s="1023"/>
      <c r="E284" s="1023"/>
      <c r="F284" s="1011">
        <v>0.05</v>
      </c>
    </row>
    <row r="285" spans="1:6" ht="24.75" thickBot="1">
      <c r="A285" s="783" t="s">
        <v>530</v>
      </c>
      <c r="B285" s="777" t="s">
        <v>987</v>
      </c>
      <c r="C285" s="1023"/>
      <c r="D285" s="1023"/>
      <c r="E285" s="1023"/>
      <c r="F285" s="1011">
        <v>0.05</v>
      </c>
    </row>
    <row r="286" spans="1:6" ht="24.75" thickBot="1">
      <c r="A286" s="783" t="s">
        <v>530</v>
      </c>
      <c r="B286" s="777" t="s">
        <v>988</v>
      </c>
      <c r="C286" s="1023"/>
      <c r="D286" s="1023"/>
      <c r="E286" s="1023"/>
      <c r="F286" s="1011">
        <v>0.05</v>
      </c>
    </row>
    <row r="287" spans="1:6" ht="24.75" thickBot="1">
      <c r="A287" s="783" t="s">
        <v>530</v>
      </c>
      <c r="B287" s="777" t="s">
        <v>989</v>
      </c>
      <c r="C287" s="1023"/>
      <c r="D287" s="1023"/>
      <c r="E287" s="1023"/>
      <c r="F287" s="1011">
        <v>0.05</v>
      </c>
    </row>
    <row r="288" spans="1:6" ht="24.75" thickBot="1">
      <c r="A288" s="783" t="s">
        <v>530</v>
      </c>
      <c r="B288" s="777" t="s">
        <v>990</v>
      </c>
      <c r="C288" s="1023"/>
      <c r="D288" s="1023"/>
      <c r="E288" s="1023"/>
      <c r="F288" s="1011">
        <v>0.05</v>
      </c>
    </row>
    <row r="289" spans="1:6" ht="24.75" thickBot="1">
      <c r="A289" s="793" t="s">
        <v>530</v>
      </c>
      <c r="B289" s="789" t="s">
        <v>991</v>
      </c>
      <c r="C289" s="1020"/>
      <c r="D289" s="1020"/>
      <c r="E289" s="1020"/>
      <c r="F289" s="1013">
        <v>0.05</v>
      </c>
    </row>
    <row r="290" spans="1:6" ht="14.25" thickBot="1">
      <c r="A290" s="783" t="s">
        <v>534</v>
      </c>
      <c r="B290" s="784" t="s">
        <v>992</v>
      </c>
      <c r="C290" s="1008">
        <v>0.15</v>
      </c>
      <c r="D290" s="1008">
        <v>0.15</v>
      </c>
      <c r="E290" s="1008">
        <v>0.15</v>
      </c>
      <c r="F290" s="1025"/>
    </row>
    <row r="291" spans="1:6" ht="14.25" thickBot="1">
      <c r="A291" s="783" t="s">
        <v>534</v>
      </c>
      <c r="B291" s="777" t="s">
        <v>196</v>
      </c>
      <c r="C291" s="1010">
        <v>0.15</v>
      </c>
      <c r="D291" s="1010">
        <v>0.15</v>
      </c>
      <c r="E291" s="1010">
        <v>0.15</v>
      </c>
      <c r="F291" s="1022"/>
    </row>
    <row r="292" spans="1:6" ht="14.25" thickBot="1">
      <c r="A292" s="783" t="s">
        <v>534</v>
      </c>
      <c r="B292" s="777" t="s">
        <v>993</v>
      </c>
      <c r="C292" s="1010">
        <v>0.15</v>
      </c>
      <c r="D292" s="1010">
        <v>0.15</v>
      </c>
      <c r="E292" s="1010">
        <v>0.15</v>
      </c>
      <c r="F292" s="1011">
        <v>0.14699999999999999</v>
      </c>
    </row>
    <row r="293" spans="1:6" ht="14.25" thickBot="1">
      <c r="A293" s="783" t="s">
        <v>534</v>
      </c>
      <c r="B293" s="777" t="s">
        <v>994</v>
      </c>
      <c r="C293" s="1023"/>
      <c r="D293" s="1023"/>
      <c r="E293" s="1023"/>
      <c r="F293" s="1011">
        <v>0.1</v>
      </c>
    </row>
    <row r="294" spans="1:6" ht="14.25" thickBot="1">
      <c r="A294" s="783" t="s">
        <v>534</v>
      </c>
      <c r="B294" s="777" t="s">
        <v>995</v>
      </c>
      <c r="C294" s="1010">
        <v>0.15</v>
      </c>
      <c r="D294" s="1010">
        <v>0.15</v>
      </c>
      <c r="E294" s="1010">
        <v>0.15</v>
      </c>
      <c r="F294" s="1011">
        <v>0.15</v>
      </c>
    </row>
    <row r="295" spans="1:6" ht="14.25" thickBot="1">
      <c r="A295" s="783" t="s">
        <v>534</v>
      </c>
      <c r="B295" s="777" t="s">
        <v>234</v>
      </c>
      <c r="C295" s="1010">
        <v>0.15</v>
      </c>
      <c r="D295" s="1010">
        <v>0.15</v>
      </c>
      <c r="E295" s="1010">
        <v>0.15</v>
      </c>
      <c r="F295" s="1011">
        <v>0.15</v>
      </c>
    </row>
    <row r="296" spans="1:6" ht="14.25" thickBot="1">
      <c r="A296" s="783" t="s">
        <v>534</v>
      </c>
      <c r="B296" s="777" t="s">
        <v>996</v>
      </c>
      <c r="C296" s="1010">
        <v>0.15</v>
      </c>
      <c r="D296" s="1010">
        <v>0.15</v>
      </c>
      <c r="E296" s="1010">
        <v>0.15</v>
      </c>
      <c r="F296" s="1011">
        <v>0.15</v>
      </c>
    </row>
    <row r="297" spans="1:6" ht="14.25" thickBot="1">
      <c r="A297" s="783" t="s">
        <v>534</v>
      </c>
      <c r="B297" s="777" t="s">
        <v>997</v>
      </c>
      <c r="C297" s="1010">
        <v>0.14799999999999999</v>
      </c>
      <c r="D297" s="1010">
        <v>0.14899999999999999</v>
      </c>
      <c r="E297" s="1010">
        <v>0.15</v>
      </c>
      <c r="F297" s="1011">
        <v>0.13700000000000001</v>
      </c>
    </row>
    <row r="298" spans="1:6" ht="14.25" thickBot="1">
      <c r="A298" s="783" t="s">
        <v>534</v>
      </c>
      <c r="B298" s="777" t="s">
        <v>267</v>
      </c>
      <c r="C298" s="1010">
        <v>0.13400000000000001</v>
      </c>
      <c r="D298" s="1010">
        <v>0.13400000000000001</v>
      </c>
      <c r="E298" s="1010">
        <v>0.14499999999999999</v>
      </c>
      <c r="F298" s="1011">
        <v>0.14799999999999999</v>
      </c>
    </row>
    <row r="299" spans="1:6" ht="14.25" thickBot="1">
      <c r="A299" s="783" t="s">
        <v>534</v>
      </c>
      <c r="B299" s="777" t="s">
        <v>279</v>
      </c>
      <c r="C299" s="1010">
        <v>0.15</v>
      </c>
      <c r="D299" s="1010">
        <v>0.15</v>
      </c>
      <c r="E299" s="1010">
        <v>0.15</v>
      </c>
      <c r="F299" s="1022"/>
    </row>
    <row r="300" spans="1:6" ht="14.25" thickBot="1">
      <c r="A300" s="783" t="s">
        <v>534</v>
      </c>
      <c r="B300" s="777" t="s">
        <v>998</v>
      </c>
      <c r="C300" s="1010">
        <v>0.15</v>
      </c>
      <c r="D300" s="1010">
        <v>0.15</v>
      </c>
      <c r="E300" s="1010">
        <v>0.15</v>
      </c>
      <c r="F300" s="1011">
        <v>0.15</v>
      </c>
    </row>
    <row r="301" spans="1:6" ht="14.25" thickBot="1">
      <c r="A301" s="783" t="s">
        <v>534</v>
      </c>
      <c r="B301" s="777" t="s">
        <v>299</v>
      </c>
      <c r="C301" s="1010">
        <v>0.15</v>
      </c>
      <c r="D301" s="1010">
        <v>0.15</v>
      </c>
      <c r="E301" s="1010">
        <v>0.15</v>
      </c>
      <c r="F301" s="1022"/>
    </row>
    <row r="302" spans="1:6" ht="14.25" thickBot="1">
      <c r="A302" s="783" t="s">
        <v>534</v>
      </c>
      <c r="B302" s="777" t="s">
        <v>999</v>
      </c>
      <c r="C302" s="1010">
        <v>0.15</v>
      </c>
      <c r="D302" s="1010">
        <v>0.15</v>
      </c>
      <c r="E302" s="1010">
        <v>0.15</v>
      </c>
      <c r="F302" s="1011">
        <v>0.15</v>
      </c>
    </row>
    <row r="303" spans="1:6" ht="14.25" thickBot="1">
      <c r="A303" s="783" t="s">
        <v>534</v>
      </c>
      <c r="B303" s="777" t="s">
        <v>319</v>
      </c>
      <c r="C303" s="1010">
        <v>0.15</v>
      </c>
      <c r="D303" s="1010">
        <v>0.15</v>
      </c>
      <c r="E303" s="1010">
        <v>0.15</v>
      </c>
      <c r="F303" s="1011">
        <v>0.15</v>
      </c>
    </row>
    <row r="304" spans="1:6" ht="14.25" thickBot="1">
      <c r="A304" s="783" t="s">
        <v>534</v>
      </c>
      <c r="B304" s="777" t="s">
        <v>330</v>
      </c>
      <c r="C304" s="1010">
        <v>0.15</v>
      </c>
      <c r="D304" s="1010">
        <v>0.15</v>
      </c>
      <c r="E304" s="1010">
        <v>0.15</v>
      </c>
      <c r="F304" s="1022"/>
    </row>
    <row r="305" spans="1:6" ht="14.25" thickBot="1">
      <c r="A305" s="783" t="s">
        <v>534</v>
      </c>
      <c r="B305" s="777" t="s">
        <v>1000</v>
      </c>
      <c r="C305" s="1010">
        <v>0.15</v>
      </c>
      <c r="D305" s="1010">
        <v>0.15</v>
      </c>
      <c r="E305" s="1010">
        <v>0.15</v>
      </c>
      <c r="F305" s="1011">
        <v>0.14000000000000001</v>
      </c>
    </row>
    <row r="306" spans="1:6" ht="14.25" thickBot="1">
      <c r="A306" s="783" t="s">
        <v>534</v>
      </c>
      <c r="B306" s="777" t="s">
        <v>351</v>
      </c>
      <c r="C306" s="1010">
        <v>0.15</v>
      </c>
      <c r="D306" s="1010">
        <v>0.15</v>
      </c>
      <c r="E306" s="1010">
        <v>0.15</v>
      </c>
      <c r="F306" s="1022"/>
    </row>
    <row r="307" spans="1:6" ht="14.25" thickBot="1">
      <c r="A307" s="783" t="s">
        <v>534</v>
      </c>
      <c r="B307" s="777" t="s">
        <v>1001</v>
      </c>
      <c r="C307" s="1010">
        <v>0.15</v>
      </c>
      <c r="D307" s="1010">
        <v>0.15</v>
      </c>
      <c r="E307" s="1010">
        <v>0.15</v>
      </c>
      <c r="F307" s="1011">
        <v>0.14299999999999999</v>
      </c>
    </row>
    <row r="308" spans="1:6" ht="14.25" thickBot="1">
      <c r="A308" s="783" t="s">
        <v>534</v>
      </c>
      <c r="B308" s="777" t="s">
        <v>371</v>
      </c>
      <c r="C308" s="1010">
        <v>0.15</v>
      </c>
      <c r="D308" s="1010">
        <v>0.15</v>
      </c>
      <c r="E308" s="1010">
        <v>0.15</v>
      </c>
      <c r="F308" s="1011">
        <v>0.15</v>
      </c>
    </row>
    <row r="309" spans="1:6" ht="14.25" thickBot="1">
      <c r="A309" s="783" t="s">
        <v>534</v>
      </c>
      <c r="B309" s="777" t="s">
        <v>381</v>
      </c>
      <c r="C309" s="1010">
        <v>0.15</v>
      </c>
      <c r="D309" s="1010">
        <v>0.15</v>
      </c>
      <c r="E309" s="1010">
        <v>0.15</v>
      </c>
      <c r="F309" s="1022"/>
    </row>
    <row r="310" spans="1:6" ht="14.25" thickBot="1">
      <c r="A310" s="783" t="s">
        <v>534</v>
      </c>
      <c r="B310" s="777" t="s">
        <v>1002</v>
      </c>
      <c r="C310" s="1010">
        <v>0.15</v>
      </c>
      <c r="D310" s="1010">
        <v>0.15</v>
      </c>
      <c r="E310" s="1010">
        <v>0.15</v>
      </c>
      <c r="F310" s="1011">
        <v>0.13700000000000001</v>
      </c>
    </row>
    <row r="311" spans="1:6" ht="14.25" thickBot="1">
      <c r="A311" s="783" t="s">
        <v>534</v>
      </c>
      <c r="B311" s="777" t="s">
        <v>1003</v>
      </c>
      <c r="C311" s="1010">
        <v>0.15</v>
      </c>
      <c r="D311" s="1010">
        <v>0.15</v>
      </c>
      <c r="E311" s="1010">
        <v>0.15</v>
      </c>
      <c r="F311" s="1011">
        <v>0.15</v>
      </c>
    </row>
    <row r="312" spans="1:6" ht="14.25" thickBot="1">
      <c r="A312" s="783" t="s">
        <v>534</v>
      </c>
      <c r="B312" s="777" t="s">
        <v>407</v>
      </c>
      <c r="C312" s="1010">
        <v>0.15</v>
      </c>
      <c r="D312" s="1010">
        <v>0.15</v>
      </c>
      <c r="E312" s="1010">
        <v>0.15</v>
      </c>
      <c r="F312" s="1011">
        <v>0.1</v>
      </c>
    </row>
    <row r="313" spans="1:6" ht="14.25" thickBot="1">
      <c r="A313" s="783" t="s">
        <v>534</v>
      </c>
      <c r="B313" s="777" t="s">
        <v>1004</v>
      </c>
      <c r="C313" s="1010">
        <v>0.15</v>
      </c>
      <c r="D313" s="1010">
        <v>0.15</v>
      </c>
      <c r="E313" s="1010">
        <v>0.15</v>
      </c>
      <c r="F313" s="1011">
        <v>0.15</v>
      </c>
    </row>
    <row r="314" spans="1:6" ht="24.75" thickBot="1">
      <c r="A314" s="783" t="s">
        <v>534</v>
      </c>
      <c r="B314" s="777" t="s">
        <v>1005</v>
      </c>
      <c r="C314" s="1023"/>
      <c r="D314" s="1023"/>
      <c r="E314" s="1023"/>
      <c r="F314" s="1011">
        <v>0.05</v>
      </c>
    </row>
    <row r="315" spans="1:6" ht="24.75" thickBot="1">
      <c r="A315" s="783" t="s">
        <v>534</v>
      </c>
      <c r="B315" s="777" t="s">
        <v>1006</v>
      </c>
      <c r="C315" s="1023"/>
      <c r="D315" s="1023"/>
      <c r="E315" s="1023"/>
      <c r="F315" s="1011">
        <v>0.05</v>
      </c>
    </row>
    <row r="316" spans="1:6" ht="24.75" thickBot="1">
      <c r="A316" s="793" t="s">
        <v>534</v>
      </c>
      <c r="B316" s="789" t="s">
        <v>1007</v>
      </c>
      <c r="C316" s="1020"/>
      <c r="D316" s="1020"/>
      <c r="E316" s="1020"/>
      <c r="F316" s="1013">
        <v>0.05</v>
      </c>
    </row>
    <row r="317" spans="1:6" ht="14.25" thickBot="1">
      <c r="A317" s="783" t="s">
        <v>1008</v>
      </c>
      <c r="B317" s="784" t="s">
        <v>1009</v>
      </c>
      <c r="C317" s="1008">
        <v>0.15</v>
      </c>
      <c r="D317" s="1008">
        <v>0.15</v>
      </c>
      <c r="E317" s="1008">
        <v>0.15</v>
      </c>
      <c r="F317" s="1009">
        <v>0.15</v>
      </c>
    </row>
    <row r="318" spans="1:6" ht="14.25" thickBot="1">
      <c r="A318" s="783" t="s">
        <v>1008</v>
      </c>
      <c r="B318" s="777" t="s">
        <v>1010</v>
      </c>
      <c r="C318" s="1010">
        <v>0.107</v>
      </c>
      <c r="D318" s="1010">
        <v>0.11</v>
      </c>
      <c r="E318" s="1010">
        <v>0.112</v>
      </c>
      <c r="F318" s="1022"/>
    </row>
    <row r="319" spans="1:6" ht="14.25" thickBot="1">
      <c r="A319" s="783" t="s">
        <v>1008</v>
      </c>
      <c r="B319" s="777" t="s">
        <v>1011</v>
      </c>
      <c r="C319" s="1010">
        <v>0.15</v>
      </c>
      <c r="D319" s="1010">
        <v>0.15</v>
      </c>
      <c r="E319" s="1010">
        <v>0.15</v>
      </c>
      <c r="F319" s="1011">
        <v>0.15</v>
      </c>
    </row>
    <row r="320" spans="1:6" ht="14.25" thickBot="1">
      <c r="A320" s="783" t="s">
        <v>1008</v>
      </c>
      <c r="B320" s="777" t="s">
        <v>223</v>
      </c>
      <c r="C320" s="1010">
        <v>0.15</v>
      </c>
      <c r="D320" s="1010">
        <v>0.15</v>
      </c>
      <c r="E320" s="1010">
        <v>0.15</v>
      </c>
      <c r="F320" s="1022"/>
    </row>
    <row r="321" spans="1:6" ht="14.25" thickBot="1">
      <c r="A321" s="783" t="s">
        <v>1008</v>
      </c>
      <c r="B321" s="777" t="s">
        <v>1012</v>
      </c>
      <c r="C321" s="1010">
        <v>0.15</v>
      </c>
      <c r="D321" s="1010">
        <v>0.15</v>
      </c>
      <c r="E321" s="1010">
        <v>0.15</v>
      </c>
      <c r="F321" s="1022"/>
    </row>
    <row r="322" spans="1:6" ht="14.25" thickBot="1">
      <c r="A322" s="783" t="s">
        <v>1008</v>
      </c>
      <c r="B322" s="777" t="s">
        <v>1013</v>
      </c>
      <c r="C322" s="1010">
        <v>0.15</v>
      </c>
      <c r="D322" s="1010">
        <v>0.15</v>
      </c>
      <c r="E322" s="1010">
        <v>0.15</v>
      </c>
      <c r="F322" s="1011">
        <v>0.15</v>
      </c>
    </row>
    <row r="323" spans="1:6" ht="14.25" thickBot="1">
      <c r="A323" s="783" t="s">
        <v>1008</v>
      </c>
      <c r="B323" s="777" t="s">
        <v>1014</v>
      </c>
      <c r="C323" s="1010">
        <v>0.15</v>
      </c>
      <c r="D323" s="1010">
        <v>0.15</v>
      </c>
      <c r="E323" s="1010">
        <v>0.15</v>
      </c>
      <c r="F323" s="1022"/>
    </row>
    <row r="324" spans="1:6" ht="14.25" thickBot="1">
      <c r="A324" s="783" t="s">
        <v>1008</v>
      </c>
      <c r="B324" s="777" t="s">
        <v>1015</v>
      </c>
      <c r="C324" s="1010">
        <v>0.15</v>
      </c>
      <c r="D324" s="1010">
        <v>0.15</v>
      </c>
      <c r="E324" s="1010">
        <v>0.15</v>
      </c>
      <c r="F324" s="1022"/>
    </row>
    <row r="325" spans="1:6" ht="14.25" thickBot="1">
      <c r="A325" s="783" t="s">
        <v>1008</v>
      </c>
      <c r="B325" s="777" t="s">
        <v>1016</v>
      </c>
      <c r="C325" s="1010">
        <v>0.15</v>
      </c>
      <c r="D325" s="1010">
        <v>0.15</v>
      </c>
      <c r="E325" s="1010">
        <v>0.15</v>
      </c>
      <c r="F325" s="1011">
        <v>0.14699999999999999</v>
      </c>
    </row>
    <row r="326" spans="1:6" ht="14.25" thickBot="1">
      <c r="A326" s="783" t="s">
        <v>1008</v>
      </c>
      <c r="B326" s="777" t="s">
        <v>290</v>
      </c>
      <c r="C326" s="1010">
        <v>0.15</v>
      </c>
      <c r="D326" s="1010">
        <v>0.15</v>
      </c>
      <c r="E326" s="1010">
        <v>0.15</v>
      </c>
      <c r="F326" s="1022"/>
    </row>
    <row r="327" spans="1:6" ht="14.25" thickBot="1">
      <c r="A327" s="783" t="s">
        <v>1008</v>
      </c>
      <c r="B327" s="777" t="s">
        <v>1017</v>
      </c>
      <c r="C327" s="1010">
        <v>0.15</v>
      </c>
      <c r="D327" s="1010">
        <v>0.15</v>
      </c>
      <c r="E327" s="1010">
        <v>0.15</v>
      </c>
      <c r="F327" s="1011">
        <v>0.15</v>
      </c>
    </row>
    <row r="328" spans="1:6" ht="14.25" thickBot="1">
      <c r="A328" s="783" t="s">
        <v>1008</v>
      </c>
      <c r="B328" s="777" t="s">
        <v>310</v>
      </c>
      <c r="C328" s="1010">
        <v>0.15</v>
      </c>
      <c r="D328" s="1010">
        <v>0.15</v>
      </c>
      <c r="E328" s="1010">
        <v>0.15</v>
      </c>
      <c r="F328" s="1011">
        <v>0.14099999999999999</v>
      </c>
    </row>
    <row r="329" spans="1:6" ht="14.25" thickBot="1">
      <c r="A329" s="783" t="s">
        <v>1008</v>
      </c>
      <c r="B329" s="777" t="s">
        <v>320</v>
      </c>
      <c r="C329" s="1010">
        <v>0.15</v>
      </c>
      <c r="D329" s="1010">
        <v>0.15</v>
      </c>
      <c r="E329" s="1010">
        <v>0.15</v>
      </c>
      <c r="F329" s="1011">
        <v>0.15</v>
      </c>
    </row>
    <row r="330" spans="1:6" ht="14.25" thickBot="1">
      <c r="A330" s="783" t="s">
        <v>1008</v>
      </c>
      <c r="B330" s="777" t="s">
        <v>331</v>
      </c>
      <c r="C330" s="1010">
        <v>0.15</v>
      </c>
      <c r="D330" s="1010">
        <v>0.15</v>
      </c>
      <c r="E330" s="1010">
        <v>0.15</v>
      </c>
      <c r="F330" s="1022"/>
    </row>
    <row r="331" spans="1:6" ht="14.25" thickBot="1">
      <c r="A331" s="783" t="s">
        <v>1008</v>
      </c>
      <c r="B331" s="777" t="s">
        <v>1018</v>
      </c>
      <c r="C331" s="1010">
        <v>0.15</v>
      </c>
      <c r="D331" s="1010">
        <v>0.15</v>
      </c>
      <c r="E331" s="1010">
        <v>0.15</v>
      </c>
      <c r="F331" s="1011">
        <v>0.15</v>
      </c>
    </row>
    <row r="332" spans="1:6" ht="14.25" thickBot="1">
      <c r="A332" s="783" t="s">
        <v>1008</v>
      </c>
      <c r="B332" s="777" t="s">
        <v>352</v>
      </c>
      <c r="C332" s="1010">
        <v>0.15</v>
      </c>
      <c r="D332" s="1010">
        <v>0.15</v>
      </c>
      <c r="E332" s="1010">
        <v>0.15</v>
      </c>
      <c r="F332" s="1011">
        <v>0.15</v>
      </c>
    </row>
    <row r="333" spans="1:6" ht="14.25" thickBot="1">
      <c r="A333" s="783" t="s">
        <v>1008</v>
      </c>
      <c r="B333" s="777" t="s">
        <v>1019</v>
      </c>
      <c r="C333" s="1010">
        <v>0.15</v>
      </c>
      <c r="D333" s="1010">
        <v>0.15</v>
      </c>
      <c r="E333" s="1010">
        <v>0.15</v>
      </c>
      <c r="F333" s="1011">
        <v>0.14099999999999999</v>
      </c>
    </row>
    <row r="334" spans="1:6" ht="14.25" thickBot="1">
      <c r="A334" s="783" t="s">
        <v>1008</v>
      </c>
      <c r="B334" s="777" t="s">
        <v>372</v>
      </c>
      <c r="C334" s="1010">
        <v>0.15</v>
      </c>
      <c r="D334" s="1010">
        <v>0.15</v>
      </c>
      <c r="E334" s="1010">
        <v>0.15</v>
      </c>
      <c r="F334" s="1011">
        <v>0.15</v>
      </c>
    </row>
    <row r="335" spans="1:6" ht="14.25" thickBot="1">
      <c r="A335" s="783" t="s">
        <v>1008</v>
      </c>
      <c r="B335" s="777" t="s">
        <v>382</v>
      </c>
      <c r="C335" s="1010">
        <v>0.15</v>
      </c>
      <c r="D335" s="1010">
        <v>0.15</v>
      </c>
      <c r="E335" s="1010">
        <v>0.15</v>
      </c>
      <c r="F335" s="1022"/>
    </row>
    <row r="336" spans="1:6" ht="14.25" thickBot="1">
      <c r="A336" s="783" t="s">
        <v>1008</v>
      </c>
      <c r="B336" s="777" t="s">
        <v>1020</v>
      </c>
      <c r="C336" s="1010">
        <v>0.15</v>
      </c>
      <c r="D336" s="1010">
        <v>0.15</v>
      </c>
      <c r="E336" s="1010">
        <v>0.15</v>
      </c>
      <c r="F336" s="1011">
        <v>0.11799999999999999</v>
      </c>
    </row>
    <row r="337" spans="1:6" ht="14.25" thickBot="1">
      <c r="A337" s="793" t="s">
        <v>1008</v>
      </c>
      <c r="B337" s="789" t="s">
        <v>400</v>
      </c>
      <c r="C337" s="1020"/>
      <c r="D337" s="1020"/>
      <c r="E337" s="1020"/>
      <c r="F337" s="1013">
        <v>0.14299999999999999</v>
      </c>
    </row>
    <row r="338" spans="1:6" ht="14.25" thickBot="1">
      <c r="A338" s="783" t="s">
        <v>1021</v>
      </c>
      <c r="B338" s="784" t="s">
        <v>1022</v>
      </c>
      <c r="C338" s="1008">
        <v>0.15</v>
      </c>
      <c r="D338" s="1008">
        <v>0.15</v>
      </c>
      <c r="E338" s="1008">
        <v>0.15</v>
      </c>
      <c r="F338" s="1025"/>
    </row>
    <row r="339" spans="1:6" ht="14.25" thickBot="1">
      <c r="A339" s="783" t="s">
        <v>1021</v>
      </c>
      <c r="B339" s="777" t="s">
        <v>1023</v>
      </c>
      <c r="C339" s="1010">
        <v>0.15</v>
      </c>
      <c r="D339" s="1010">
        <v>0.15</v>
      </c>
      <c r="E339" s="1010">
        <v>0.15</v>
      </c>
      <c r="F339" s="1022"/>
    </row>
    <row r="340" spans="1:6" ht="14.25" thickBot="1">
      <c r="A340" s="783" t="s">
        <v>1021</v>
      </c>
      <c r="B340" s="777" t="s">
        <v>1024</v>
      </c>
      <c r="C340" s="1010">
        <v>0.15</v>
      </c>
      <c r="D340" s="1010">
        <v>0.15</v>
      </c>
      <c r="E340" s="1010">
        <v>0.15</v>
      </c>
      <c r="F340" s="1022"/>
    </row>
    <row r="341" spans="1:6" ht="14.25" thickBot="1">
      <c r="A341" s="783" t="s">
        <v>1021</v>
      </c>
      <c r="B341" s="777" t="s">
        <v>1025</v>
      </c>
      <c r="C341" s="1010">
        <v>0.15</v>
      </c>
      <c r="D341" s="1010">
        <v>0.15</v>
      </c>
      <c r="E341" s="1010">
        <v>0.15</v>
      </c>
      <c r="F341" s="1011">
        <v>0.15</v>
      </c>
    </row>
    <row r="342" spans="1:6" ht="14.25" thickBot="1">
      <c r="A342" s="783" t="s">
        <v>1021</v>
      </c>
      <c r="B342" s="777" t="s">
        <v>1026</v>
      </c>
      <c r="C342" s="1010">
        <v>0.15</v>
      </c>
      <c r="D342" s="1010">
        <v>0.15</v>
      </c>
      <c r="E342" s="1010">
        <v>0.15</v>
      </c>
      <c r="F342" s="1011">
        <v>0.15</v>
      </c>
    </row>
    <row r="343" spans="1:6" ht="14.25" thickBot="1">
      <c r="A343" s="783" t="s">
        <v>1021</v>
      </c>
      <c r="B343" s="777" t="s">
        <v>1027</v>
      </c>
      <c r="C343" s="1010">
        <v>0.15</v>
      </c>
      <c r="D343" s="1010">
        <v>0.15</v>
      </c>
      <c r="E343" s="1010">
        <v>0.15</v>
      </c>
      <c r="F343" s="1011">
        <v>0.15</v>
      </c>
    </row>
    <row r="344" spans="1:6" ht="14.25" thickBot="1">
      <c r="A344" s="793" t="s">
        <v>1021</v>
      </c>
      <c r="B344" s="789" t="s">
        <v>1028</v>
      </c>
      <c r="C344" s="1012">
        <v>0.15</v>
      </c>
      <c r="D344" s="1012">
        <v>0.15</v>
      </c>
      <c r="E344" s="1012">
        <v>0.15</v>
      </c>
      <c r="F344" s="1013">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8" customWidth="1"/>
    <col min="2" max="2" width="13.25" style="1574" customWidth="1"/>
    <col min="3" max="3" width="15.625" style="1574" customWidth="1"/>
    <col min="4" max="4" width="9.375" style="1574" bestFit="1" customWidth="1"/>
    <col min="5" max="5" width="13.5" style="1574" customWidth="1"/>
    <col min="6" max="6" width="9" style="1574"/>
    <col min="7" max="7" width="9.375" style="1574" bestFit="1" customWidth="1"/>
    <col min="8" max="8" width="12.25" style="1574" customWidth="1"/>
    <col min="9" max="9" width="9" style="1574"/>
    <col min="10" max="10" width="9.375" style="1574" bestFit="1" customWidth="1"/>
    <col min="11" max="11" width="4" style="1568" customWidth="1"/>
    <col min="12" max="12" width="5.125" style="1574" customWidth="1"/>
    <col min="13" max="13" width="13.75" style="1574" customWidth="1"/>
    <col min="14" max="256" width="9" style="1574"/>
    <col min="257" max="257" width="4.875" style="1565" customWidth="1"/>
    <col min="258" max="258" width="13.25" style="1565" customWidth="1"/>
    <col min="259" max="259" width="15.625" style="1565" customWidth="1"/>
    <col min="260" max="260" width="9.375" style="1565" bestFit="1" customWidth="1"/>
    <col min="261" max="261" width="13.5" style="1565" customWidth="1"/>
    <col min="262" max="262" width="9" style="1565"/>
    <col min="263" max="263" width="9.375" style="1565" bestFit="1" customWidth="1"/>
    <col min="264" max="265" width="9" style="1565"/>
    <col min="266" max="266" width="9.375" style="1565" bestFit="1" customWidth="1"/>
    <col min="267" max="267" width="4" style="1565" customWidth="1"/>
    <col min="268" max="268" width="5.125" style="1565" customWidth="1"/>
    <col min="269" max="269" width="13.75" style="1565" customWidth="1"/>
    <col min="270" max="512" width="9" style="1565"/>
    <col min="513" max="513" width="4.875" style="1565" customWidth="1"/>
    <col min="514" max="514" width="13.25" style="1565" customWidth="1"/>
    <col min="515" max="515" width="15.625" style="1565" customWidth="1"/>
    <col min="516" max="516" width="9.375" style="1565" bestFit="1" customWidth="1"/>
    <col min="517" max="517" width="13.5" style="1565" customWidth="1"/>
    <col min="518" max="518" width="9" style="1565"/>
    <col min="519" max="519" width="9.375" style="1565" bestFit="1" customWidth="1"/>
    <col min="520" max="521" width="9" style="1565"/>
    <col min="522" max="522" width="9.375" style="1565" bestFit="1" customWidth="1"/>
    <col min="523" max="523" width="4" style="1565" customWidth="1"/>
    <col min="524" max="524" width="5.125" style="1565" customWidth="1"/>
    <col min="525" max="525" width="13.75" style="1565" customWidth="1"/>
    <col min="526" max="768" width="9" style="1565"/>
    <col min="769" max="769" width="4.875" style="1565" customWidth="1"/>
    <col min="770" max="770" width="13.25" style="1565" customWidth="1"/>
    <col min="771" max="771" width="15.625" style="1565" customWidth="1"/>
    <col min="772" max="772" width="9.375" style="1565" bestFit="1" customWidth="1"/>
    <col min="773" max="773" width="13.5" style="1565" customWidth="1"/>
    <col min="774" max="774" width="9" style="1565"/>
    <col min="775" max="775" width="9.375" style="1565" bestFit="1" customWidth="1"/>
    <col min="776" max="777" width="9" style="1565"/>
    <col min="778" max="778" width="9.375" style="1565" bestFit="1" customWidth="1"/>
    <col min="779" max="779" width="4" style="1565" customWidth="1"/>
    <col min="780" max="780" width="5.125" style="1565" customWidth="1"/>
    <col min="781" max="781" width="13.75" style="1565" customWidth="1"/>
    <col min="782" max="1024" width="9" style="1565"/>
    <col min="1025" max="1025" width="4.875" style="1565" customWidth="1"/>
    <col min="1026" max="1026" width="13.25" style="1565" customWidth="1"/>
    <col min="1027" max="1027" width="15.625" style="1565" customWidth="1"/>
    <col min="1028" max="1028" width="9.375" style="1565" bestFit="1" customWidth="1"/>
    <col min="1029" max="1029" width="13.5" style="1565" customWidth="1"/>
    <col min="1030" max="1030" width="9" style="1565"/>
    <col min="1031" max="1031" width="9.375" style="1565" bestFit="1" customWidth="1"/>
    <col min="1032" max="1033" width="9" style="1565"/>
    <col min="1034" max="1034" width="9.375" style="1565" bestFit="1" customWidth="1"/>
    <col min="1035" max="1035" width="4" style="1565" customWidth="1"/>
    <col min="1036" max="1036" width="5.125" style="1565" customWidth="1"/>
    <col min="1037" max="1037" width="13.75" style="1565" customWidth="1"/>
    <col min="1038" max="1280" width="9" style="1565"/>
    <col min="1281" max="1281" width="4.875" style="1565" customWidth="1"/>
    <col min="1282" max="1282" width="13.25" style="1565" customWidth="1"/>
    <col min="1283" max="1283" width="15.625" style="1565" customWidth="1"/>
    <col min="1284" max="1284" width="9.375" style="1565" bestFit="1" customWidth="1"/>
    <col min="1285" max="1285" width="13.5" style="1565" customWidth="1"/>
    <col min="1286" max="1286" width="9" style="1565"/>
    <col min="1287" max="1287" width="9.375" style="1565" bestFit="1" customWidth="1"/>
    <col min="1288" max="1289" width="9" style="1565"/>
    <col min="1290" max="1290" width="9.375" style="1565" bestFit="1" customWidth="1"/>
    <col min="1291" max="1291" width="4" style="1565" customWidth="1"/>
    <col min="1292" max="1292" width="5.125" style="1565" customWidth="1"/>
    <col min="1293" max="1293" width="13.75" style="1565" customWidth="1"/>
    <col min="1294" max="1536" width="9" style="1565"/>
    <col min="1537" max="1537" width="4.875" style="1565" customWidth="1"/>
    <col min="1538" max="1538" width="13.25" style="1565" customWidth="1"/>
    <col min="1539" max="1539" width="15.625" style="1565" customWidth="1"/>
    <col min="1540" max="1540" width="9.375" style="1565" bestFit="1" customWidth="1"/>
    <col min="1541" max="1541" width="13.5" style="1565" customWidth="1"/>
    <col min="1542" max="1542" width="9" style="1565"/>
    <col min="1543" max="1543" width="9.375" style="1565" bestFit="1" customWidth="1"/>
    <col min="1544" max="1545" width="9" style="1565"/>
    <col min="1546" max="1546" width="9.375" style="1565" bestFit="1" customWidth="1"/>
    <col min="1547" max="1547" width="4" style="1565" customWidth="1"/>
    <col min="1548" max="1548" width="5.125" style="1565" customWidth="1"/>
    <col min="1549" max="1549" width="13.75" style="1565" customWidth="1"/>
    <col min="1550" max="1792" width="9" style="1565"/>
    <col min="1793" max="1793" width="4.875" style="1565" customWidth="1"/>
    <col min="1794" max="1794" width="13.25" style="1565" customWidth="1"/>
    <col min="1795" max="1795" width="15.625" style="1565" customWidth="1"/>
    <col min="1796" max="1796" width="9.375" style="1565" bestFit="1" customWidth="1"/>
    <col min="1797" max="1797" width="13.5" style="1565" customWidth="1"/>
    <col min="1798" max="1798" width="9" style="1565"/>
    <col min="1799" max="1799" width="9.375" style="1565" bestFit="1" customWidth="1"/>
    <col min="1800" max="1801" width="9" style="1565"/>
    <col min="1802" max="1802" width="9.375" style="1565" bestFit="1" customWidth="1"/>
    <col min="1803" max="1803" width="4" style="1565" customWidth="1"/>
    <col min="1804" max="1804" width="5.125" style="1565" customWidth="1"/>
    <col min="1805" max="1805" width="13.75" style="1565" customWidth="1"/>
    <col min="1806" max="2048" width="9" style="1565"/>
    <col min="2049" max="2049" width="4.875" style="1565" customWidth="1"/>
    <col min="2050" max="2050" width="13.25" style="1565" customWidth="1"/>
    <col min="2051" max="2051" width="15.625" style="1565" customWidth="1"/>
    <col min="2052" max="2052" width="9.375" style="1565" bestFit="1" customWidth="1"/>
    <col min="2053" max="2053" width="13.5" style="1565" customWidth="1"/>
    <col min="2054" max="2054" width="9" style="1565"/>
    <col min="2055" max="2055" width="9.375" style="1565" bestFit="1" customWidth="1"/>
    <col min="2056" max="2057" width="9" style="1565"/>
    <col min="2058" max="2058" width="9.375" style="1565" bestFit="1" customWidth="1"/>
    <col min="2059" max="2059" width="4" style="1565" customWidth="1"/>
    <col min="2060" max="2060" width="5.125" style="1565" customWidth="1"/>
    <col min="2061" max="2061" width="13.75" style="1565" customWidth="1"/>
    <col min="2062" max="2304" width="9" style="1565"/>
    <col min="2305" max="2305" width="4.875" style="1565" customWidth="1"/>
    <col min="2306" max="2306" width="13.25" style="1565" customWidth="1"/>
    <col min="2307" max="2307" width="15.625" style="1565" customWidth="1"/>
    <col min="2308" max="2308" width="9.375" style="1565" bestFit="1" customWidth="1"/>
    <col min="2309" max="2309" width="13.5" style="1565" customWidth="1"/>
    <col min="2310" max="2310" width="9" style="1565"/>
    <col min="2311" max="2311" width="9.375" style="1565" bestFit="1" customWidth="1"/>
    <col min="2312" max="2313" width="9" style="1565"/>
    <col min="2314" max="2314" width="9.375" style="1565" bestFit="1" customWidth="1"/>
    <col min="2315" max="2315" width="4" style="1565" customWidth="1"/>
    <col min="2316" max="2316" width="5.125" style="1565" customWidth="1"/>
    <col min="2317" max="2317" width="13.75" style="1565" customWidth="1"/>
    <col min="2318" max="2560" width="9" style="1565"/>
    <col min="2561" max="2561" width="4.875" style="1565" customWidth="1"/>
    <col min="2562" max="2562" width="13.25" style="1565" customWidth="1"/>
    <col min="2563" max="2563" width="15.625" style="1565" customWidth="1"/>
    <col min="2564" max="2564" width="9.375" style="1565" bestFit="1" customWidth="1"/>
    <col min="2565" max="2565" width="13.5" style="1565" customWidth="1"/>
    <col min="2566" max="2566" width="9" style="1565"/>
    <col min="2567" max="2567" width="9.375" style="1565" bestFit="1" customWidth="1"/>
    <col min="2568" max="2569" width="9" style="1565"/>
    <col min="2570" max="2570" width="9.375" style="1565" bestFit="1" customWidth="1"/>
    <col min="2571" max="2571" width="4" style="1565" customWidth="1"/>
    <col min="2572" max="2572" width="5.125" style="1565" customWidth="1"/>
    <col min="2573" max="2573" width="13.75" style="1565" customWidth="1"/>
    <col min="2574" max="2816" width="9" style="1565"/>
    <col min="2817" max="2817" width="4.875" style="1565" customWidth="1"/>
    <col min="2818" max="2818" width="13.25" style="1565" customWidth="1"/>
    <col min="2819" max="2819" width="15.625" style="1565" customWidth="1"/>
    <col min="2820" max="2820" width="9.375" style="1565" bestFit="1" customWidth="1"/>
    <col min="2821" max="2821" width="13.5" style="1565" customWidth="1"/>
    <col min="2822" max="2822" width="9" style="1565"/>
    <col min="2823" max="2823" width="9.375" style="1565" bestFit="1" customWidth="1"/>
    <col min="2824" max="2825" width="9" style="1565"/>
    <col min="2826" max="2826" width="9.375" style="1565" bestFit="1" customWidth="1"/>
    <col min="2827" max="2827" width="4" style="1565" customWidth="1"/>
    <col min="2828" max="2828" width="5.125" style="1565" customWidth="1"/>
    <col min="2829" max="2829" width="13.75" style="1565" customWidth="1"/>
    <col min="2830" max="3072" width="9" style="1565"/>
    <col min="3073" max="3073" width="4.875" style="1565" customWidth="1"/>
    <col min="3074" max="3074" width="13.25" style="1565" customWidth="1"/>
    <col min="3075" max="3075" width="15.625" style="1565" customWidth="1"/>
    <col min="3076" max="3076" width="9.375" style="1565" bestFit="1" customWidth="1"/>
    <col min="3077" max="3077" width="13.5" style="1565" customWidth="1"/>
    <col min="3078" max="3078" width="9" style="1565"/>
    <col min="3079" max="3079" width="9.375" style="1565" bestFit="1" customWidth="1"/>
    <col min="3080" max="3081" width="9" style="1565"/>
    <col min="3082" max="3082" width="9.375" style="1565" bestFit="1" customWidth="1"/>
    <col min="3083" max="3083" width="4" style="1565" customWidth="1"/>
    <col min="3084" max="3084" width="5.125" style="1565" customWidth="1"/>
    <col min="3085" max="3085" width="13.75" style="1565" customWidth="1"/>
    <col min="3086" max="3328" width="9" style="1565"/>
    <col min="3329" max="3329" width="4.875" style="1565" customWidth="1"/>
    <col min="3330" max="3330" width="13.25" style="1565" customWidth="1"/>
    <col min="3331" max="3331" width="15.625" style="1565" customWidth="1"/>
    <col min="3332" max="3332" width="9.375" style="1565" bestFit="1" customWidth="1"/>
    <col min="3333" max="3333" width="13.5" style="1565" customWidth="1"/>
    <col min="3334" max="3334" width="9" style="1565"/>
    <col min="3335" max="3335" width="9.375" style="1565" bestFit="1" customWidth="1"/>
    <col min="3336" max="3337" width="9" style="1565"/>
    <col min="3338" max="3338" width="9.375" style="1565" bestFit="1" customWidth="1"/>
    <col min="3339" max="3339" width="4" style="1565" customWidth="1"/>
    <col min="3340" max="3340" width="5.125" style="1565" customWidth="1"/>
    <col min="3341" max="3341" width="13.75" style="1565" customWidth="1"/>
    <col min="3342" max="3584" width="9" style="1565"/>
    <col min="3585" max="3585" width="4.875" style="1565" customWidth="1"/>
    <col min="3586" max="3586" width="13.25" style="1565" customWidth="1"/>
    <col min="3587" max="3587" width="15.625" style="1565" customWidth="1"/>
    <col min="3588" max="3588" width="9.375" style="1565" bestFit="1" customWidth="1"/>
    <col min="3589" max="3589" width="13.5" style="1565" customWidth="1"/>
    <col min="3590" max="3590" width="9" style="1565"/>
    <col min="3591" max="3591" width="9.375" style="1565" bestFit="1" customWidth="1"/>
    <col min="3592" max="3593" width="9" style="1565"/>
    <col min="3594" max="3594" width="9.375" style="1565" bestFit="1" customWidth="1"/>
    <col min="3595" max="3595" width="4" style="1565" customWidth="1"/>
    <col min="3596" max="3596" width="5.125" style="1565" customWidth="1"/>
    <col min="3597" max="3597" width="13.75" style="1565" customWidth="1"/>
    <col min="3598" max="3840" width="9" style="1565"/>
    <col min="3841" max="3841" width="4.875" style="1565" customWidth="1"/>
    <col min="3842" max="3842" width="13.25" style="1565" customWidth="1"/>
    <col min="3843" max="3843" width="15.625" style="1565" customWidth="1"/>
    <col min="3844" max="3844" width="9.375" style="1565" bestFit="1" customWidth="1"/>
    <col min="3845" max="3845" width="13.5" style="1565" customWidth="1"/>
    <col min="3846" max="3846" width="9" style="1565"/>
    <col min="3847" max="3847" width="9.375" style="1565" bestFit="1" customWidth="1"/>
    <col min="3848" max="3849" width="9" style="1565"/>
    <col min="3850" max="3850" width="9.375" style="1565" bestFit="1" customWidth="1"/>
    <col min="3851" max="3851" width="4" style="1565" customWidth="1"/>
    <col min="3852" max="3852" width="5.125" style="1565" customWidth="1"/>
    <col min="3853" max="3853" width="13.75" style="1565" customWidth="1"/>
    <col min="3854" max="4096" width="9" style="1565"/>
    <col min="4097" max="4097" width="4.875" style="1565" customWidth="1"/>
    <col min="4098" max="4098" width="13.25" style="1565" customWidth="1"/>
    <col min="4099" max="4099" width="15.625" style="1565" customWidth="1"/>
    <col min="4100" max="4100" width="9.375" style="1565" bestFit="1" customWidth="1"/>
    <col min="4101" max="4101" width="13.5" style="1565" customWidth="1"/>
    <col min="4102" max="4102" width="9" style="1565"/>
    <col min="4103" max="4103" width="9.375" style="1565" bestFit="1" customWidth="1"/>
    <col min="4104" max="4105" width="9" style="1565"/>
    <col min="4106" max="4106" width="9.375" style="1565" bestFit="1" customWidth="1"/>
    <col min="4107" max="4107" width="4" style="1565" customWidth="1"/>
    <col min="4108" max="4108" width="5.125" style="1565" customWidth="1"/>
    <col min="4109" max="4109" width="13.75" style="1565" customWidth="1"/>
    <col min="4110" max="4352" width="9" style="1565"/>
    <col min="4353" max="4353" width="4.875" style="1565" customWidth="1"/>
    <col min="4354" max="4354" width="13.25" style="1565" customWidth="1"/>
    <col min="4355" max="4355" width="15.625" style="1565" customWidth="1"/>
    <col min="4356" max="4356" width="9.375" style="1565" bestFit="1" customWidth="1"/>
    <col min="4357" max="4357" width="13.5" style="1565" customWidth="1"/>
    <col min="4358" max="4358" width="9" style="1565"/>
    <col min="4359" max="4359" width="9.375" style="1565" bestFit="1" customWidth="1"/>
    <col min="4360" max="4361" width="9" style="1565"/>
    <col min="4362" max="4362" width="9.375" style="1565" bestFit="1" customWidth="1"/>
    <col min="4363" max="4363" width="4" style="1565" customWidth="1"/>
    <col min="4364" max="4364" width="5.125" style="1565" customWidth="1"/>
    <col min="4365" max="4365" width="13.75" style="1565" customWidth="1"/>
    <col min="4366" max="4608" width="9" style="1565"/>
    <col min="4609" max="4609" width="4.875" style="1565" customWidth="1"/>
    <col min="4610" max="4610" width="13.25" style="1565" customWidth="1"/>
    <col min="4611" max="4611" width="15.625" style="1565" customWidth="1"/>
    <col min="4612" max="4612" width="9.375" style="1565" bestFit="1" customWidth="1"/>
    <col min="4613" max="4613" width="13.5" style="1565" customWidth="1"/>
    <col min="4614" max="4614" width="9" style="1565"/>
    <col min="4615" max="4615" width="9.375" style="1565" bestFit="1" customWidth="1"/>
    <col min="4616" max="4617" width="9" style="1565"/>
    <col min="4618" max="4618" width="9.375" style="1565" bestFit="1" customWidth="1"/>
    <col min="4619" max="4619" width="4" style="1565" customWidth="1"/>
    <col min="4620" max="4620" width="5.125" style="1565" customWidth="1"/>
    <col min="4621" max="4621" width="13.75" style="1565" customWidth="1"/>
    <col min="4622" max="4864" width="9" style="1565"/>
    <col min="4865" max="4865" width="4.875" style="1565" customWidth="1"/>
    <col min="4866" max="4866" width="13.25" style="1565" customWidth="1"/>
    <col min="4867" max="4867" width="15.625" style="1565" customWidth="1"/>
    <col min="4868" max="4868" width="9.375" style="1565" bestFit="1" customWidth="1"/>
    <col min="4869" max="4869" width="13.5" style="1565" customWidth="1"/>
    <col min="4870" max="4870" width="9" style="1565"/>
    <col min="4871" max="4871" width="9.375" style="1565" bestFit="1" customWidth="1"/>
    <col min="4872" max="4873" width="9" style="1565"/>
    <col min="4874" max="4874" width="9.375" style="1565" bestFit="1" customWidth="1"/>
    <col min="4875" max="4875" width="4" style="1565" customWidth="1"/>
    <col min="4876" max="4876" width="5.125" style="1565" customWidth="1"/>
    <col min="4877" max="4877" width="13.75" style="1565" customWidth="1"/>
    <col min="4878" max="5120" width="9" style="1565"/>
    <col min="5121" max="5121" width="4.875" style="1565" customWidth="1"/>
    <col min="5122" max="5122" width="13.25" style="1565" customWidth="1"/>
    <col min="5123" max="5123" width="15.625" style="1565" customWidth="1"/>
    <col min="5124" max="5124" width="9.375" style="1565" bestFit="1" customWidth="1"/>
    <col min="5125" max="5125" width="13.5" style="1565" customWidth="1"/>
    <col min="5126" max="5126" width="9" style="1565"/>
    <col min="5127" max="5127" width="9.375" style="1565" bestFit="1" customWidth="1"/>
    <col min="5128" max="5129" width="9" style="1565"/>
    <col min="5130" max="5130" width="9.375" style="1565" bestFit="1" customWidth="1"/>
    <col min="5131" max="5131" width="4" style="1565" customWidth="1"/>
    <col min="5132" max="5132" width="5.125" style="1565" customWidth="1"/>
    <col min="5133" max="5133" width="13.75" style="1565" customWidth="1"/>
    <col min="5134" max="5376" width="9" style="1565"/>
    <col min="5377" max="5377" width="4.875" style="1565" customWidth="1"/>
    <col min="5378" max="5378" width="13.25" style="1565" customWidth="1"/>
    <col min="5379" max="5379" width="15.625" style="1565" customWidth="1"/>
    <col min="5380" max="5380" width="9.375" style="1565" bestFit="1" customWidth="1"/>
    <col min="5381" max="5381" width="13.5" style="1565" customWidth="1"/>
    <col min="5382" max="5382" width="9" style="1565"/>
    <col min="5383" max="5383" width="9.375" style="1565" bestFit="1" customWidth="1"/>
    <col min="5384" max="5385" width="9" style="1565"/>
    <col min="5386" max="5386" width="9.375" style="1565" bestFit="1" customWidth="1"/>
    <col min="5387" max="5387" width="4" style="1565" customWidth="1"/>
    <col min="5388" max="5388" width="5.125" style="1565" customWidth="1"/>
    <col min="5389" max="5389" width="13.75" style="1565" customWidth="1"/>
    <col min="5390" max="5632" width="9" style="1565"/>
    <col min="5633" max="5633" width="4.875" style="1565" customWidth="1"/>
    <col min="5634" max="5634" width="13.25" style="1565" customWidth="1"/>
    <col min="5635" max="5635" width="15.625" style="1565" customWidth="1"/>
    <col min="5636" max="5636" width="9.375" style="1565" bestFit="1" customWidth="1"/>
    <col min="5637" max="5637" width="13.5" style="1565" customWidth="1"/>
    <col min="5638" max="5638" width="9" style="1565"/>
    <col min="5639" max="5639" width="9.375" style="1565" bestFit="1" customWidth="1"/>
    <col min="5640" max="5641" width="9" style="1565"/>
    <col min="5642" max="5642" width="9.375" style="1565" bestFit="1" customWidth="1"/>
    <col min="5643" max="5643" width="4" style="1565" customWidth="1"/>
    <col min="5644" max="5644" width="5.125" style="1565" customWidth="1"/>
    <col min="5645" max="5645" width="13.75" style="1565" customWidth="1"/>
    <col min="5646" max="5888" width="9" style="1565"/>
    <col min="5889" max="5889" width="4.875" style="1565" customWidth="1"/>
    <col min="5890" max="5890" width="13.25" style="1565" customWidth="1"/>
    <col min="5891" max="5891" width="15.625" style="1565" customWidth="1"/>
    <col min="5892" max="5892" width="9.375" style="1565" bestFit="1" customWidth="1"/>
    <col min="5893" max="5893" width="13.5" style="1565" customWidth="1"/>
    <col min="5894" max="5894" width="9" style="1565"/>
    <col min="5895" max="5895" width="9.375" style="1565" bestFit="1" customWidth="1"/>
    <col min="5896" max="5897" width="9" style="1565"/>
    <col min="5898" max="5898" width="9.375" style="1565" bestFit="1" customWidth="1"/>
    <col min="5899" max="5899" width="4" style="1565" customWidth="1"/>
    <col min="5900" max="5900" width="5.125" style="1565" customWidth="1"/>
    <col min="5901" max="5901" width="13.75" style="1565" customWidth="1"/>
    <col min="5902" max="6144" width="9" style="1565"/>
    <col min="6145" max="6145" width="4.875" style="1565" customWidth="1"/>
    <col min="6146" max="6146" width="13.25" style="1565" customWidth="1"/>
    <col min="6147" max="6147" width="15.625" style="1565" customWidth="1"/>
    <col min="6148" max="6148" width="9.375" style="1565" bestFit="1" customWidth="1"/>
    <col min="6149" max="6149" width="13.5" style="1565" customWidth="1"/>
    <col min="6150" max="6150" width="9" style="1565"/>
    <col min="6151" max="6151" width="9.375" style="1565" bestFit="1" customWidth="1"/>
    <col min="6152" max="6153" width="9" style="1565"/>
    <col min="6154" max="6154" width="9.375" style="1565" bestFit="1" customWidth="1"/>
    <col min="6155" max="6155" width="4" style="1565" customWidth="1"/>
    <col min="6156" max="6156" width="5.125" style="1565" customWidth="1"/>
    <col min="6157" max="6157" width="13.75" style="1565" customWidth="1"/>
    <col min="6158" max="6400" width="9" style="1565"/>
    <col min="6401" max="6401" width="4.875" style="1565" customWidth="1"/>
    <col min="6402" max="6402" width="13.25" style="1565" customWidth="1"/>
    <col min="6403" max="6403" width="15.625" style="1565" customWidth="1"/>
    <col min="6404" max="6404" width="9.375" style="1565" bestFit="1" customWidth="1"/>
    <col min="6405" max="6405" width="13.5" style="1565" customWidth="1"/>
    <col min="6406" max="6406" width="9" style="1565"/>
    <col min="6407" max="6407" width="9.375" style="1565" bestFit="1" customWidth="1"/>
    <col min="6408" max="6409" width="9" style="1565"/>
    <col min="6410" max="6410" width="9.375" style="1565" bestFit="1" customWidth="1"/>
    <col min="6411" max="6411" width="4" style="1565" customWidth="1"/>
    <col min="6412" max="6412" width="5.125" style="1565" customWidth="1"/>
    <col min="6413" max="6413" width="13.75" style="1565" customWidth="1"/>
    <col min="6414" max="6656" width="9" style="1565"/>
    <col min="6657" max="6657" width="4.875" style="1565" customWidth="1"/>
    <col min="6658" max="6658" width="13.25" style="1565" customWidth="1"/>
    <col min="6659" max="6659" width="15.625" style="1565" customWidth="1"/>
    <col min="6660" max="6660" width="9.375" style="1565" bestFit="1" customWidth="1"/>
    <col min="6661" max="6661" width="13.5" style="1565" customWidth="1"/>
    <col min="6662" max="6662" width="9" style="1565"/>
    <col min="6663" max="6663" width="9.375" style="1565" bestFit="1" customWidth="1"/>
    <col min="6664" max="6665" width="9" style="1565"/>
    <col min="6666" max="6666" width="9.375" style="1565" bestFit="1" customWidth="1"/>
    <col min="6667" max="6667" width="4" style="1565" customWidth="1"/>
    <col min="6668" max="6668" width="5.125" style="1565" customWidth="1"/>
    <col min="6669" max="6669" width="13.75" style="1565" customWidth="1"/>
    <col min="6670" max="6912" width="9" style="1565"/>
    <col min="6913" max="6913" width="4.875" style="1565" customWidth="1"/>
    <col min="6914" max="6914" width="13.25" style="1565" customWidth="1"/>
    <col min="6915" max="6915" width="15.625" style="1565" customWidth="1"/>
    <col min="6916" max="6916" width="9.375" style="1565" bestFit="1" customWidth="1"/>
    <col min="6917" max="6917" width="13.5" style="1565" customWidth="1"/>
    <col min="6918" max="6918" width="9" style="1565"/>
    <col min="6919" max="6919" width="9.375" style="1565" bestFit="1" customWidth="1"/>
    <col min="6920" max="6921" width="9" style="1565"/>
    <col min="6922" max="6922" width="9.375" style="1565" bestFit="1" customWidth="1"/>
    <col min="6923" max="6923" width="4" style="1565" customWidth="1"/>
    <col min="6924" max="6924" width="5.125" style="1565" customWidth="1"/>
    <col min="6925" max="6925" width="13.75" style="1565" customWidth="1"/>
    <col min="6926" max="7168" width="9" style="1565"/>
    <col min="7169" max="7169" width="4.875" style="1565" customWidth="1"/>
    <col min="7170" max="7170" width="13.25" style="1565" customWidth="1"/>
    <col min="7171" max="7171" width="15.625" style="1565" customWidth="1"/>
    <col min="7172" max="7172" width="9.375" style="1565" bestFit="1" customWidth="1"/>
    <col min="7173" max="7173" width="13.5" style="1565" customWidth="1"/>
    <col min="7174" max="7174" width="9" style="1565"/>
    <col min="7175" max="7175" width="9.375" style="1565" bestFit="1" customWidth="1"/>
    <col min="7176" max="7177" width="9" style="1565"/>
    <col min="7178" max="7178" width="9.375" style="1565" bestFit="1" customWidth="1"/>
    <col min="7179" max="7179" width="4" style="1565" customWidth="1"/>
    <col min="7180" max="7180" width="5.125" style="1565" customWidth="1"/>
    <col min="7181" max="7181" width="13.75" style="1565" customWidth="1"/>
    <col min="7182" max="7424" width="9" style="1565"/>
    <col min="7425" max="7425" width="4.875" style="1565" customWidth="1"/>
    <col min="7426" max="7426" width="13.25" style="1565" customWidth="1"/>
    <col min="7427" max="7427" width="15.625" style="1565" customWidth="1"/>
    <col min="7428" max="7428" width="9.375" style="1565" bestFit="1" customWidth="1"/>
    <col min="7429" max="7429" width="13.5" style="1565" customWidth="1"/>
    <col min="7430" max="7430" width="9" style="1565"/>
    <col min="7431" max="7431" width="9.375" style="1565" bestFit="1" customWidth="1"/>
    <col min="7432" max="7433" width="9" style="1565"/>
    <col min="7434" max="7434" width="9.375" style="1565" bestFit="1" customWidth="1"/>
    <col min="7435" max="7435" width="4" style="1565" customWidth="1"/>
    <col min="7436" max="7436" width="5.125" style="1565" customWidth="1"/>
    <col min="7437" max="7437" width="13.75" style="1565" customWidth="1"/>
    <col min="7438" max="7680" width="9" style="1565"/>
    <col min="7681" max="7681" width="4.875" style="1565" customWidth="1"/>
    <col min="7682" max="7682" width="13.25" style="1565" customWidth="1"/>
    <col min="7683" max="7683" width="15.625" style="1565" customWidth="1"/>
    <col min="7684" max="7684" width="9.375" style="1565" bestFit="1" customWidth="1"/>
    <col min="7685" max="7685" width="13.5" style="1565" customWidth="1"/>
    <col min="7686" max="7686" width="9" style="1565"/>
    <col min="7687" max="7687" width="9.375" style="1565" bestFit="1" customWidth="1"/>
    <col min="7688" max="7689" width="9" style="1565"/>
    <col min="7690" max="7690" width="9.375" style="1565" bestFit="1" customWidth="1"/>
    <col min="7691" max="7691" width="4" style="1565" customWidth="1"/>
    <col min="7692" max="7692" width="5.125" style="1565" customWidth="1"/>
    <col min="7693" max="7693" width="13.75" style="1565" customWidth="1"/>
    <col min="7694" max="7936" width="9" style="1565"/>
    <col min="7937" max="7937" width="4.875" style="1565" customWidth="1"/>
    <col min="7938" max="7938" width="13.25" style="1565" customWidth="1"/>
    <col min="7939" max="7939" width="15.625" style="1565" customWidth="1"/>
    <col min="7940" max="7940" width="9.375" style="1565" bestFit="1" customWidth="1"/>
    <col min="7941" max="7941" width="13.5" style="1565" customWidth="1"/>
    <col min="7942" max="7942" width="9" style="1565"/>
    <col min="7943" max="7943" width="9.375" style="1565" bestFit="1" customWidth="1"/>
    <col min="7944" max="7945" width="9" style="1565"/>
    <col min="7946" max="7946" width="9.375" style="1565" bestFit="1" customWidth="1"/>
    <col min="7947" max="7947" width="4" style="1565" customWidth="1"/>
    <col min="7948" max="7948" width="5.125" style="1565" customWidth="1"/>
    <col min="7949" max="7949" width="13.75" style="1565" customWidth="1"/>
    <col min="7950" max="8192" width="9" style="1565"/>
    <col min="8193" max="8193" width="4.875" style="1565" customWidth="1"/>
    <col min="8194" max="8194" width="13.25" style="1565" customWidth="1"/>
    <col min="8195" max="8195" width="15.625" style="1565" customWidth="1"/>
    <col min="8196" max="8196" width="9.375" style="1565" bestFit="1" customWidth="1"/>
    <col min="8197" max="8197" width="13.5" style="1565" customWidth="1"/>
    <col min="8198" max="8198" width="9" style="1565"/>
    <col min="8199" max="8199" width="9.375" style="1565" bestFit="1" customWidth="1"/>
    <col min="8200" max="8201" width="9" style="1565"/>
    <col min="8202" max="8202" width="9.375" style="1565" bestFit="1" customWidth="1"/>
    <col min="8203" max="8203" width="4" style="1565" customWidth="1"/>
    <col min="8204" max="8204" width="5.125" style="1565" customWidth="1"/>
    <col min="8205" max="8205" width="13.75" style="1565" customWidth="1"/>
    <col min="8206" max="8448" width="9" style="1565"/>
    <col min="8449" max="8449" width="4.875" style="1565" customWidth="1"/>
    <col min="8450" max="8450" width="13.25" style="1565" customWidth="1"/>
    <col min="8451" max="8451" width="15.625" style="1565" customWidth="1"/>
    <col min="8452" max="8452" width="9.375" style="1565" bestFit="1" customWidth="1"/>
    <col min="8453" max="8453" width="13.5" style="1565" customWidth="1"/>
    <col min="8454" max="8454" width="9" style="1565"/>
    <col min="8455" max="8455" width="9.375" style="1565" bestFit="1" customWidth="1"/>
    <col min="8456" max="8457" width="9" style="1565"/>
    <col min="8458" max="8458" width="9.375" style="1565" bestFit="1" customWidth="1"/>
    <col min="8459" max="8459" width="4" style="1565" customWidth="1"/>
    <col min="8460" max="8460" width="5.125" style="1565" customWidth="1"/>
    <col min="8461" max="8461" width="13.75" style="1565" customWidth="1"/>
    <col min="8462" max="8704" width="9" style="1565"/>
    <col min="8705" max="8705" width="4.875" style="1565" customWidth="1"/>
    <col min="8706" max="8706" width="13.25" style="1565" customWidth="1"/>
    <col min="8707" max="8707" width="15.625" style="1565" customWidth="1"/>
    <col min="8708" max="8708" width="9.375" style="1565" bestFit="1" customWidth="1"/>
    <col min="8709" max="8709" width="13.5" style="1565" customWidth="1"/>
    <col min="8710" max="8710" width="9" style="1565"/>
    <col min="8711" max="8711" width="9.375" style="1565" bestFit="1" customWidth="1"/>
    <col min="8712" max="8713" width="9" style="1565"/>
    <col min="8714" max="8714" width="9.375" style="1565" bestFit="1" customWidth="1"/>
    <col min="8715" max="8715" width="4" style="1565" customWidth="1"/>
    <col min="8716" max="8716" width="5.125" style="1565" customWidth="1"/>
    <col min="8717" max="8717" width="13.75" style="1565" customWidth="1"/>
    <col min="8718" max="8960" width="9" style="1565"/>
    <col min="8961" max="8961" width="4.875" style="1565" customWidth="1"/>
    <col min="8962" max="8962" width="13.25" style="1565" customWidth="1"/>
    <col min="8963" max="8963" width="15.625" style="1565" customWidth="1"/>
    <col min="8964" max="8964" width="9.375" style="1565" bestFit="1" customWidth="1"/>
    <col min="8965" max="8965" width="13.5" style="1565" customWidth="1"/>
    <col min="8966" max="8966" width="9" style="1565"/>
    <col min="8967" max="8967" width="9.375" style="1565" bestFit="1" customWidth="1"/>
    <col min="8968" max="8969" width="9" style="1565"/>
    <col min="8970" max="8970" width="9.375" style="1565" bestFit="1" customWidth="1"/>
    <col min="8971" max="8971" width="4" style="1565" customWidth="1"/>
    <col min="8972" max="8972" width="5.125" style="1565" customWidth="1"/>
    <col min="8973" max="8973" width="13.75" style="1565" customWidth="1"/>
    <col min="8974" max="9216" width="9" style="1565"/>
    <col min="9217" max="9217" width="4.875" style="1565" customWidth="1"/>
    <col min="9218" max="9218" width="13.25" style="1565" customWidth="1"/>
    <col min="9219" max="9219" width="15.625" style="1565" customWidth="1"/>
    <col min="9220" max="9220" width="9.375" style="1565" bestFit="1" customWidth="1"/>
    <col min="9221" max="9221" width="13.5" style="1565" customWidth="1"/>
    <col min="9222" max="9222" width="9" style="1565"/>
    <col min="9223" max="9223" width="9.375" style="1565" bestFit="1" customWidth="1"/>
    <col min="9224" max="9225" width="9" style="1565"/>
    <col min="9226" max="9226" width="9.375" style="1565" bestFit="1" customWidth="1"/>
    <col min="9227" max="9227" width="4" style="1565" customWidth="1"/>
    <col min="9228" max="9228" width="5.125" style="1565" customWidth="1"/>
    <col min="9229" max="9229" width="13.75" style="1565" customWidth="1"/>
    <col min="9230" max="9472" width="9" style="1565"/>
    <col min="9473" max="9473" width="4.875" style="1565" customWidth="1"/>
    <col min="9474" max="9474" width="13.25" style="1565" customWidth="1"/>
    <col min="9475" max="9475" width="15.625" style="1565" customWidth="1"/>
    <col min="9476" max="9476" width="9.375" style="1565" bestFit="1" customWidth="1"/>
    <col min="9477" max="9477" width="13.5" style="1565" customWidth="1"/>
    <col min="9478" max="9478" width="9" style="1565"/>
    <col min="9479" max="9479" width="9.375" style="1565" bestFit="1" customWidth="1"/>
    <col min="9480" max="9481" width="9" style="1565"/>
    <col min="9482" max="9482" width="9.375" style="1565" bestFit="1" customWidth="1"/>
    <col min="9483" max="9483" width="4" style="1565" customWidth="1"/>
    <col min="9484" max="9484" width="5.125" style="1565" customWidth="1"/>
    <col min="9485" max="9485" width="13.75" style="1565" customWidth="1"/>
    <col min="9486" max="9728" width="9" style="1565"/>
    <col min="9729" max="9729" width="4.875" style="1565" customWidth="1"/>
    <col min="9730" max="9730" width="13.25" style="1565" customWidth="1"/>
    <col min="9731" max="9731" width="15.625" style="1565" customWidth="1"/>
    <col min="9732" max="9732" width="9.375" style="1565" bestFit="1" customWidth="1"/>
    <col min="9733" max="9733" width="13.5" style="1565" customWidth="1"/>
    <col min="9734" max="9734" width="9" style="1565"/>
    <col min="9735" max="9735" width="9.375" style="1565" bestFit="1" customWidth="1"/>
    <col min="9736" max="9737" width="9" style="1565"/>
    <col min="9738" max="9738" width="9.375" style="1565" bestFit="1" customWidth="1"/>
    <col min="9739" max="9739" width="4" style="1565" customWidth="1"/>
    <col min="9740" max="9740" width="5.125" style="1565" customWidth="1"/>
    <col min="9741" max="9741" width="13.75" style="1565" customWidth="1"/>
    <col min="9742" max="9984" width="9" style="1565"/>
    <col min="9985" max="9985" width="4.875" style="1565" customWidth="1"/>
    <col min="9986" max="9986" width="13.25" style="1565" customWidth="1"/>
    <col min="9987" max="9987" width="15.625" style="1565" customWidth="1"/>
    <col min="9988" max="9988" width="9.375" style="1565" bestFit="1" customWidth="1"/>
    <col min="9989" max="9989" width="13.5" style="1565" customWidth="1"/>
    <col min="9990" max="9990" width="9" style="1565"/>
    <col min="9991" max="9991" width="9.375" style="1565" bestFit="1" customWidth="1"/>
    <col min="9992" max="9993" width="9" style="1565"/>
    <col min="9994" max="9994" width="9.375" style="1565" bestFit="1" customWidth="1"/>
    <col min="9995" max="9995" width="4" style="1565" customWidth="1"/>
    <col min="9996" max="9996" width="5.125" style="1565" customWidth="1"/>
    <col min="9997" max="9997" width="13.75" style="1565" customWidth="1"/>
    <col min="9998" max="10240" width="9" style="1565"/>
    <col min="10241" max="10241" width="4.875" style="1565" customWidth="1"/>
    <col min="10242" max="10242" width="13.25" style="1565" customWidth="1"/>
    <col min="10243" max="10243" width="15.625" style="1565" customWidth="1"/>
    <col min="10244" max="10244" width="9.375" style="1565" bestFit="1" customWidth="1"/>
    <col min="10245" max="10245" width="13.5" style="1565" customWidth="1"/>
    <col min="10246" max="10246" width="9" style="1565"/>
    <col min="10247" max="10247" width="9.375" style="1565" bestFit="1" customWidth="1"/>
    <col min="10248" max="10249" width="9" style="1565"/>
    <col min="10250" max="10250" width="9.375" style="1565" bestFit="1" customWidth="1"/>
    <col min="10251" max="10251" width="4" style="1565" customWidth="1"/>
    <col min="10252" max="10252" width="5.125" style="1565" customWidth="1"/>
    <col min="10253" max="10253" width="13.75" style="1565" customWidth="1"/>
    <col min="10254" max="10496" width="9" style="1565"/>
    <col min="10497" max="10497" width="4.875" style="1565" customWidth="1"/>
    <col min="10498" max="10498" width="13.25" style="1565" customWidth="1"/>
    <col min="10499" max="10499" width="15.625" style="1565" customWidth="1"/>
    <col min="10500" max="10500" width="9.375" style="1565" bestFit="1" customWidth="1"/>
    <col min="10501" max="10501" width="13.5" style="1565" customWidth="1"/>
    <col min="10502" max="10502" width="9" style="1565"/>
    <col min="10503" max="10503" width="9.375" style="1565" bestFit="1" customWidth="1"/>
    <col min="10504" max="10505" width="9" style="1565"/>
    <col min="10506" max="10506" width="9.375" style="1565" bestFit="1" customWidth="1"/>
    <col min="10507" max="10507" width="4" style="1565" customWidth="1"/>
    <col min="10508" max="10508" width="5.125" style="1565" customWidth="1"/>
    <col min="10509" max="10509" width="13.75" style="1565" customWidth="1"/>
    <col min="10510" max="10752" width="9" style="1565"/>
    <col min="10753" max="10753" width="4.875" style="1565" customWidth="1"/>
    <col min="10754" max="10754" width="13.25" style="1565" customWidth="1"/>
    <col min="10755" max="10755" width="15.625" style="1565" customWidth="1"/>
    <col min="10756" max="10756" width="9.375" style="1565" bestFit="1" customWidth="1"/>
    <col min="10757" max="10757" width="13.5" style="1565" customWidth="1"/>
    <col min="10758" max="10758" width="9" style="1565"/>
    <col min="10759" max="10759" width="9.375" style="1565" bestFit="1" customWidth="1"/>
    <col min="10760" max="10761" width="9" style="1565"/>
    <col min="10762" max="10762" width="9.375" style="1565" bestFit="1" customWidth="1"/>
    <col min="10763" max="10763" width="4" style="1565" customWidth="1"/>
    <col min="10764" max="10764" width="5.125" style="1565" customWidth="1"/>
    <col min="10765" max="10765" width="13.75" style="1565" customWidth="1"/>
    <col min="10766" max="11008" width="9" style="1565"/>
    <col min="11009" max="11009" width="4.875" style="1565" customWidth="1"/>
    <col min="11010" max="11010" width="13.25" style="1565" customWidth="1"/>
    <col min="11011" max="11011" width="15.625" style="1565" customWidth="1"/>
    <col min="11012" max="11012" width="9.375" style="1565" bestFit="1" customWidth="1"/>
    <col min="11013" max="11013" width="13.5" style="1565" customWidth="1"/>
    <col min="11014" max="11014" width="9" style="1565"/>
    <col min="11015" max="11015" width="9.375" style="1565" bestFit="1" customWidth="1"/>
    <col min="11016" max="11017" width="9" style="1565"/>
    <col min="11018" max="11018" width="9.375" style="1565" bestFit="1" customWidth="1"/>
    <col min="11019" max="11019" width="4" style="1565" customWidth="1"/>
    <col min="11020" max="11020" width="5.125" style="1565" customWidth="1"/>
    <col min="11021" max="11021" width="13.75" style="1565" customWidth="1"/>
    <col min="11022" max="11264" width="9" style="1565"/>
    <col min="11265" max="11265" width="4.875" style="1565" customWidth="1"/>
    <col min="11266" max="11266" width="13.25" style="1565" customWidth="1"/>
    <col min="11267" max="11267" width="15.625" style="1565" customWidth="1"/>
    <col min="11268" max="11268" width="9.375" style="1565" bestFit="1" customWidth="1"/>
    <col min="11269" max="11269" width="13.5" style="1565" customWidth="1"/>
    <col min="11270" max="11270" width="9" style="1565"/>
    <col min="11271" max="11271" width="9.375" style="1565" bestFit="1" customWidth="1"/>
    <col min="11272" max="11273" width="9" style="1565"/>
    <col min="11274" max="11274" width="9.375" style="1565" bestFit="1" customWidth="1"/>
    <col min="11275" max="11275" width="4" style="1565" customWidth="1"/>
    <col min="11276" max="11276" width="5.125" style="1565" customWidth="1"/>
    <col min="11277" max="11277" width="13.75" style="1565" customWidth="1"/>
    <col min="11278" max="11520" width="9" style="1565"/>
    <col min="11521" max="11521" width="4.875" style="1565" customWidth="1"/>
    <col min="11522" max="11522" width="13.25" style="1565" customWidth="1"/>
    <col min="11523" max="11523" width="15.625" style="1565" customWidth="1"/>
    <col min="11524" max="11524" width="9.375" style="1565" bestFit="1" customWidth="1"/>
    <col min="11525" max="11525" width="13.5" style="1565" customWidth="1"/>
    <col min="11526" max="11526" width="9" style="1565"/>
    <col min="11527" max="11527" width="9.375" style="1565" bestFit="1" customWidth="1"/>
    <col min="11528" max="11529" width="9" style="1565"/>
    <col min="11530" max="11530" width="9.375" style="1565" bestFit="1" customWidth="1"/>
    <col min="11531" max="11531" width="4" style="1565" customWidth="1"/>
    <col min="11532" max="11532" width="5.125" style="1565" customWidth="1"/>
    <col min="11533" max="11533" width="13.75" style="1565" customWidth="1"/>
    <col min="11534" max="11776" width="9" style="1565"/>
    <col min="11777" max="11777" width="4.875" style="1565" customWidth="1"/>
    <col min="11778" max="11778" width="13.25" style="1565" customWidth="1"/>
    <col min="11779" max="11779" width="15.625" style="1565" customWidth="1"/>
    <col min="11780" max="11780" width="9.375" style="1565" bestFit="1" customWidth="1"/>
    <col min="11781" max="11781" width="13.5" style="1565" customWidth="1"/>
    <col min="11782" max="11782" width="9" style="1565"/>
    <col min="11783" max="11783" width="9.375" style="1565" bestFit="1" customWidth="1"/>
    <col min="11784" max="11785" width="9" style="1565"/>
    <col min="11786" max="11786" width="9.375" style="1565" bestFit="1" customWidth="1"/>
    <col min="11787" max="11787" width="4" style="1565" customWidth="1"/>
    <col min="11788" max="11788" width="5.125" style="1565" customWidth="1"/>
    <col min="11789" max="11789" width="13.75" style="1565" customWidth="1"/>
    <col min="11790" max="12032" width="9" style="1565"/>
    <col min="12033" max="12033" width="4.875" style="1565" customWidth="1"/>
    <col min="12034" max="12034" width="13.25" style="1565" customWidth="1"/>
    <col min="12035" max="12035" width="15.625" style="1565" customWidth="1"/>
    <col min="12036" max="12036" width="9.375" style="1565" bestFit="1" customWidth="1"/>
    <col min="12037" max="12037" width="13.5" style="1565" customWidth="1"/>
    <col min="12038" max="12038" width="9" style="1565"/>
    <col min="12039" max="12039" width="9.375" style="1565" bestFit="1" customWidth="1"/>
    <col min="12040" max="12041" width="9" style="1565"/>
    <col min="12042" max="12042" width="9.375" style="1565" bestFit="1" customWidth="1"/>
    <col min="12043" max="12043" width="4" style="1565" customWidth="1"/>
    <col min="12044" max="12044" width="5.125" style="1565" customWidth="1"/>
    <col min="12045" max="12045" width="13.75" style="1565" customWidth="1"/>
    <col min="12046" max="12288" width="9" style="1565"/>
    <col min="12289" max="12289" width="4.875" style="1565" customWidth="1"/>
    <col min="12290" max="12290" width="13.25" style="1565" customWidth="1"/>
    <col min="12291" max="12291" width="15.625" style="1565" customWidth="1"/>
    <col min="12292" max="12292" width="9.375" style="1565" bestFit="1" customWidth="1"/>
    <col min="12293" max="12293" width="13.5" style="1565" customWidth="1"/>
    <col min="12294" max="12294" width="9" style="1565"/>
    <col min="12295" max="12295" width="9.375" style="1565" bestFit="1" customWidth="1"/>
    <col min="12296" max="12297" width="9" style="1565"/>
    <col min="12298" max="12298" width="9.375" style="1565" bestFit="1" customWidth="1"/>
    <col min="12299" max="12299" width="4" style="1565" customWidth="1"/>
    <col min="12300" max="12300" width="5.125" style="1565" customWidth="1"/>
    <col min="12301" max="12301" width="13.75" style="1565" customWidth="1"/>
    <col min="12302" max="12544" width="9" style="1565"/>
    <col min="12545" max="12545" width="4.875" style="1565" customWidth="1"/>
    <col min="12546" max="12546" width="13.25" style="1565" customWidth="1"/>
    <col min="12547" max="12547" width="15.625" style="1565" customWidth="1"/>
    <col min="12548" max="12548" width="9.375" style="1565" bestFit="1" customWidth="1"/>
    <col min="12549" max="12549" width="13.5" style="1565" customWidth="1"/>
    <col min="12550" max="12550" width="9" style="1565"/>
    <col min="12551" max="12551" width="9.375" style="1565" bestFit="1" customWidth="1"/>
    <col min="12552" max="12553" width="9" style="1565"/>
    <col min="12554" max="12554" width="9.375" style="1565" bestFit="1" customWidth="1"/>
    <col min="12555" max="12555" width="4" style="1565" customWidth="1"/>
    <col min="12556" max="12556" width="5.125" style="1565" customWidth="1"/>
    <col min="12557" max="12557" width="13.75" style="1565" customWidth="1"/>
    <col min="12558" max="12800" width="9" style="1565"/>
    <col min="12801" max="12801" width="4.875" style="1565" customWidth="1"/>
    <col min="12802" max="12802" width="13.25" style="1565" customWidth="1"/>
    <col min="12803" max="12803" width="15.625" style="1565" customWidth="1"/>
    <col min="12804" max="12804" width="9.375" style="1565" bestFit="1" customWidth="1"/>
    <col min="12805" max="12805" width="13.5" style="1565" customWidth="1"/>
    <col min="12806" max="12806" width="9" style="1565"/>
    <col min="12807" max="12807" width="9.375" style="1565" bestFit="1" customWidth="1"/>
    <col min="12808" max="12809" width="9" style="1565"/>
    <col min="12810" max="12810" width="9.375" style="1565" bestFit="1" customWidth="1"/>
    <col min="12811" max="12811" width="4" style="1565" customWidth="1"/>
    <col min="12812" max="12812" width="5.125" style="1565" customWidth="1"/>
    <col min="12813" max="12813" width="13.75" style="1565" customWidth="1"/>
    <col min="12814" max="13056" width="9" style="1565"/>
    <col min="13057" max="13057" width="4.875" style="1565" customWidth="1"/>
    <col min="13058" max="13058" width="13.25" style="1565" customWidth="1"/>
    <col min="13059" max="13059" width="15.625" style="1565" customWidth="1"/>
    <col min="13060" max="13060" width="9.375" style="1565" bestFit="1" customWidth="1"/>
    <col min="13061" max="13061" width="13.5" style="1565" customWidth="1"/>
    <col min="13062" max="13062" width="9" style="1565"/>
    <col min="13063" max="13063" width="9.375" style="1565" bestFit="1" customWidth="1"/>
    <col min="13064" max="13065" width="9" style="1565"/>
    <col min="13066" max="13066" width="9.375" style="1565" bestFit="1" customWidth="1"/>
    <col min="13067" max="13067" width="4" style="1565" customWidth="1"/>
    <col min="13068" max="13068" width="5.125" style="1565" customWidth="1"/>
    <col min="13069" max="13069" width="13.75" style="1565" customWidth="1"/>
    <col min="13070" max="13312" width="9" style="1565"/>
    <col min="13313" max="13313" width="4.875" style="1565" customWidth="1"/>
    <col min="13314" max="13314" width="13.25" style="1565" customWidth="1"/>
    <col min="13315" max="13315" width="15.625" style="1565" customWidth="1"/>
    <col min="13316" max="13316" width="9.375" style="1565" bestFit="1" customWidth="1"/>
    <col min="13317" max="13317" width="13.5" style="1565" customWidth="1"/>
    <col min="13318" max="13318" width="9" style="1565"/>
    <col min="13319" max="13319" width="9.375" style="1565" bestFit="1" customWidth="1"/>
    <col min="13320" max="13321" width="9" style="1565"/>
    <col min="13322" max="13322" width="9.375" style="1565" bestFit="1" customWidth="1"/>
    <col min="13323" max="13323" width="4" style="1565" customWidth="1"/>
    <col min="13324" max="13324" width="5.125" style="1565" customWidth="1"/>
    <col min="13325" max="13325" width="13.75" style="1565" customWidth="1"/>
    <col min="13326" max="13568" width="9" style="1565"/>
    <col min="13569" max="13569" width="4.875" style="1565" customWidth="1"/>
    <col min="13570" max="13570" width="13.25" style="1565" customWidth="1"/>
    <col min="13571" max="13571" width="15.625" style="1565" customWidth="1"/>
    <col min="13572" max="13572" width="9.375" style="1565" bestFit="1" customWidth="1"/>
    <col min="13573" max="13573" width="13.5" style="1565" customWidth="1"/>
    <col min="13574" max="13574" width="9" style="1565"/>
    <col min="13575" max="13575" width="9.375" style="1565" bestFit="1" customWidth="1"/>
    <col min="13576" max="13577" width="9" style="1565"/>
    <col min="13578" max="13578" width="9.375" style="1565" bestFit="1" customWidth="1"/>
    <col min="13579" max="13579" width="4" style="1565" customWidth="1"/>
    <col min="13580" max="13580" width="5.125" style="1565" customWidth="1"/>
    <col min="13581" max="13581" width="13.75" style="1565" customWidth="1"/>
    <col min="13582" max="13824" width="9" style="1565"/>
    <col min="13825" max="13825" width="4.875" style="1565" customWidth="1"/>
    <col min="13826" max="13826" width="13.25" style="1565" customWidth="1"/>
    <col min="13827" max="13827" width="15.625" style="1565" customWidth="1"/>
    <col min="13828" max="13828" width="9.375" style="1565" bestFit="1" customWidth="1"/>
    <col min="13829" max="13829" width="13.5" style="1565" customWidth="1"/>
    <col min="13830" max="13830" width="9" style="1565"/>
    <col min="13831" max="13831" width="9.375" style="1565" bestFit="1" customWidth="1"/>
    <col min="13832" max="13833" width="9" style="1565"/>
    <col min="13834" max="13834" width="9.375" style="1565" bestFit="1" customWidth="1"/>
    <col min="13835" max="13835" width="4" style="1565" customWidth="1"/>
    <col min="13836" max="13836" width="5.125" style="1565" customWidth="1"/>
    <col min="13837" max="13837" width="13.75" style="1565" customWidth="1"/>
    <col min="13838" max="14080" width="9" style="1565"/>
    <col min="14081" max="14081" width="4.875" style="1565" customWidth="1"/>
    <col min="14082" max="14082" width="13.25" style="1565" customWidth="1"/>
    <col min="14083" max="14083" width="15.625" style="1565" customWidth="1"/>
    <col min="14084" max="14084" width="9.375" style="1565" bestFit="1" customWidth="1"/>
    <col min="14085" max="14085" width="13.5" style="1565" customWidth="1"/>
    <col min="14086" max="14086" width="9" style="1565"/>
    <col min="14087" max="14087" width="9.375" style="1565" bestFit="1" customWidth="1"/>
    <col min="14088" max="14089" width="9" style="1565"/>
    <col min="14090" max="14090" width="9.375" style="1565" bestFit="1" customWidth="1"/>
    <col min="14091" max="14091" width="4" style="1565" customWidth="1"/>
    <col min="14092" max="14092" width="5.125" style="1565" customWidth="1"/>
    <col min="14093" max="14093" width="13.75" style="1565" customWidth="1"/>
    <col min="14094" max="14336" width="9" style="1565"/>
    <col min="14337" max="14337" width="4.875" style="1565" customWidth="1"/>
    <col min="14338" max="14338" width="13.25" style="1565" customWidth="1"/>
    <col min="14339" max="14339" width="15.625" style="1565" customWidth="1"/>
    <col min="14340" max="14340" width="9.375" style="1565" bestFit="1" customWidth="1"/>
    <col min="14341" max="14341" width="13.5" style="1565" customWidth="1"/>
    <col min="14342" max="14342" width="9" style="1565"/>
    <col min="14343" max="14343" width="9.375" style="1565" bestFit="1" customWidth="1"/>
    <col min="14344" max="14345" width="9" style="1565"/>
    <col min="14346" max="14346" width="9.375" style="1565" bestFit="1" customWidth="1"/>
    <col min="14347" max="14347" width="4" style="1565" customWidth="1"/>
    <col min="14348" max="14348" width="5.125" style="1565" customWidth="1"/>
    <col min="14349" max="14349" width="13.75" style="1565" customWidth="1"/>
    <col min="14350" max="14592" width="9" style="1565"/>
    <col min="14593" max="14593" width="4.875" style="1565" customWidth="1"/>
    <col min="14594" max="14594" width="13.25" style="1565" customWidth="1"/>
    <col min="14595" max="14595" width="15.625" style="1565" customWidth="1"/>
    <col min="14596" max="14596" width="9.375" style="1565" bestFit="1" customWidth="1"/>
    <col min="14597" max="14597" width="13.5" style="1565" customWidth="1"/>
    <col min="14598" max="14598" width="9" style="1565"/>
    <col min="14599" max="14599" width="9.375" style="1565" bestFit="1" customWidth="1"/>
    <col min="14600" max="14601" width="9" style="1565"/>
    <col min="14602" max="14602" width="9.375" style="1565" bestFit="1" customWidth="1"/>
    <col min="14603" max="14603" width="4" style="1565" customWidth="1"/>
    <col min="14604" max="14604" width="5.125" style="1565" customWidth="1"/>
    <col min="14605" max="14605" width="13.75" style="1565" customWidth="1"/>
    <col min="14606" max="14848" width="9" style="1565"/>
    <col min="14849" max="14849" width="4.875" style="1565" customWidth="1"/>
    <col min="14850" max="14850" width="13.25" style="1565" customWidth="1"/>
    <col min="14851" max="14851" width="15.625" style="1565" customWidth="1"/>
    <col min="14852" max="14852" width="9.375" style="1565" bestFit="1" customWidth="1"/>
    <col min="14853" max="14853" width="13.5" style="1565" customWidth="1"/>
    <col min="14854" max="14854" width="9" style="1565"/>
    <col min="14855" max="14855" width="9.375" style="1565" bestFit="1" customWidth="1"/>
    <col min="14856" max="14857" width="9" style="1565"/>
    <col min="14858" max="14858" width="9.375" style="1565" bestFit="1" customWidth="1"/>
    <col min="14859" max="14859" width="4" style="1565" customWidth="1"/>
    <col min="14860" max="14860" width="5.125" style="1565" customWidth="1"/>
    <col min="14861" max="14861" width="13.75" style="1565" customWidth="1"/>
    <col min="14862" max="15104" width="9" style="1565"/>
    <col min="15105" max="15105" width="4.875" style="1565" customWidth="1"/>
    <col min="15106" max="15106" width="13.25" style="1565" customWidth="1"/>
    <col min="15107" max="15107" width="15.625" style="1565" customWidth="1"/>
    <col min="15108" max="15108" width="9.375" style="1565" bestFit="1" customWidth="1"/>
    <col min="15109" max="15109" width="13.5" style="1565" customWidth="1"/>
    <col min="15110" max="15110" width="9" style="1565"/>
    <col min="15111" max="15111" width="9.375" style="1565" bestFit="1" customWidth="1"/>
    <col min="15112" max="15113" width="9" style="1565"/>
    <col min="15114" max="15114" width="9.375" style="1565" bestFit="1" customWidth="1"/>
    <col min="15115" max="15115" width="4" style="1565" customWidth="1"/>
    <col min="15116" max="15116" width="5.125" style="1565" customWidth="1"/>
    <col min="15117" max="15117" width="13.75" style="1565" customWidth="1"/>
    <col min="15118" max="15360" width="9" style="1565"/>
    <col min="15361" max="15361" width="4.875" style="1565" customWidth="1"/>
    <col min="15362" max="15362" width="13.25" style="1565" customWidth="1"/>
    <col min="15363" max="15363" width="15.625" style="1565" customWidth="1"/>
    <col min="15364" max="15364" width="9.375" style="1565" bestFit="1" customWidth="1"/>
    <col min="15365" max="15365" width="13.5" style="1565" customWidth="1"/>
    <col min="15366" max="15366" width="9" style="1565"/>
    <col min="15367" max="15367" width="9.375" style="1565" bestFit="1" customWidth="1"/>
    <col min="15368" max="15369" width="9" style="1565"/>
    <col min="15370" max="15370" width="9.375" style="1565" bestFit="1" customWidth="1"/>
    <col min="15371" max="15371" width="4" style="1565" customWidth="1"/>
    <col min="15372" max="15372" width="5.125" style="1565" customWidth="1"/>
    <col min="15373" max="15373" width="13.75" style="1565" customWidth="1"/>
    <col min="15374" max="15616" width="9" style="1565"/>
    <col min="15617" max="15617" width="4.875" style="1565" customWidth="1"/>
    <col min="15618" max="15618" width="13.25" style="1565" customWidth="1"/>
    <col min="15619" max="15619" width="15.625" style="1565" customWidth="1"/>
    <col min="15620" max="15620" width="9.375" style="1565" bestFit="1" customWidth="1"/>
    <col min="15621" max="15621" width="13.5" style="1565" customWidth="1"/>
    <col min="15622" max="15622" width="9" style="1565"/>
    <col min="15623" max="15623" width="9.375" style="1565" bestFit="1" customWidth="1"/>
    <col min="15624" max="15625" width="9" style="1565"/>
    <col min="15626" max="15626" width="9.375" style="1565" bestFit="1" customWidth="1"/>
    <col min="15627" max="15627" width="4" style="1565" customWidth="1"/>
    <col min="15628" max="15628" width="5.125" style="1565" customWidth="1"/>
    <col min="15629" max="15629" width="13.75" style="1565" customWidth="1"/>
    <col min="15630" max="15872" width="9" style="1565"/>
    <col min="15873" max="15873" width="4.875" style="1565" customWidth="1"/>
    <col min="15874" max="15874" width="13.25" style="1565" customWidth="1"/>
    <col min="15875" max="15875" width="15.625" style="1565" customWidth="1"/>
    <col min="15876" max="15876" width="9.375" style="1565" bestFit="1" customWidth="1"/>
    <col min="15877" max="15877" width="13.5" style="1565" customWidth="1"/>
    <col min="15878" max="15878" width="9" style="1565"/>
    <col min="15879" max="15879" width="9.375" style="1565" bestFit="1" customWidth="1"/>
    <col min="15880" max="15881" width="9" style="1565"/>
    <col min="15882" max="15882" width="9.375" style="1565" bestFit="1" customWidth="1"/>
    <col min="15883" max="15883" width="4" style="1565" customWidth="1"/>
    <col min="15884" max="15884" width="5.125" style="1565" customWidth="1"/>
    <col min="15885" max="15885" width="13.75" style="1565" customWidth="1"/>
    <col min="15886" max="16128" width="9" style="1565"/>
    <col min="16129" max="16129" width="4.875" style="1565" customWidth="1"/>
    <col min="16130" max="16130" width="13.25" style="1565" customWidth="1"/>
    <col min="16131" max="16131" width="15.625" style="1565" customWidth="1"/>
    <col min="16132" max="16132" width="9.375" style="1565" bestFit="1" customWidth="1"/>
    <col min="16133" max="16133" width="13.5" style="1565" customWidth="1"/>
    <col min="16134" max="16134" width="9" style="1565"/>
    <col min="16135" max="16135" width="9.375" style="1565" bestFit="1" customWidth="1"/>
    <col min="16136" max="16137" width="9" style="1565"/>
    <col min="16138" max="16138" width="9.375" style="1565" bestFit="1" customWidth="1"/>
    <col min="16139" max="16139" width="4" style="1565" customWidth="1"/>
    <col min="16140" max="16140" width="5.125" style="1565" customWidth="1"/>
    <col min="16141" max="16141" width="13.75" style="1565" customWidth="1"/>
    <col min="16142" max="16384" width="9" style="1565"/>
  </cols>
  <sheetData>
    <row r="1" spans="1:257" s="1629" customFormat="1" ht="14.25" thickBot="1">
      <c r="A1" s="1623"/>
      <c r="B1" s="1630" t="s">
        <v>1300</v>
      </c>
      <c r="C1" s="1624">
        <f>项目基本情况!D3</f>
        <v>43284</v>
      </c>
      <c r="D1" s="1630" t="s">
        <v>1301</v>
      </c>
      <c r="E1" s="1625">
        <f>'数据-取费表'!B22</f>
        <v>2</v>
      </c>
      <c r="F1" s="1630" t="s">
        <v>1302</v>
      </c>
      <c r="G1" s="1626">
        <f ca="1">INDIRECT("d"&amp;$K$1)/100</f>
        <v>4.7500000000000001E-2</v>
      </c>
      <c r="H1" s="1630" t="s">
        <v>1332</v>
      </c>
      <c r="I1" s="1626">
        <f ca="1">F4/100</f>
        <v>1.4999999999999999E-2</v>
      </c>
      <c r="J1" s="1631">
        <f>IF(C1&gt;C13,0,MATCH(C1,C$13:C$100,-1))+IF(SUMIF(C13:C100,C1,D13:D100)=0,13,12)</f>
        <v>13</v>
      </c>
      <c r="K1" s="1631">
        <f>MATCH(E1,C3:C7,1)+IF(SUMIF(C3:C7,E1,D3:D7)=0,2,1)</f>
        <v>5</v>
      </c>
      <c r="L1" s="1631">
        <f>IF(C1&gt;M13,0,MATCH(C1,M$13:M$100,-1))+IF(SUMIF(M13:M100,C1,N13:N100)=0,13,12)</f>
        <v>13</v>
      </c>
      <c r="M1" s="1623"/>
      <c r="N1" s="1623"/>
      <c r="O1" s="1623"/>
      <c r="P1" s="1623"/>
      <c r="Q1" s="1623"/>
      <c r="R1" s="1623"/>
      <c r="S1" s="1623"/>
      <c r="T1" s="1623"/>
      <c r="U1" s="1623"/>
      <c r="V1" s="1623"/>
      <c r="W1" s="1623"/>
      <c r="X1" s="1623"/>
      <c r="Y1" s="1623"/>
      <c r="Z1" s="1623"/>
      <c r="AA1" s="1627"/>
      <c r="AB1" s="1627"/>
      <c r="AC1" s="1627"/>
      <c r="AD1" s="1627"/>
      <c r="AE1" s="1627"/>
      <c r="AF1" s="1627"/>
      <c r="AG1" s="1627"/>
      <c r="AH1" s="1627"/>
      <c r="AI1" s="1627"/>
      <c r="AJ1" s="1627"/>
      <c r="AK1" s="1627"/>
      <c r="AL1" s="1627"/>
      <c r="AM1" s="1627"/>
      <c r="AN1" s="1627"/>
      <c r="AO1" s="1627"/>
      <c r="AP1" s="1627"/>
      <c r="AQ1" s="1627"/>
      <c r="AR1" s="1627"/>
      <c r="AS1" s="1627"/>
      <c r="AT1" s="1627"/>
      <c r="AU1" s="1627"/>
      <c r="AV1" s="1627"/>
      <c r="AW1" s="1627"/>
      <c r="AX1" s="1627"/>
      <c r="AY1" s="1627"/>
      <c r="AZ1" s="1627"/>
      <c r="BA1" s="1627"/>
      <c r="BB1" s="1627"/>
      <c r="BC1" s="1627"/>
      <c r="BD1" s="1627"/>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1627"/>
      <c r="CK1" s="1627"/>
      <c r="CL1" s="1627"/>
      <c r="CM1" s="1627"/>
      <c r="CN1" s="1627"/>
      <c r="CO1" s="1627"/>
      <c r="CP1" s="1627"/>
      <c r="CQ1" s="1627"/>
      <c r="CR1" s="1627"/>
      <c r="CS1" s="1627"/>
      <c r="CT1" s="1627"/>
      <c r="CU1" s="1627"/>
      <c r="CV1" s="1627"/>
      <c r="CW1" s="1627"/>
      <c r="CX1" s="1627"/>
      <c r="CY1" s="1627"/>
      <c r="CZ1" s="1627"/>
      <c r="DA1" s="1627"/>
      <c r="DB1" s="1627"/>
      <c r="DC1" s="1627"/>
      <c r="DD1" s="1627"/>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1627"/>
      <c r="EK1" s="1627"/>
      <c r="EL1" s="1627"/>
      <c r="EM1" s="1627"/>
      <c r="EN1" s="1627"/>
      <c r="EO1" s="1627"/>
      <c r="EP1" s="1627"/>
      <c r="EQ1" s="1627"/>
      <c r="ER1" s="1627"/>
      <c r="ES1" s="1627"/>
      <c r="ET1" s="1627"/>
      <c r="EU1" s="1627"/>
      <c r="EV1" s="1627"/>
      <c r="EW1" s="1627"/>
      <c r="EX1" s="1627"/>
      <c r="EY1" s="1627"/>
      <c r="EZ1" s="1627"/>
      <c r="FA1" s="1627"/>
      <c r="FB1" s="1627"/>
      <c r="FC1" s="1627"/>
      <c r="FD1" s="1627"/>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1627"/>
      <c r="GK1" s="1627"/>
      <c r="GL1" s="1627"/>
      <c r="GM1" s="1627"/>
      <c r="GN1" s="1627"/>
      <c r="GO1" s="1627"/>
      <c r="GP1" s="1627"/>
      <c r="GQ1" s="1627"/>
      <c r="GR1" s="1627"/>
      <c r="GS1" s="1627"/>
      <c r="GT1" s="1627"/>
      <c r="GU1" s="1627"/>
      <c r="GV1" s="1627"/>
      <c r="GW1" s="1627"/>
      <c r="GX1" s="1627"/>
      <c r="GY1" s="1627"/>
      <c r="GZ1" s="1627"/>
      <c r="HA1" s="1627"/>
      <c r="HB1" s="1627"/>
      <c r="HC1" s="1627"/>
      <c r="HD1" s="1627"/>
      <c r="HE1" s="1627"/>
      <c r="HF1" s="1627"/>
      <c r="HG1" s="1627"/>
      <c r="HH1" s="1627"/>
      <c r="HI1" s="1627"/>
      <c r="HJ1" s="1627"/>
      <c r="HK1" s="1627"/>
      <c r="HL1" s="1627"/>
      <c r="HM1" s="1627"/>
      <c r="HN1" s="1627"/>
      <c r="HO1" s="1627"/>
      <c r="HP1" s="1627"/>
      <c r="HQ1" s="1627"/>
      <c r="HR1" s="1627"/>
      <c r="HS1" s="1627"/>
      <c r="HT1" s="1627"/>
      <c r="HU1" s="1627"/>
      <c r="HV1" s="1627"/>
      <c r="HW1" s="1627"/>
      <c r="HX1" s="1627"/>
      <c r="HY1" s="1627"/>
      <c r="HZ1" s="1627"/>
      <c r="IA1" s="1627"/>
      <c r="IB1" s="1627"/>
      <c r="IC1" s="1627"/>
      <c r="ID1" s="1627"/>
      <c r="IE1" s="1627"/>
      <c r="IF1" s="1627"/>
      <c r="IG1" s="1627"/>
      <c r="IH1" s="1627"/>
      <c r="II1" s="1627"/>
      <c r="IJ1" s="1627"/>
      <c r="IK1" s="1627"/>
      <c r="IL1" s="1627"/>
      <c r="IM1" s="1627"/>
      <c r="IN1" s="1627"/>
      <c r="IO1" s="1627"/>
      <c r="IP1" s="1627"/>
      <c r="IQ1" s="1627"/>
      <c r="IR1" s="1627"/>
      <c r="IS1" s="1627"/>
      <c r="IT1" s="1627"/>
      <c r="IU1" s="1627"/>
      <c r="IV1" s="1627"/>
      <c r="IW1" s="1628"/>
    </row>
    <row r="2" spans="1:257" ht="15" thickTop="1" thickBot="1">
      <c r="A2" s="1566"/>
      <c r="B2" s="1566"/>
      <c r="C2" s="1566"/>
      <c r="D2" s="1566" t="s">
        <v>1303</v>
      </c>
      <c r="E2" s="1566"/>
      <c r="F2" s="1566" t="s">
        <v>1304</v>
      </c>
      <c r="G2" s="1567"/>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c r="BZ2" s="1566"/>
      <c r="CA2" s="1566"/>
      <c r="CB2" s="1566"/>
      <c r="CC2" s="1566"/>
      <c r="CD2" s="1566"/>
      <c r="CE2" s="1566"/>
      <c r="CF2" s="1566"/>
      <c r="CG2" s="1566"/>
      <c r="CH2" s="1566"/>
      <c r="CI2" s="1566"/>
      <c r="CJ2" s="1566"/>
      <c r="CK2" s="1566"/>
      <c r="CL2" s="1566"/>
      <c r="CM2" s="1566"/>
      <c r="CN2" s="1566"/>
      <c r="CO2" s="1566"/>
      <c r="CP2" s="1566"/>
      <c r="CQ2" s="1566"/>
      <c r="CR2" s="1566"/>
      <c r="CS2" s="1566"/>
      <c r="CT2" s="1566"/>
      <c r="CU2" s="1566"/>
      <c r="CV2" s="1566"/>
      <c r="CW2" s="1566"/>
      <c r="CX2" s="1566"/>
      <c r="CY2" s="1566"/>
      <c r="CZ2" s="1566"/>
      <c r="DA2" s="1566"/>
      <c r="DB2" s="1566"/>
      <c r="DC2" s="1566"/>
      <c r="DD2" s="1566"/>
      <c r="DE2" s="1566"/>
      <c r="DF2" s="1566"/>
      <c r="DG2" s="1566"/>
      <c r="DH2" s="1566"/>
      <c r="DI2" s="1566"/>
      <c r="DJ2" s="1566"/>
      <c r="DK2" s="1566"/>
      <c r="DL2" s="1566"/>
      <c r="DM2" s="1566"/>
      <c r="DN2" s="1566"/>
      <c r="DO2" s="1566"/>
      <c r="DP2" s="1566"/>
      <c r="DQ2" s="1566"/>
      <c r="DR2" s="1566"/>
      <c r="DS2" s="1566"/>
      <c r="DT2" s="1566"/>
      <c r="DU2" s="1566"/>
      <c r="DV2" s="1566"/>
      <c r="DW2" s="1566"/>
      <c r="DX2" s="1566"/>
      <c r="DY2" s="1566"/>
      <c r="DZ2" s="1566"/>
      <c r="EA2" s="1566"/>
      <c r="EB2" s="1566"/>
      <c r="EC2" s="1566"/>
      <c r="ED2" s="1566"/>
      <c r="EE2" s="1566"/>
      <c r="EF2" s="1566"/>
      <c r="EG2" s="1566"/>
      <c r="EH2" s="1566"/>
      <c r="EI2" s="1566"/>
      <c r="EJ2" s="1566"/>
      <c r="EK2" s="1566"/>
      <c r="EL2" s="1566"/>
      <c r="EM2" s="1566"/>
      <c r="EN2" s="1566"/>
      <c r="EO2" s="1566"/>
      <c r="EP2" s="1566"/>
      <c r="EQ2" s="1566"/>
      <c r="ER2" s="1566"/>
      <c r="ES2" s="1566"/>
      <c r="ET2" s="1566"/>
      <c r="EU2" s="1566"/>
      <c r="EV2" s="1566"/>
      <c r="EW2" s="1566"/>
      <c r="EX2" s="1566"/>
      <c r="EY2" s="1566"/>
      <c r="EZ2" s="1566"/>
      <c r="FA2" s="1566"/>
      <c r="FB2" s="1566"/>
      <c r="FC2" s="1566"/>
      <c r="FD2" s="1566"/>
      <c r="FE2" s="1566"/>
      <c r="FF2" s="1566"/>
      <c r="FG2" s="1566"/>
      <c r="FH2" s="1566"/>
      <c r="FI2" s="1566"/>
      <c r="FJ2" s="1566"/>
      <c r="FK2" s="1566"/>
      <c r="FL2" s="1566"/>
      <c r="FM2" s="1566"/>
      <c r="FN2" s="1566"/>
      <c r="FO2" s="1566"/>
      <c r="FP2" s="1566"/>
      <c r="FQ2" s="1566"/>
      <c r="FR2" s="1566"/>
      <c r="FS2" s="1566"/>
      <c r="FT2" s="1566"/>
      <c r="FU2" s="1566"/>
      <c r="FV2" s="1566"/>
      <c r="FW2" s="1566"/>
      <c r="FX2" s="1566"/>
      <c r="FY2" s="1566"/>
      <c r="FZ2" s="1566"/>
      <c r="GA2" s="1566"/>
      <c r="GB2" s="1566"/>
      <c r="GC2" s="1566"/>
      <c r="GD2" s="1566"/>
      <c r="GE2" s="1566"/>
      <c r="GF2" s="1566"/>
      <c r="GG2" s="1566"/>
      <c r="GH2" s="1566"/>
      <c r="GI2" s="1566"/>
      <c r="GJ2" s="1566"/>
      <c r="GK2" s="1566"/>
      <c r="GL2" s="1566"/>
      <c r="GM2" s="1566"/>
      <c r="GN2" s="1566"/>
      <c r="GO2" s="1566"/>
      <c r="GP2" s="1566"/>
      <c r="GQ2" s="1566"/>
      <c r="GR2" s="1566"/>
      <c r="GS2" s="1566"/>
      <c r="GT2" s="1566"/>
      <c r="GU2" s="1566"/>
      <c r="GV2" s="1566"/>
      <c r="GW2" s="1566"/>
      <c r="GX2" s="1566"/>
      <c r="GY2" s="1566"/>
      <c r="GZ2" s="1566"/>
      <c r="HA2" s="1566"/>
      <c r="HB2" s="1566"/>
      <c r="HC2" s="1566"/>
      <c r="HD2" s="1566"/>
      <c r="HE2" s="1566"/>
      <c r="HF2" s="1566"/>
      <c r="HG2" s="1566"/>
      <c r="HH2" s="1566"/>
      <c r="HI2" s="1566"/>
      <c r="HJ2" s="1566"/>
      <c r="HK2" s="1566"/>
      <c r="HL2" s="1566"/>
      <c r="HM2" s="1566"/>
      <c r="HN2" s="1566"/>
      <c r="HO2" s="1566"/>
      <c r="HP2" s="1566"/>
      <c r="HQ2" s="1566"/>
      <c r="HR2" s="1566"/>
      <c r="HS2" s="1566"/>
      <c r="HT2" s="1566"/>
      <c r="HU2" s="1566"/>
      <c r="HV2" s="1566"/>
      <c r="HW2" s="1566"/>
      <c r="HX2" s="1566"/>
      <c r="HY2" s="1566"/>
      <c r="HZ2" s="1566"/>
      <c r="IA2" s="1566"/>
      <c r="IB2" s="1566"/>
      <c r="IC2" s="1566"/>
      <c r="ID2" s="1566"/>
      <c r="IE2" s="1566"/>
      <c r="IF2" s="1566"/>
      <c r="IG2" s="1566"/>
      <c r="IH2" s="1566"/>
      <c r="II2" s="1566"/>
      <c r="IJ2" s="1566"/>
      <c r="IK2" s="1566"/>
      <c r="IL2" s="1566"/>
      <c r="IM2" s="1566"/>
      <c r="IN2" s="1566"/>
      <c r="IO2" s="1566"/>
      <c r="IP2" s="1566"/>
      <c r="IQ2" s="1566"/>
      <c r="IR2" s="1566"/>
      <c r="IS2" s="1566"/>
      <c r="IT2" s="1566"/>
      <c r="IU2" s="1566"/>
      <c r="IV2" s="1566"/>
      <c r="IW2" s="1566"/>
    </row>
    <row r="3" spans="1:257">
      <c r="B3" s="1569" t="s">
        <v>1305</v>
      </c>
      <c r="C3" s="1570">
        <v>0</v>
      </c>
      <c r="D3" s="1571">
        <f ca="1">INDIRECT("d"&amp;$J$1)</f>
        <v>4.3499999999999996</v>
      </c>
      <c r="E3" s="1572">
        <v>0.5</v>
      </c>
      <c r="F3" s="1573">
        <f ca="1">INDIRECT("p"&amp;$L$1)</f>
        <v>1.3</v>
      </c>
      <c r="G3" s="1568"/>
      <c r="H3" s="1568"/>
      <c r="I3" s="1568"/>
      <c r="J3" s="1568"/>
      <c r="L3" s="1568"/>
      <c r="M3" s="1568"/>
      <c r="N3" s="1568"/>
      <c r="O3" s="1568"/>
      <c r="P3" s="1568"/>
      <c r="Q3" s="1568"/>
      <c r="R3" s="1568"/>
      <c r="S3" s="1568"/>
      <c r="T3" s="1568"/>
      <c r="U3" s="1568"/>
      <c r="V3" s="1568"/>
      <c r="W3" s="1568"/>
      <c r="X3" s="1568"/>
      <c r="Y3" s="1568"/>
      <c r="Z3" s="1568"/>
    </row>
    <row r="4" spans="1:257">
      <c r="B4" s="1575" t="s">
        <v>1306</v>
      </c>
      <c r="C4" s="1576">
        <v>0.5</v>
      </c>
      <c r="D4" s="1577">
        <f ca="1">INDIRECT("e"&amp;$J$1)</f>
        <v>4.3499999999999996</v>
      </c>
      <c r="E4" s="1578">
        <v>1</v>
      </c>
      <c r="F4" s="1579">
        <f ca="1">INDIRECT("q"&amp;$L$1)</f>
        <v>1.5</v>
      </c>
      <c r="G4" s="1568"/>
      <c r="H4" s="1568"/>
      <c r="I4" s="1568"/>
      <c r="J4" s="1568"/>
      <c r="L4" s="1568"/>
      <c r="M4" s="1568"/>
      <c r="N4" s="1568"/>
      <c r="O4" s="1568"/>
      <c r="P4" s="1568"/>
      <c r="Q4" s="1568"/>
      <c r="R4" s="1568"/>
      <c r="S4" s="1568"/>
      <c r="T4" s="1568"/>
      <c r="U4" s="1568"/>
      <c r="V4" s="1568"/>
      <c r="W4" s="1568"/>
      <c r="X4" s="1568"/>
      <c r="Y4" s="1568"/>
      <c r="Z4" s="1568"/>
    </row>
    <row r="5" spans="1:257">
      <c r="B5" s="1575" t="s">
        <v>1307</v>
      </c>
      <c r="C5" s="1576">
        <v>1</v>
      </c>
      <c r="D5" s="1577">
        <f ca="1">INDIRECT("f"&amp;$J$1)</f>
        <v>4.75</v>
      </c>
      <c r="E5" s="1578">
        <v>2</v>
      </c>
      <c r="F5" s="1579">
        <f ca="1">INDIRECT("r"&amp;$L$1)</f>
        <v>2.1</v>
      </c>
      <c r="G5" s="1568"/>
      <c r="H5" s="1568"/>
      <c r="I5" s="1568"/>
      <c r="J5" s="1568"/>
      <c r="L5" s="1568"/>
      <c r="M5" s="1568"/>
      <c r="N5" s="1568"/>
      <c r="O5" s="1568"/>
      <c r="P5" s="1568"/>
      <c r="Q5" s="1568"/>
      <c r="R5" s="1568"/>
      <c r="S5" s="1568"/>
      <c r="T5" s="1568"/>
      <c r="U5" s="1568"/>
      <c r="V5" s="1568"/>
      <c r="W5" s="1568"/>
      <c r="X5" s="1568"/>
      <c r="Y5" s="1568"/>
      <c r="Z5" s="1568"/>
    </row>
    <row r="6" spans="1:257">
      <c r="B6" s="1575" t="s">
        <v>1308</v>
      </c>
      <c r="C6" s="1576">
        <v>3</v>
      </c>
      <c r="D6" s="1577">
        <f ca="1">INDIRECT("g"&amp;$J$1)</f>
        <v>4.75</v>
      </c>
      <c r="E6" s="1578">
        <v>3</v>
      </c>
      <c r="F6" s="1579">
        <f ca="1">INDIRECT("s"&amp;$L$1)</f>
        <v>2.75</v>
      </c>
      <c r="G6" s="1568"/>
      <c r="H6" s="1568"/>
      <c r="I6" s="1568"/>
      <c r="J6" s="1568"/>
      <c r="L6" s="1568"/>
      <c r="M6" s="1568"/>
      <c r="N6" s="1568"/>
      <c r="O6" s="1568"/>
      <c r="P6" s="1568"/>
      <c r="Q6" s="1568"/>
      <c r="R6" s="1568"/>
      <c r="S6" s="1568"/>
      <c r="T6" s="1568"/>
      <c r="U6" s="1568"/>
      <c r="V6" s="1568"/>
      <c r="W6" s="1568"/>
      <c r="X6" s="1568"/>
      <c r="Y6" s="1568"/>
      <c r="Z6" s="1568"/>
    </row>
    <row r="7" spans="1:257" ht="14.25" thickBot="1">
      <c r="B7" s="1580" t="s">
        <v>1309</v>
      </c>
      <c r="C7" s="1581">
        <v>5</v>
      </c>
      <c r="D7" s="1582">
        <f ca="1">INDIRECT("h"&amp;$J$1)</f>
        <v>4.9000000000000004</v>
      </c>
      <c r="E7" s="1583">
        <v>5</v>
      </c>
      <c r="F7" s="1584">
        <f ca="1">INDIRECT("t"&amp;$L$1)</f>
        <v>0</v>
      </c>
      <c r="G7" s="1568"/>
      <c r="H7" s="1568"/>
      <c r="I7" s="1568"/>
      <c r="J7" s="1568"/>
      <c r="L7" s="1568"/>
      <c r="M7" s="1568"/>
      <c r="N7" s="1568"/>
      <c r="O7" s="1568"/>
      <c r="P7" s="1568"/>
      <c r="Q7" s="1568"/>
      <c r="R7" s="1568"/>
      <c r="S7" s="1568"/>
      <c r="T7" s="1568"/>
      <c r="U7" s="1568"/>
      <c r="V7" s="1568"/>
      <c r="W7" s="1568"/>
      <c r="X7" s="1568"/>
      <c r="Y7" s="1568"/>
      <c r="Z7" s="1568"/>
    </row>
    <row r="8" spans="1:257">
      <c r="A8" s="1585"/>
      <c r="B8" s="1586"/>
      <c r="C8" s="1587"/>
      <c r="D8" s="1568"/>
      <c r="E8" s="1568"/>
      <c r="F8" s="1568"/>
      <c r="G8" s="1568"/>
      <c r="H8" s="1568"/>
      <c r="I8" s="1568"/>
      <c r="J8" s="1568"/>
      <c r="L8" s="1568"/>
      <c r="M8" s="1568"/>
      <c r="N8" s="1568"/>
      <c r="O8" s="1568"/>
      <c r="P8" s="1568"/>
      <c r="Q8" s="1568"/>
      <c r="R8" s="1568"/>
      <c r="S8" s="1568"/>
      <c r="T8" s="1568"/>
      <c r="U8" s="1568"/>
      <c r="V8" s="1568"/>
      <c r="W8" s="1568"/>
      <c r="X8" s="1568"/>
      <c r="Y8" s="1568"/>
      <c r="Z8" s="1568"/>
    </row>
    <row r="9" spans="1:257" ht="20.25">
      <c r="A9" s="1588"/>
      <c r="B9" s="1589" t="s">
        <v>1310</v>
      </c>
      <c r="C9" s="1590"/>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2"/>
      <c r="AB9" s="1592"/>
      <c r="AC9" s="1592"/>
      <c r="AD9" s="1592"/>
      <c r="AE9" s="1592"/>
      <c r="AF9" s="1592"/>
      <c r="AG9" s="1592"/>
      <c r="AH9" s="1592"/>
      <c r="AI9" s="1592"/>
      <c r="AJ9" s="1592"/>
      <c r="AK9" s="1592"/>
      <c r="AL9" s="1592"/>
      <c r="AM9" s="1592"/>
      <c r="AN9" s="1592"/>
      <c r="AO9" s="1592"/>
      <c r="AP9" s="1592"/>
      <c r="AQ9" s="1592"/>
      <c r="AR9" s="1592"/>
      <c r="AS9" s="1592"/>
      <c r="AT9" s="1592"/>
      <c r="AU9" s="1592"/>
      <c r="AV9" s="1592"/>
      <c r="AW9" s="1592"/>
      <c r="AX9" s="1592"/>
      <c r="AY9" s="1592"/>
      <c r="AZ9" s="1592"/>
      <c r="BA9" s="1592"/>
      <c r="BB9" s="1592"/>
      <c r="BC9" s="1592"/>
      <c r="BD9" s="1592"/>
      <c r="BE9" s="1592"/>
      <c r="BF9" s="1592"/>
      <c r="BG9" s="1592"/>
      <c r="BH9" s="1592"/>
      <c r="BI9" s="1592"/>
      <c r="BJ9" s="1592"/>
      <c r="BK9" s="1592"/>
      <c r="BL9" s="1592"/>
      <c r="BM9" s="1592"/>
      <c r="BN9" s="1592"/>
      <c r="BO9" s="1592"/>
      <c r="BP9" s="1592"/>
      <c r="BQ9" s="1592"/>
      <c r="BR9" s="1592"/>
      <c r="BS9" s="1592"/>
      <c r="BT9" s="1592"/>
      <c r="BU9" s="1592"/>
      <c r="BV9" s="1592"/>
      <c r="BW9" s="1592"/>
      <c r="BX9" s="1592"/>
      <c r="BY9" s="1592"/>
      <c r="BZ9" s="1592"/>
      <c r="CA9" s="1592"/>
      <c r="CB9" s="1592"/>
      <c r="CC9" s="1592"/>
      <c r="CD9" s="1592"/>
      <c r="CE9" s="1592"/>
      <c r="CF9" s="1592"/>
      <c r="CG9" s="1592"/>
      <c r="CH9" s="1592"/>
      <c r="CI9" s="1592"/>
      <c r="CJ9" s="1592"/>
      <c r="CK9" s="1592"/>
      <c r="CL9" s="1592"/>
      <c r="CM9" s="1592"/>
      <c r="CN9" s="1592"/>
      <c r="CO9" s="1592"/>
      <c r="CP9" s="1592"/>
      <c r="CQ9" s="1592"/>
      <c r="CR9" s="1592"/>
      <c r="CS9" s="1592"/>
      <c r="CT9" s="1592"/>
      <c r="CU9" s="1592"/>
      <c r="CV9" s="1592"/>
      <c r="CW9" s="1592"/>
      <c r="CX9" s="1592"/>
      <c r="CY9" s="1592"/>
      <c r="CZ9" s="1592"/>
      <c r="DA9" s="1592"/>
      <c r="DB9" s="1592"/>
      <c r="DC9" s="1592"/>
      <c r="DD9" s="1592"/>
      <c r="DE9" s="1592"/>
      <c r="DF9" s="1592"/>
      <c r="DG9" s="1592"/>
      <c r="DH9" s="1592"/>
      <c r="DI9" s="1592"/>
      <c r="DJ9" s="1592"/>
      <c r="DK9" s="1592"/>
      <c r="DL9" s="1592"/>
      <c r="DM9" s="1592"/>
      <c r="DN9" s="1592"/>
      <c r="DO9" s="1592"/>
      <c r="DP9" s="1592"/>
      <c r="DQ9" s="1592"/>
      <c r="DR9" s="1592"/>
      <c r="DS9" s="1592"/>
      <c r="DT9" s="1592"/>
      <c r="DU9" s="1592"/>
      <c r="DV9" s="1592"/>
      <c r="DW9" s="1592"/>
      <c r="DX9" s="1592"/>
      <c r="DY9" s="1592"/>
      <c r="DZ9" s="1592"/>
      <c r="EA9" s="1592"/>
      <c r="EB9" s="1592"/>
      <c r="EC9" s="1592"/>
      <c r="ED9" s="1592"/>
      <c r="EE9" s="1592"/>
      <c r="EF9" s="1592"/>
      <c r="EG9" s="1592"/>
      <c r="EH9" s="1592"/>
      <c r="EI9" s="1592"/>
      <c r="EJ9" s="1592"/>
      <c r="EK9" s="1592"/>
      <c r="EL9" s="1592"/>
      <c r="EM9" s="1592"/>
      <c r="EN9" s="1592"/>
      <c r="EO9" s="1592"/>
      <c r="EP9" s="1592"/>
      <c r="EQ9" s="1592"/>
      <c r="ER9" s="1592"/>
      <c r="ES9" s="1592"/>
      <c r="ET9" s="1592"/>
      <c r="EU9" s="1592"/>
      <c r="EV9" s="1592"/>
      <c r="EW9" s="1592"/>
      <c r="EX9" s="1592"/>
      <c r="EY9" s="1592"/>
      <c r="EZ9" s="1592"/>
      <c r="FA9" s="1592"/>
      <c r="FB9" s="1592"/>
      <c r="FC9" s="1592"/>
      <c r="FD9" s="1592"/>
      <c r="FE9" s="1592"/>
      <c r="FF9" s="1592"/>
      <c r="FG9" s="1592"/>
      <c r="FH9" s="1592"/>
      <c r="FI9" s="1592"/>
      <c r="FJ9" s="1592"/>
      <c r="FK9" s="1592"/>
      <c r="FL9" s="1592"/>
      <c r="FM9" s="1592"/>
      <c r="FN9" s="1592"/>
      <c r="FO9" s="1592"/>
      <c r="FP9" s="1592"/>
      <c r="FQ9" s="1592"/>
      <c r="FR9" s="1592"/>
      <c r="FS9" s="1592"/>
      <c r="FT9" s="1592"/>
      <c r="FU9" s="1592"/>
      <c r="FV9" s="1592"/>
      <c r="FW9" s="1592"/>
      <c r="FX9" s="1592"/>
      <c r="FY9" s="1592"/>
      <c r="FZ9" s="1592"/>
      <c r="GA9" s="1592"/>
      <c r="GB9" s="1592"/>
      <c r="GC9" s="1592"/>
      <c r="GD9" s="1592"/>
      <c r="GE9" s="1592"/>
      <c r="GF9" s="1592"/>
      <c r="GG9" s="1592"/>
      <c r="GH9" s="1592"/>
      <c r="GI9" s="1592"/>
      <c r="GJ9" s="1592"/>
      <c r="GK9" s="1592"/>
      <c r="GL9" s="1592"/>
      <c r="GM9" s="1592"/>
      <c r="GN9" s="1592"/>
      <c r="GO9" s="1592"/>
      <c r="GP9" s="1592"/>
      <c r="GQ9" s="1592"/>
      <c r="GR9" s="1592"/>
      <c r="GS9" s="1592"/>
      <c r="GT9" s="1592"/>
      <c r="GU9" s="1592"/>
      <c r="GV9" s="1592"/>
      <c r="GW9" s="1592"/>
      <c r="GX9" s="1592"/>
      <c r="GY9" s="1592"/>
      <c r="GZ9" s="1592"/>
      <c r="HA9" s="1592"/>
      <c r="HB9" s="1592"/>
      <c r="HC9" s="1592"/>
      <c r="HD9" s="1592"/>
      <c r="HE9" s="1592"/>
      <c r="HF9" s="1592"/>
      <c r="HG9" s="1592"/>
      <c r="HH9" s="1592"/>
      <c r="HI9" s="1592"/>
      <c r="HJ9" s="1592"/>
      <c r="HK9" s="1592"/>
      <c r="HL9" s="1592"/>
      <c r="HM9" s="1592"/>
      <c r="HN9" s="1592"/>
      <c r="HO9" s="1592"/>
      <c r="HP9" s="1592"/>
      <c r="HQ9" s="1592"/>
      <c r="HR9" s="1592"/>
      <c r="HS9" s="1592"/>
      <c r="HT9" s="1592"/>
      <c r="HU9" s="1592"/>
      <c r="HV9" s="1592"/>
      <c r="HW9" s="1592"/>
      <c r="HX9" s="1592"/>
      <c r="HY9" s="1592"/>
      <c r="HZ9" s="1592"/>
      <c r="IA9" s="1592"/>
      <c r="IB9" s="1592"/>
      <c r="IC9" s="1592"/>
      <c r="ID9" s="1592"/>
      <c r="IE9" s="1592"/>
      <c r="IF9" s="1592"/>
      <c r="IG9" s="1592"/>
      <c r="IH9" s="1592"/>
      <c r="II9" s="1592"/>
      <c r="IJ9" s="1592"/>
      <c r="IK9" s="1592"/>
      <c r="IL9" s="1592"/>
      <c r="IM9" s="1592"/>
      <c r="IN9" s="1592"/>
      <c r="IO9" s="1592"/>
      <c r="IP9" s="1592"/>
      <c r="IQ9" s="1592"/>
      <c r="IR9" s="1592"/>
      <c r="IS9" s="1592"/>
      <c r="IT9" s="1592"/>
      <c r="IU9" s="1592"/>
      <c r="IV9" s="1592"/>
      <c r="IW9" s="1593"/>
    </row>
    <row r="10" spans="1:257" ht="22.5">
      <c r="A10" s="1594"/>
      <c r="B10" s="1595" t="s">
        <v>1311</v>
      </c>
      <c r="C10" s="1594"/>
      <c r="D10" s="1594"/>
      <c r="E10" s="1594"/>
      <c r="F10" s="1594"/>
      <c r="G10" s="1594"/>
      <c r="H10" s="1594"/>
      <c r="I10" s="1568"/>
      <c r="J10" s="1568"/>
      <c r="K10" s="1594"/>
      <c r="L10" s="1595" t="s">
        <v>1312</v>
      </c>
      <c r="M10" s="1594"/>
      <c r="N10" s="1594"/>
      <c r="O10" s="1594"/>
      <c r="P10" s="1594"/>
      <c r="Q10" s="1594"/>
      <c r="R10" s="1594"/>
      <c r="S10" s="1594"/>
      <c r="T10" s="1594"/>
      <c r="U10" s="1594"/>
      <c r="V10" s="1594"/>
      <c r="W10" s="1594"/>
      <c r="X10" s="1594"/>
      <c r="Y10" s="1594"/>
      <c r="Z10" s="1594"/>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c r="BJ10" s="1596"/>
      <c r="BK10" s="1596"/>
      <c r="BL10" s="1596"/>
      <c r="BM10" s="1596"/>
      <c r="BN10" s="1596"/>
      <c r="BO10" s="1596"/>
      <c r="BP10" s="1596"/>
      <c r="BQ10" s="1596"/>
      <c r="BR10" s="1596"/>
      <c r="BS10" s="1596"/>
      <c r="BT10" s="1596"/>
      <c r="BU10" s="1596"/>
      <c r="BV10" s="1596"/>
      <c r="BW10" s="1596"/>
      <c r="BX10" s="1596"/>
      <c r="BY10" s="1596"/>
      <c r="BZ10" s="1596"/>
      <c r="CA10" s="1596"/>
      <c r="CB10" s="1596"/>
      <c r="CC10" s="1596"/>
      <c r="CD10" s="1596"/>
      <c r="CE10" s="1596"/>
      <c r="CF10" s="1596"/>
      <c r="CG10" s="1596"/>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1596"/>
      <c r="DY10" s="1596"/>
      <c r="DZ10" s="1596"/>
      <c r="EA10" s="1596"/>
      <c r="EB10" s="1596"/>
      <c r="EC10" s="1596"/>
      <c r="ED10" s="1596"/>
      <c r="EE10" s="1596"/>
      <c r="EF10" s="1596"/>
      <c r="EG10" s="1596"/>
      <c r="EH10" s="1596"/>
      <c r="EI10" s="1596"/>
      <c r="EJ10" s="1596"/>
      <c r="EK10" s="1596"/>
      <c r="EL10" s="1596"/>
      <c r="EM10" s="1596"/>
      <c r="EN10" s="1596"/>
      <c r="EO10" s="1596"/>
      <c r="EP10" s="1596"/>
      <c r="EQ10" s="1596"/>
      <c r="ER10" s="1596"/>
      <c r="ES10" s="1596"/>
      <c r="ET10" s="1596"/>
      <c r="EU10" s="1596"/>
      <c r="EV10" s="1596"/>
      <c r="EW10" s="1596"/>
      <c r="EX10" s="1596"/>
      <c r="EY10" s="1596"/>
      <c r="EZ10" s="1596"/>
      <c r="FA10" s="1596"/>
      <c r="FB10" s="1596"/>
      <c r="FC10" s="1596"/>
      <c r="FD10" s="1596"/>
      <c r="FE10" s="1596"/>
      <c r="FF10" s="1596"/>
      <c r="FG10" s="1596"/>
      <c r="FH10" s="1596"/>
      <c r="FI10" s="1596"/>
      <c r="FJ10" s="1596"/>
      <c r="FK10" s="1596"/>
      <c r="FL10" s="1596"/>
      <c r="FM10" s="1596"/>
      <c r="FN10" s="1596"/>
      <c r="FO10" s="1596"/>
      <c r="FP10" s="1596"/>
      <c r="FQ10" s="1596"/>
      <c r="FR10" s="1596"/>
      <c r="FS10" s="1596"/>
      <c r="FT10" s="1596"/>
      <c r="FU10" s="1596"/>
      <c r="FV10" s="1596"/>
      <c r="FW10" s="1596"/>
      <c r="FX10" s="1596"/>
      <c r="FY10" s="1596"/>
      <c r="FZ10" s="1596"/>
      <c r="GA10" s="1596"/>
      <c r="GB10" s="1596"/>
      <c r="GC10" s="1596"/>
      <c r="GD10" s="1596"/>
      <c r="GE10" s="1596"/>
      <c r="GF10" s="1596"/>
      <c r="GG10" s="1596"/>
      <c r="GH10" s="1596"/>
      <c r="GI10" s="1596"/>
      <c r="GJ10" s="1596"/>
      <c r="GK10" s="1596"/>
      <c r="GL10" s="1596"/>
      <c r="GM10" s="1596"/>
      <c r="GN10" s="1596"/>
      <c r="GO10" s="1596"/>
      <c r="GP10" s="1596"/>
      <c r="GQ10" s="1596"/>
      <c r="GR10" s="1596"/>
      <c r="GS10" s="1596"/>
      <c r="GT10" s="1596"/>
      <c r="GU10" s="1596"/>
      <c r="GV10" s="1596"/>
      <c r="GW10" s="1596"/>
      <c r="GX10" s="1596"/>
      <c r="GY10" s="1596"/>
      <c r="GZ10" s="1596"/>
      <c r="HA10" s="1596"/>
      <c r="HB10" s="1596"/>
      <c r="HC10" s="1596"/>
      <c r="HD10" s="1596"/>
      <c r="HE10" s="1596"/>
      <c r="HF10" s="1596"/>
      <c r="HG10" s="1596"/>
      <c r="HH10" s="1596"/>
      <c r="HI10" s="1596"/>
      <c r="HJ10" s="1596"/>
      <c r="HK10" s="1596"/>
      <c r="HL10" s="1596"/>
      <c r="HM10" s="1596"/>
      <c r="HN10" s="1596"/>
      <c r="HO10" s="1596"/>
      <c r="HP10" s="1596"/>
      <c r="HQ10" s="1596"/>
      <c r="HR10" s="1596"/>
      <c r="HS10" s="1596"/>
      <c r="HT10" s="1596"/>
      <c r="HU10" s="1596"/>
      <c r="HV10" s="1596"/>
      <c r="HW10" s="1596"/>
      <c r="HX10" s="1596"/>
      <c r="HY10" s="1596"/>
      <c r="HZ10" s="1596"/>
      <c r="IA10" s="1596"/>
      <c r="IB10" s="1596"/>
      <c r="IC10" s="1596"/>
      <c r="ID10" s="1596"/>
      <c r="IE10" s="1596"/>
      <c r="IF10" s="1596"/>
      <c r="IG10" s="1596"/>
      <c r="IH10" s="1596"/>
      <c r="II10" s="1596"/>
      <c r="IJ10" s="1596"/>
      <c r="IK10" s="1596"/>
      <c r="IL10" s="1596"/>
      <c r="IM10" s="1596"/>
      <c r="IN10" s="1596"/>
      <c r="IO10" s="1596"/>
      <c r="IP10" s="1596"/>
      <c r="IQ10" s="1596"/>
      <c r="IR10" s="1596"/>
      <c r="IS10" s="1596"/>
      <c r="IT10" s="1596"/>
      <c r="IU10" s="1596"/>
      <c r="IV10" s="1596"/>
    </row>
    <row r="11" spans="1:257">
      <c r="A11" s="1597"/>
      <c r="B11" s="1598" t="s">
        <v>1313</v>
      </c>
      <c r="C11" s="1599" t="s">
        <v>1314</v>
      </c>
      <c r="D11" s="1600" t="s">
        <v>1315</v>
      </c>
      <c r="E11" s="1601"/>
      <c r="F11" s="1600" t="s">
        <v>1316</v>
      </c>
      <c r="G11" s="1602"/>
      <c r="H11" s="1601"/>
      <c r="I11" s="1600" t="s">
        <v>1317</v>
      </c>
      <c r="J11" s="1601"/>
      <c r="K11" s="1597"/>
      <c r="L11" s="1598" t="s">
        <v>1313</v>
      </c>
      <c r="M11" s="1599" t="s">
        <v>1314</v>
      </c>
      <c r="N11" s="1598" t="s">
        <v>1318</v>
      </c>
      <c r="O11" s="1600" t="s">
        <v>1319</v>
      </c>
      <c r="P11" s="1602"/>
      <c r="Q11" s="1602"/>
      <c r="R11" s="1602"/>
      <c r="S11" s="1602"/>
      <c r="T11" s="1601"/>
      <c r="U11" s="1600" t="s">
        <v>1320</v>
      </c>
      <c r="V11" s="1602"/>
      <c r="W11" s="1601"/>
      <c r="X11" s="1598" t="s">
        <v>1321</v>
      </c>
      <c r="Y11" s="1598" t="s">
        <v>1322</v>
      </c>
      <c r="Z11" s="1598" t="s">
        <v>1323</v>
      </c>
      <c r="AA11" s="1603"/>
      <c r="AB11" s="1603"/>
      <c r="AC11" s="1603"/>
      <c r="AD11" s="1603"/>
      <c r="AE11" s="1603"/>
      <c r="AF11" s="1603"/>
      <c r="AG11" s="1603"/>
      <c r="AH11" s="1603"/>
      <c r="AI11" s="1603"/>
      <c r="AJ11" s="1603"/>
      <c r="AK11" s="1603"/>
      <c r="AL11" s="1603"/>
      <c r="AM11" s="1603"/>
      <c r="AN11" s="1603"/>
      <c r="AO11" s="1603"/>
      <c r="AP11" s="1603"/>
      <c r="AQ11" s="1603"/>
      <c r="AR11" s="1603"/>
      <c r="AS11" s="1603"/>
      <c r="AT11" s="1603"/>
      <c r="AU11" s="1603"/>
      <c r="AV11" s="1603"/>
      <c r="AW11" s="1603"/>
      <c r="AX11" s="1603"/>
      <c r="AY11" s="1603"/>
      <c r="AZ11" s="1603"/>
      <c r="BA11" s="1603"/>
      <c r="BB11" s="1603"/>
      <c r="BC11" s="1603"/>
      <c r="BD11" s="1603"/>
      <c r="BE11" s="1603"/>
      <c r="BF11" s="1603"/>
      <c r="BG11" s="1603"/>
      <c r="BH11" s="1603"/>
      <c r="BI11" s="1603"/>
      <c r="BJ11" s="1603"/>
      <c r="BK11" s="1603"/>
      <c r="BL11" s="1603"/>
      <c r="BM11" s="1603"/>
      <c r="BN11" s="1603"/>
      <c r="BO11" s="1603"/>
      <c r="BP11" s="1603"/>
      <c r="BQ11" s="1603"/>
      <c r="BR11" s="1603"/>
      <c r="BS11" s="1603"/>
      <c r="BT11" s="1603"/>
      <c r="BU11" s="1603"/>
      <c r="BV11" s="1603"/>
      <c r="BW11" s="1603"/>
      <c r="BX11" s="1603"/>
      <c r="BY11" s="1603"/>
      <c r="BZ11" s="1603"/>
      <c r="CA11" s="1603"/>
      <c r="CB11" s="1603"/>
      <c r="CC11" s="1603"/>
      <c r="CD11" s="1603"/>
      <c r="CE11" s="1603"/>
      <c r="CF11" s="1603"/>
      <c r="CG11" s="1603"/>
      <c r="CH11" s="1603"/>
      <c r="CI11" s="1603"/>
      <c r="CJ11" s="1603"/>
      <c r="CK11" s="1603"/>
      <c r="CL11" s="1603"/>
      <c r="CM11" s="1603"/>
      <c r="CN11" s="1603"/>
      <c r="CO11" s="1603"/>
      <c r="CP11" s="1603"/>
      <c r="CQ11" s="1603"/>
      <c r="CR11" s="1603"/>
      <c r="CS11" s="1603"/>
      <c r="CT11" s="1603"/>
      <c r="CU11" s="1603"/>
      <c r="CV11" s="1603"/>
      <c r="CW11" s="1603"/>
      <c r="CX11" s="1603"/>
      <c r="CY11" s="1603"/>
      <c r="CZ11" s="1603"/>
      <c r="DA11" s="1603"/>
      <c r="DB11" s="1603"/>
      <c r="DC11" s="1603"/>
      <c r="DD11" s="1603"/>
      <c r="DE11" s="1603"/>
      <c r="DF11" s="1603"/>
      <c r="DG11" s="1603"/>
      <c r="DH11" s="1603"/>
      <c r="DI11" s="1603"/>
      <c r="DJ11" s="1603"/>
      <c r="DK11" s="1603"/>
      <c r="DL11" s="1603"/>
      <c r="DM11" s="1603"/>
      <c r="DN11" s="1603"/>
      <c r="DO11" s="1603"/>
      <c r="DP11" s="1603"/>
      <c r="DQ11" s="1603"/>
      <c r="DR11" s="1603"/>
      <c r="DS11" s="1603"/>
      <c r="DT11" s="1603"/>
      <c r="DU11" s="1603"/>
      <c r="DV11" s="1603"/>
      <c r="DW11" s="1603"/>
      <c r="DX11" s="1603"/>
      <c r="DY11" s="1603"/>
      <c r="DZ11" s="1603"/>
      <c r="EA11" s="1603"/>
      <c r="EB11" s="1603"/>
      <c r="EC11" s="1603"/>
      <c r="ED11" s="1603"/>
      <c r="EE11" s="1603"/>
      <c r="EF11" s="1603"/>
      <c r="EG11" s="1603"/>
      <c r="EH11" s="1603"/>
      <c r="EI11" s="1603"/>
      <c r="EJ11" s="1603"/>
      <c r="EK11" s="1603"/>
      <c r="EL11" s="1603"/>
      <c r="EM11" s="1603"/>
      <c r="EN11" s="1603"/>
      <c r="EO11" s="1603"/>
      <c r="EP11" s="1603"/>
      <c r="EQ11" s="1603"/>
      <c r="ER11" s="1603"/>
      <c r="ES11" s="1603"/>
      <c r="ET11" s="1603"/>
      <c r="EU11" s="1603"/>
      <c r="EV11" s="1603"/>
      <c r="EW11" s="1603"/>
      <c r="EX11" s="1603"/>
      <c r="EY11" s="1603"/>
      <c r="EZ11" s="1603"/>
      <c r="FA11" s="1603"/>
      <c r="FB11" s="1603"/>
      <c r="FC11" s="1603"/>
      <c r="FD11" s="1603"/>
      <c r="FE11" s="1603"/>
      <c r="FF11" s="1603"/>
      <c r="FG11" s="1603"/>
      <c r="FH11" s="1603"/>
      <c r="FI11" s="1603"/>
      <c r="FJ11" s="1603"/>
      <c r="FK11" s="1603"/>
      <c r="FL11" s="1603"/>
      <c r="FM11" s="1603"/>
      <c r="FN11" s="1603"/>
      <c r="FO11" s="1603"/>
      <c r="FP11" s="1603"/>
      <c r="FQ11" s="1603"/>
      <c r="FR11" s="1603"/>
      <c r="FS11" s="1603"/>
      <c r="FT11" s="1603"/>
      <c r="FU11" s="1603"/>
      <c r="FV11" s="1603"/>
      <c r="FW11" s="1603"/>
      <c r="FX11" s="1603"/>
      <c r="FY11" s="1603"/>
      <c r="FZ11" s="1603"/>
      <c r="GA11" s="1603"/>
      <c r="GB11" s="1603"/>
      <c r="GC11" s="1603"/>
      <c r="GD11" s="1603"/>
      <c r="GE11" s="1603"/>
      <c r="GF11" s="1603"/>
      <c r="GG11" s="1603"/>
      <c r="GH11" s="1603"/>
      <c r="GI11" s="1603"/>
      <c r="GJ11" s="1603"/>
      <c r="GK11" s="1603"/>
      <c r="GL11" s="1603"/>
      <c r="GM11" s="1603"/>
      <c r="GN11" s="1603"/>
      <c r="GO11" s="1603"/>
      <c r="GP11" s="1603"/>
      <c r="GQ11" s="1603"/>
      <c r="GR11" s="1603"/>
      <c r="GS11" s="1603"/>
      <c r="GT11" s="1603"/>
      <c r="GU11" s="1603"/>
      <c r="GV11" s="1603"/>
      <c r="GW11" s="1603"/>
      <c r="GX11" s="1603"/>
      <c r="GY11" s="1603"/>
      <c r="GZ11" s="1603"/>
      <c r="HA11" s="1603"/>
      <c r="HB11" s="1603"/>
      <c r="HC11" s="1603"/>
      <c r="HD11" s="1603"/>
      <c r="HE11" s="1603"/>
      <c r="HF11" s="1603"/>
      <c r="HG11" s="1603"/>
      <c r="HH11" s="1603"/>
      <c r="HI11" s="1603"/>
      <c r="HJ11" s="1603"/>
      <c r="HK11" s="1603"/>
      <c r="HL11" s="1603"/>
      <c r="HM11" s="1603"/>
      <c r="HN11" s="1603"/>
      <c r="HO11" s="1603"/>
      <c r="HP11" s="1603"/>
      <c r="HQ11" s="1603"/>
      <c r="HR11" s="1603"/>
      <c r="HS11" s="1603"/>
      <c r="HT11" s="1603"/>
      <c r="HU11" s="1603"/>
      <c r="HV11" s="1603"/>
      <c r="HW11" s="1603"/>
      <c r="HX11" s="1603"/>
      <c r="HY11" s="1603"/>
      <c r="HZ11" s="1603"/>
      <c r="IA11" s="1603"/>
      <c r="IB11" s="1603"/>
      <c r="IC11" s="1603"/>
      <c r="ID11" s="1603"/>
      <c r="IE11" s="1603"/>
      <c r="IF11" s="1603"/>
      <c r="IG11" s="1603"/>
      <c r="IH11" s="1603"/>
      <c r="II11" s="1603"/>
      <c r="IJ11" s="1603"/>
      <c r="IK11" s="1603"/>
      <c r="IL11" s="1603"/>
      <c r="IM11" s="1603"/>
      <c r="IN11" s="1603"/>
      <c r="IO11" s="1603"/>
      <c r="IP11" s="1603"/>
      <c r="IQ11" s="1603"/>
      <c r="IR11" s="1603"/>
      <c r="IS11" s="1603"/>
      <c r="IT11" s="1603"/>
      <c r="IU11" s="1603"/>
      <c r="IV11" s="1603"/>
    </row>
    <row r="12" spans="1:257">
      <c r="A12" s="1604"/>
      <c r="B12" s="1605"/>
      <c r="C12" s="1606"/>
      <c r="D12" s="1607" t="s">
        <v>1324</v>
      </c>
      <c r="E12" s="1607" t="s">
        <v>1325</v>
      </c>
      <c r="F12" s="1607" t="s">
        <v>1326</v>
      </c>
      <c r="G12" s="1607" t="s">
        <v>1327</v>
      </c>
      <c r="H12" s="1607" t="s">
        <v>1309</v>
      </c>
      <c r="I12" s="1608" t="s">
        <v>1328</v>
      </c>
      <c r="J12" s="1608" t="s">
        <v>1328</v>
      </c>
      <c r="K12" s="1604"/>
      <c r="L12" s="1605"/>
      <c r="M12" s="1606"/>
      <c r="N12" s="1605"/>
      <c r="O12" s="1608" t="s">
        <v>1329</v>
      </c>
      <c r="P12" s="1608">
        <v>0.5</v>
      </c>
      <c r="Q12" s="1608">
        <v>1</v>
      </c>
      <c r="R12" s="1608">
        <v>2</v>
      </c>
      <c r="S12" s="1608">
        <v>3</v>
      </c>
      <c r="T12" s="1608">
        <v>5</v>
      </c>
      <c r="U12" s="1608">
        <v>1</v>
      </c>
      <c r="V12" s="1608">
        <v>3</v>
      </c>
      <c r="W12" s="1608">
        <v>5</v>
      </c>
      <c r="X12" s="1605"/>
      <c r="Y12" s="1605"/>
      <c r="Z12" s="1605"/>
      <c r="AA12" s="1609"/>
      <c r="AB12" s="1609"/>
      <c r="AC12" s="1609"/>
      <c r="AD12" s="1609"/>
      <c r="AE12" s="1609"/>
      <c r="AF12" s="1609"/>
      <c r="AG12" s="1609"/>
      <c r="AH12" s="1609"/>
      <c r="AI12" s="1609"/>
      <c r="AJ12" s="1609"/>
      <c r="AK12" s="1609"/>
      <c r="AL12" s="1609"/>
      <c r="AM12" s="1609"/>
      <c r="AN12" s="1609"/>
      <c r="AO12" s="1609"/>
      <c r="AP12" s="1609"/>
      <c r="AQ12" s="1609"/>
      <c r="AR12" s="1609"/>
      <c r="AS12" s="1609"/>
      <c r="AT12" s="1609"/>
      <c r="AU12" s="1609"/>
      <c r="AV12" s="1609"/>
      <c r="AW12" s="1609"/>
      <c r="AX12" s="1609"/>
      <c r="AY12" s="1609"/>
      <c r="AZ12" s="1609"/>
      <c r="BA12" s="1609"/>
      <c r="BB12" s="1609"/>
      <c r="BC12" s="1609"/>
      <c r="BD12" s="1609"/>
      <c r="BE12" s="1609"/>
      <c r="BF12" s="1609"/>
      <c r="BG12" s="1609"/>
      <c r="BH12" s="1609"/>
      <c r="BI12" s="1609"/>
      <c r="BJ12" s="1609"/>
      <c r="BK12" s="1609"/>
      <c r="BL12" s="1609"/>
      <c r="BM12" s="1609"/>
      <c r="BN12" s="1609"/>
      <c r="BO12" s="1609"/>
      <c r="BP12" s="1609"/>
      <c r="BQ12" s="1609"/>
      <c r="BR12" s="1609"/>
      <c r="BS12" s="1609"/>
      <c r="BT12" s="1609"/>
      <c r="BU12" s="1609"/>
      <c r="BV12" s="1609"/>
      <c r="BW12" s="1609"/>
      <c r="BX12" s="1609"/>
      <c r="BY12" s="1609"/>
      <c r="BZ12" s="1609"/>
      <c r="CA12" s="1609"/>
      <c r="CB12" s="1609"/>
      <c r="CC12" s="1609"/>
      <c r="CD12" s="1609"/>
      <c r="CE12" s="1609"/>
      <c r="CF12" s="1609"/>
      <c r="CG12" s="1609"/>
      <c r="CH12" s="1609"/>
      <c r="CI12" s="1609"/>
      <c r="CJ12" s="1609"/>
      <c r="CK12" s="1609"/>
      <c r="CL12" s="1609"/>
      <c r="CM12" s="1609"/>
      <c r="CN12" s="1609"/>
      <c r="CO12" s="1609"/>
      <c r="CP12" s="1609"/>
      <c r="CQ12" s="1609"/>
      <c r="CR12" s="1609"/>
      <c r="CS12" s="1609"/>
      <c r="CT12" s="1609"/>
      <c r="CU12" s="1609"/>
      <c r="CV12" s="1609"/>
      <c r="CW12" s="1609"/>
      <c r="CX12" s="1609"/>
      <c r="CY12" s="1609"/>
      <c r="CZ12" s="1609"/>
      <c r="DA12" s="1609"/>
      <c r="DB12" s="1609"/>
      <c r="DC12" s="1609"/>
      <c r="DD12" s="1609"/>
      <c r="DE12" s="1609"/>
      <c r="DF12" s="1609"/>
      <c r="DG12" s="1609"/>
      <c r="DH12" s="1609"/>
      <c r="DI12" s="1609"/>
      <c r="DJ12" s="1609"/>
      <c r="DK12" s="1609"/>
      <c r="DL12" s="1609"/>
      <c r="DM12" s="1609"/>
      <c r="DN12" s="1609"/>
      <c r="DO12" s="1609"/>
      <c r="DP12" s="1609"/>
      <c r="DQ12" s="1609"/>
      <c r="DR12" s="1609"/>
      <c r="DS12" s="1609"/>
      <c r="DT12" s="1609"/>
      <c r="DU12" s="1609"/>
      <c r="DV12" s="1609"/>
      <c r="DW12" s="1609"/>
      <c r="DX12" s="1609"/>
      <c r="DY12" s="1609"/>
      <c r="DZ12" s="1609"/>
      <c r="EA12" s="1609"/>
      <c r="EB12" s="1609"/>
      <c r="EC12" s="1609"/>
      <c r="ED12" s="1609"/>
      <c r="EE12" s="1609"/>
      <c r="EF12" s="1609"/>
      <c r="EG12" s="1609"/>
      <c r="EH12" s="1609"/>
      <c r="EI12" s="1609"/>
      <c r="EJ12" s="1609"/>
      <c r="EK12" s="1609"/>
      <c r="EL12" s="1609"/>
      <c r="EM12" s="1609"/>
      <c r="EN12" s="1609"/>
      <c r="EO12" s="1609"/>
      <c r="EP12" s="1609"/>
      <c r="EQ12" s="1609"/>
      <c r="ER12" s="1609"/>
      <c r="ES12" s="1609"/>
      <c r="ET12" s="1609"/>
      <c r="EU12" s="1609"/>
      <c r="EV12" s="1609"/>
      <c r="EW12" s="1609"/>
      <c r="EX12" s="1609"/>
      <c r="EY12" s="1609"/>
      <c r="EZ12" s="1609"/>
      <c r="FA12" s="1609"/>
      <c r="FB12" s="1609"/>
      <c r="FC12" s="1609"/>
      <c r="FD12" s="1609"/>
      <c r="FE12" s="1609"/>
      <c r="FF12" s="1609"/>
      <c r="FG12" s="1609"/>
      <c r="FH12" s="1609"/>
      <c r="FI12" s="1609"/>
      <c r="FJ12" s="1609"/>
      <c r="FK12" s="1609"/>
      <c r="FL12" s="1609"/>
      <c r="FM12" s="1609"/>
      <c r="FN12" s="1609"/>
      <c r="FO12" s="1609"/>
      <c r="FP12" s="1609"/>
      <c r="FQ12" s="1609"/>
      <c r="FR12" s="1609"/>
      <c r="FS12" s="1609"/>
      <c r="FT12" s="1609"/>
      <c r="FU12" s="1609"/>
      <c r="FV12" s="1609"/>
      <c r="FW12" s="1609"/>
      <c r="FX12" s="1609"/>
      <c r="FY12" s="1609"/>
      <c r="FZ12" s="1609"/>
      <c r="GA12" s="1609"/>
      <c r="GB12" s="1609"/>
      <c r="GC12" s="1609"/>
      <c r="GD12" s="1609"/>
      <c r="GE12" s="1609"/>
      <c r="GF12" s="1609"/>
      <c r="GG12" s="1609"/>
      <c r="GH12" s="1609"/>
      <c r="GI12" s="1609"/>
      <c r="GJ12" s="1609"/>
      <c r="GK12" s="1609"/>
      <c r="GL12" s="1609"/>
      <c r="GM12" s="1609"/>
      <c r="GN12" s="1609"/>
      <c r="GO12" s="1609"/>
      <c r="GP12" s="1609"/>
      <c r="GQ12" s="1609"/>
      <c r="GR12" s="1609"/>
      <c r="GS12" s="1609"/>
      <c r="GT12" s="1609"/>
      <c r="GU12" s="1609"/>
      <c r="GV12" s="1609"/>
      <c r="GW12" s="1609"/>
      <c r="GX12" s="1609"/>
      <c r="GY12" s="1609"/>
      <c r="GZ12" s="1609"/>
      <c r="HA12" s="1609"/>
      <c r="HB12" s="1609"/>
      <c r="HC12" s="1609"/>
      <c r="HD12" s="1609"/>
      <c r="HE12" s="1609"/>
      <c r="HF12" s="1609"/>
      <c r="HG12" s="1609"/>
      <c r="HH12" s="1609"/>
      <c r="HI12" s="1609"/>
      <c r="HJ12" s="1609"/>
      <c r="HK12" s="1609"/>
      <c r="HL12" s="1609"/>
      <c r="HM12" s="1609"/>
      <c r="HN12" s="1609"/>
      <c r="HO12" s="1609"/>
      <c r="HP12" s="1609"/>
      <c r="HQ12" s="1609"/>
      <c r="HR12" s="1609"/>
      <c r="HS12" s="1609"/>
      <c r="HT12" s="1609"/>
      <c r="HU12" s="1609"/>
      <c r="HV12" s="1609"/>
      <c r="HW12" s="1609"/>
      <c r="HX12" s="1609"/>
      <c r="HY12" s="1609"/>
      <c r="HZ12" s="1609"/>
      <c r="IA12" s="1609"/>
      <c r="IB12" s="1609"/>
      <c r="IC12" s="1609"/>
      <c r="ID12" s="1609"/>
      <c r="IE12" s="1609"/>
      <c r="IF12" s="1609"/>
      <c r="IG12" s="1609"/>
      <c r="IH12" s="1609"/>
      <c r="II12" s="1609"/>
      <c r="IJ12" s="1609"/>
      <c r="IK12" s="1609"/>
      <c r="IL12" s="1609"/>
      <c r="IM12" s="1609"/>
      <c r="IN12" s="1609"/>
      <c r="IO12" s="1609"/>
      <c r="IP12" s="1609"/>
      <c r="IQ12" s="1609"/>
      <c r="IR12" s="1609"/>
      <c r="IS12" s="1609"/>
      <c r="IT12" s="1609"/>
      <c r="IU12" s="1609"/>
      <c r="IV12" s="1609"/>
    </row>
    <row r="13" spans="1:257" ht="14.25">
      <c r="A13" s="1610"/>
      <c r="B13" s="1611" t="s">
        <v>1330</v>
      </c>
      <c r="C13" s="1612">
        <v>42301</v>
      </c>
      <c r="D13" s="1613">
        <v>4.3499999999999996</v>
      </c>
      <c r="E13" s="1613">
        <v>4.3499999999999996</v>
      </c>
      <c r="F13" s="1613">
        <v>4.75</v>
      </c>
      <c r="G13" s="1613">
        <v>4.75</v>
      </c>
      <c r="H13" s="1613">
        <v>4.9000000000000004</v>
      </c>
      <c r="I13" s="1613">
        <v>2.75</v>
      </c>
      <c r="J13" s="1613">
        <v>3.25</v>
      </c>
      <c r="K13" s="1610"/>
      <c r="L13" s="1611" t="s">
        <v>1330</v>
      </c>
      <c r="M13" s="1614">
        <v>42301</v>
      </c>
      <c r="N13" s="1613">
        <v>0.35</v>
      </c>
      <c r="O13" s="1613">
        <v>1.1000000000000001</v>
      </c>
      <c r="P13" s="1613">
        <v>1.3</v>
      </c>
      <c r="Q13" s="1613">
        <v>1.5</v>
      </c>
      <c r="R13" s="1613">
        <v>2.1</v>
      </c>
      <c r="S13" s="1613">
        <v>2.75</v>
      </c>
      <c r="T13" s="1613"/>
      <c r="U13" s="1613"/>
      <c r="V13" s="1613"/>
      <c r="W13" s="1613"/>
      <c r="X13" s="1613"/>
      <c r="Y13" s="1613"/>
      <c r="Z13" s="1613"/>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C13" s="1615"/>
      <c r="BD13" s="1615"/>
      <c r="BE13" s="1615"/>
      <c r="BF13" s="1615"/>
      <c r="BG13" s="1615"/>
      <c r="BH13" s="1615"/>
      <c r="BI13" s="1615"/>
      <c r="BJ13" s="1615"/>
      <c r="BK13" s="1615"/>
      <c r="BL13" s="1615"/>
      <c r="BM13" s="1615"/>
      <c r="BN13" s="1615"/>
      <c r="BO13" s="1615"/>
      <c r="BP13" s="1615"/>
      <c r="BQ13" s="1615"/>
      <c r="BR13" s="1615"/>
      <c r="BS13" s="1615"/>
      <c r="BT13" s="1615"/>
      <c r="BU13" s="1615"/>
      <c r="BV13" s="1615"/>
      <c r="BW13" s="1615"/>
      <c r="BX13" s="1615"/>
      <c r="BY13" s="1615"/>
      <c r="BZ13" s="1615"/>
      <c r="CA13" s="1615"/>
      <c r="CB13" s="1615"/>
      <c r="CC13" s="1615"/>
      <c r="CD13" s="1615"/>
      <c r="CE13" s="1615"/>
      <c r="CF13" s="1615"/>
      <c r="CG13" s="1615"/>
      <c r="CH13" s="1615"/>
      <c r="CI13" s="1615"/>
      <c r="CJ13" s="1615"/>
      <c r="CK13" s="1615"/>
      <c r="CL13" s="1615"/>
      <c r="CM13" s="1615"/>
      <c r="CN13" s="1615"/>
      <c r="CO13" s="1615"/>
      <c r="CP13" s="1615"/>
      <c r="CQ13" s="1615"/>
      <c r="CR13" s="1615"/>
      <c r="CS13" s="1615"/>
      <c r="CT13" s="1615"/>
      <c r="CU13" s="1615"/>
      <c r="CV13" s="1615"/>
      <c r="CW13" s="1615"/>
      <c r="CX13" s="1615"/>
      <c r="CY13" s="1615"/>
      <c r="CZ13" s="1615"/>
      <c r="DA13" s="1615"/>
      <c r="DB13" s="1615"/>
      <c r="DC13" s="1615"/>
      <c r="DD13" s="1615"/>
      <c r="DE13" s="1615"/>
      <c r="DF13" s="1615"/>
      <c r="DG13" s="1615"/>
      <c r="DH13" s="1615"/>
      <c r="DI13" s="1615"/>
      <c r="DJ13" s="1615"/>
      <c r="DK13" s="1615"/>
      <c r="DL13" s="1615"/>
      <c r="DM13" s="1615"/>
      <c r="DN13" s="1615"/>
      <c r="DO13" s="1615"/>
      <c r="DP13" s="1615"/>
      <c r="DQ13" s="1615"/>
      <c r="DR13" s="1615"/>
      <c r="DS13" s="1615"/>
      <c r="DT13" s="1615"/>
      <c r="DU13" s="1615"/>
      <c r="DV13" s="1615"/>
      <c r="DW13" s="1615"/>
      <c r="DX13" s="1615"/>
      <c r="DY13" s="1615"/>
      <c r="DZ13" s="1615"/>
      <c r="EA13" s="1615"/>
      <c r="EB13" s="1615"/>
      <c r="EC13" s="1615"/>
      <c r="ED13" s="1615"/>
      <c r="EE13" s="1615"/>
      <c r="EF13" s="1615"/>
      <c r="EG13" s="1615"/>
      <c r="EH13" s="1615"/>
      <c r="EI13" s="1615"/>
      <c r="EJ13" s="1615"/>
      <c r="EK13" s="1615"/>
      <c r="EL13" s="1615"/>
      <c r="EM13" s="1615"/>
      <c r="EN13" s="1615"/>
      <c r="EO13" s="1615"/>
      <c r="EP13" s="1615"/>
      <c r="EQ13" s="1615"/>
      <c r="ER13" s="1615"/>
      <c r="ES13" s="1615"/>
      <c r="ET13" s="1615"/>
      <c r="EU13" s="1615"/>
      <c r="EV13" s="1615"/>
      <c r="EW13" s="1615"/>
      <c r="EX13" s="1615"/>
      <c r="EY13" s="1615"/>
      <c r="EZ13" s="1615"/>
      <c r="FA13" s="1615"/>
      <c r="FB13" s="1615"/>
      <c r="FC13" s="1615"/>
      <c r="FD13" s="1615"/>
      <c r="FE13" s="1615"/>
      <c r="FF13" s="1615"/>
      <c r="FG13" s="1615"/>
      <c r="FH13" s="1615"/>
      <c r="FI13" s="1615"/>
      <c r="FJ13" s="1615"/>
      <c r="FK13" s="1615"/>
      <c r="FL13" s="1615"/>
      <c r="FM13" s="1615"/>
      <c r="FN13" s="1615"/>
      <c r="FO13" s="1615"/>
      <c r="FP13" s="1615"/>
      <c r="FQ13" s="1615"/>
      <c r="FR13" s="1615"/>
      <c r="FS13" s="1615"/>
      <c r="FT13" s="1615"/>
      <c r="FU13" s="1615"/>
      <c r="FV13" s="1615"/>
      <c r="FW13" s="1615"/>
      <c r="FX13" s="1615"/>
      <c r="FY13" s="1615"/>
      <c r="FZ13" s="1615"/>
      <c r="GA13" s="1615"/>
      <c r="GB13" s="1615"/>
      <c r="GC13" s="1615"/>
      <c r="GD13" s="1615"/>
      <c r="GE13" s="1615"/>
      <c r="GF13" s="1615"/>
      <c r="GG13" s="1615"/>
      <c r="GH13" s="1615"/>
      <c r="GI13" s="1615"/>
      <c r="GJ13" s="1615"/>
      <c r="GK13" s="1615"/>
      <c r="GL13" s="1615"/>
      <c r="GM13" s="1615"/>
      <c r="GN13" s="1615"/>
      <c r="GO13" s="1615"/>
      <c r="GP13" s="1615"/>
      <c r="GQ13" s="1615"/>
      <c r="GR13" s="1615"/>
      <c r="GS13" s="1615"/>
      <c r="GT13" s="1615"/>
      <c r="GU13" s="1615"/>
      <c r="GV13" s="1615"/>
      <c r="GW13" s="1615"/>
      <c r="GX13" s="1615"/>
      <c r="GY13" s="1615"/>
      <c r="GZ13" s="1615"/>
      <c r="HA13" s="1615"/>
      <c r="HB13" s="1615"/>
      <c r="HC13" s="1615"/>
      <c r="HD13" s="1615"/>
      <c r="HE13" s="1615"/>
      <c r="HF13" s="1615"/>
      <c r="HG13" s="1615"/>
      <c r="HH13" s="1615"/>
      <c r="HI13" s="1615"/>
      <c r="HJ13" s="1615"/>
      <c r="HK13" s="1615"/>
      <c r="HL13" s="1615"/>
      <c r="HM13" s="1615"/>
      <c r="HN13" s="1615"/>
      <c r="HO13" s="1615"/>
      <c r="HP13" s="1615"/>
      <c r="HQ13" s="1615"/>
      <c r="HR13" s="1615"/>
      <c r="HS13" s="1615"/>
      <c r="HT13" s="1615"/>
      <c r="HU13" s="1615"/>
      <c r="HV13" s="1615"/>
      <c r="HW13" s="1615"/>
      <c r="HX13" s="1615"/>
      <c r="HY13" s="1615"/>
      <c r="HZ13" s="1615"/>
      <c r="IA13" s="1615"/>
      <c r="IB13" s="1615"/>
      <c r="IC13" s="1615"/>
      <c r="ID13" s="1615"/>
      <c r="IE13" s="1615"/>
      <c r="IF13" s="1615"/>
      <c r="IG13" s="1615"/>
      <c r="IH13" s="1615"/>
      <c r="II13" s="1615"/>
      <c r="IJ13" s="1615"/>
      <c r="IK13" s="1615"/>
      <c r="IL13" s="1615"/>
      <c r="IM13" s="1615"/>
      <c r="IN13" s="1615"/>
      <c r="IO13" s="1615"/>
      <c r="IP13" s="1615"/>
      <c r="IQ13" s="1615"/>
      <c r="IR13" s="1615"/>
      <c r="IS13" s="1615"/>
      <c r="IT13" s="1615"/>
      <c r="IU13" s="1615"/>
      <c r="IV13" s="1615"/>
      <c r="IW13" s="1616"/>
    </row>
    <row r="14" spans="1:257">
      <c r="B14" s="1617"/>
      <c r="C14" s="1618">
        <v>42242</v>
      </c>
      <c r="D14" s="1617">
        <v>4.5999999999999996</v>
      </c>
      <c r="E14" s="1617">
        <v>4.5999999999999996</v>
      </c>
      <c r="F14" s="1617">
        <v>5</v>
      </c>
      <c r="G14" s="1617">
        <v>5</v>
      </c>
      <c r="H14" s="1617">
        <v>5.15</v>
      </c>
      <c r="I14" s="1617">
        <v>2.75</v>
      </c>
      <c r="J14" s="1617">
        <v>3.25</v>
      </c>
      <c r="L14" s="1617"/>
      <c r="M14" s="1618">
        <v>42242</v>
      </c>
      <c r="N14" s="1617">
        <v>0.35</v>
      </c>
      <c r="O14" s="1617">
        <v>1.35</v>
      </c>
      <c r="P14" s="1617">
        <v>1.55</v>
      </c>
      <c r="Q14" s="1617">
        <v>1.75</v>
      </c>
      <c r="R14" s="1617">
        <v>2.35</v>
      </c>
      <c r="S14" s="1617">
        <v>3</v>
      </c>
      <c r="T14" s="1617"/>
      <c r="U14" s="1617"/>
      <c r="V14" s="1617"/>
      <c r="W14" s="1617"/>
      <c r="X14" s="1617"/>
      <c r="Y14" s="1617"/>
      <c r="Z14" s="1617"/>
    </row>
    <row r="15" spans="1:257">
      <c r="B15" s="1617"/>
      <c r="C15" s="1618">
        <v>42183</v>
      </c>
      <c r="D15" s="1617">
        <v>4.8499999999999996</v>
      </c>
      <c r="E15" s="1617">
        <v>4.8499999999999996</v>
      </c>
      <c r="F15" s="1617">
        <v>5.25</v>
      </c>
      <c r="G15" s="1617">
        <v>5.25</v>
      </c>
      <c r="H15" s="1617">
        <v>5.4</v>
      </c>
      <c r="I15" s="1617">
        <v>3</v>
      </c>
      <c r="J15" s="1617">
        <v>3.5</v>
      </c>
      <c r="L15" s="1617"/>
      <c r="M15" s="1618">
        <v>42183</v>
      </c>
      <c r="N15" s="1617">
        <v>0.35</v>
      </c>
      <c r="O15" s="1617">
        <v>1.6</v>
      </c>
      <c r="P15" s="1617">
        <v>1.8</v>
      </c>
      <c r="Q15" s="1617">
        <v>2</v>
      </c>
      <c r="R15" s="1617">
        <v>2.6</v>
      </c>
      <c r="S15" s="1617">
        <v>3.25</v>
      </c>
      <c r="T15" s="1617"/>
      <c r="U15" s="1617"/>
      <c r="V15" s="1617"/>
      <c r="W15" s="1617"/>
      <c r="X15" s="1617"/>
      <c r="Y15" s="1617"/>
      <c r="Z15" s="1617"/>
    </row>
    <row r="16" spans="1:257">
      <c r="B16" s="1617"/>
      <c r="C16" s="1618">
        <v>42135</v>
      </c>
      <c r="D16" s="1617">
        <v>5.0999999999999996</v>
      </c>
      <c r="E16" s="1617">
        <v>5.0999999999999996</v>
      </c>
      <c r="F16" s="1617">
        <v>5.5</v>
      </c>
      <c r="G16" s="1617">
        <v>5.5</v>
      </c>
      <c r="H16" s="1617">
        <v>5.65</v>
      </c>
      <c r="I16" s="1617">
        <v>3.25</v>
      </c>
      <c r="J16" s="1617">
        <v>3.75</v>
      </c>
      <c r="L16" s="1617"/>
      <c r="M16" s="1618">
        <v>42135</v>
      </c>
      <c r="N16" s="1617">
        <v>0.35</v>
      </c>
      <c r="O16" s="1617">
        <v>1.85</v>
      </c>
      <c r="P16" s="1617">
        <v>2.0499999999999998</v>
      </c>
      <c r="Q16" s="1617">
        <v>2.25</v>
      </c>
      <c r="R16" s="1617">
        <v>2.85</v>
      </c>
      <c r="S16" s="1617">
        <v>3.5</v>
      </c>
      <c r="T16" s="1617"/>
      <c r="U16" s="1617"/>
      <c r="V16" s="1617"/>
      <c r="W16" s="1617"/>
      <c r="X16" s="1617"/>
      <c r="Y16" s="1617"/>
      <c r="Z16" s="1617"/>
    </row>
    <row r="17" spans="2:26">
      <c r="B17" s="1617"/>
      <c r="C17" s="1618">
        <v>42064</v>
      </c>
      <c r="D17" s="1617">
        <v>5.35</v>
      </c>
      <c r="E17" s="1617">
        <v>5.35</v>
      </c>
      <c r="F17" s="1617">
        <v>5.75</v>
      </c>
      <c r="G17" s="1617">
        <v>5.75</v>
      </c>
      <c r="H17" s="1617">
        <v>5.9</v>
      </c>
      <c r="I17" s="1617"/>
      <c r="J17" s="1617"/>
      <c r="L17" s="1617"/>
      <c r="M17" s="1618">
        <v>42064</v>
      </c>
      <c r="N17" s="1617">
        <v>0.35</v>
      </c>
      <c r="O17" s="1617">
        <v>2.1</v>
      </c>
      <c r="P17" s="1617">
        <v>2.2999999999999998</v>
      </c>
      <c r="Q17" s="1617">
        <v>2.5</v>
      </c>
      <c r="R17" s="1617">
        <v>3.1</v>
      </c>
      <c r="S17" s="1617">
        <v>3.75</v>
      </c>
      <c r="T17" s="1617">
        <v>4.5</v>
      </c>
      <c r="U17" s="1617">
        <v>2.35</v>
      </c>
      <c r="V17" s="1617">
        <v>2.5499999999999998</v>
      </c>
      <c r="W17" s="1617">
        <v>2.75</v>
      </c>
      <c r="X17" s="1617"/>
      <c r="Y17" s="1617">
        <v>0.8</v>
      </c>
      <c r="Z17" s="1617">
        <v>1.35</v>
      </c>
    </row>
    <row r="18" spans="2:26" ht="15">
      <c r="B18" s="1617"/>
      <c r="C18" s="1618">
        <v>41965</v>
      </c>
      <c r="D18" s="1617">
        <v>5.6</v>
      </c>
      <c r="E18" s="1617">
        <v>5.6</v>
      </c>
      <c r="F18" s="1617">
        <v>6</v>
      </c>
      <c r="G18" s="1617">
        <v>6</v>
      </c>
      <c r="H18" s="1617">
        <v>6.15</v>
      </c>
      <c r="I18" s="1617"/>
      <c r="J18" s="1617"/>
      <c r="L18" s="1617"/>
      <c r="M18" s="1618">
        <v>41965</v>
      </c>
      <c r="N18" s="1617">
        <v>0.35</v>
      </c>
      <c r="O18" s="1617">
        <v>2.35</v>
      </c>
      <c r="P18" s="1617">
        <v>2.5499999999999998</v>
      </c>
      <c r="Q18" s="1617">
        <v>2.75</v>
      </c>
      <c r="R18" s="1617">
        <v>3.35</v>
      </c>
      <c r="S18" s="1617">
        <v>4</v>
      </c>
      <c r="T18" s="1617">
        <v>4.75</v>
      </c>
      <c r="U18" s="1619">
        <v>2.35</v>
      </c>
      <c r="V18" s="1619">
        <v>2.5499999999999998</v>
      </c>
      <c r="W18" s="1619">
        <v>2.75</v>
      </c>
      <c r="X18" s="1617"/>
      <c r="Y18" s="1619">
        <v>0.8</v>
      </c>
      <c r="Z18" s="1619">
        <v>1.35</v>
      </c>
    </row>
    <row r="19" spans="2:26">
      <c r="B19" s="1617"/>
      <c r="C19" s="1618">
        <v>41096</v>
      </c>
      <c r="D19" s="1617">
        <v>5.6</v>
      </c>
      <c r="E19" s="1617">
        <v>6</v>
      </c>
      <c r="F19" s="1617">
        <v>6.15</v>
      </c>
      <c r="G19" s="1617">
        <v>6.4</v>
      </c>
      <c r="H19" s="1617">
        <v>6.55</v>
      </c>
      <c r="I19" s="1617">
        <v>4</v>
      </c>
      <c r="J19" s="1617">
        <v>4.5</v>
      </c>
      <c r="L19" s="1617"/>
      <c r="M19" s="1618">
        <v>41096</v>
      </c>
      <c r="N19" s="1617">
        <v>0.35</v>
      </c>
      <c r="O19" s="1617">
        <v>2.6</v>
      </c>
      <c r="P19" s="1617">
        <v>2.8</v>
      </c>
      <c r="Q19" s="1617">
        <v>3</v>
      </c>
      <c r="R19" s="1617">
        <v>3.75</v>
      </c>
      <c r="S19" s="1617">
        <v>4.25</v>
      </c>
      <c r="T19" s="1617">
        <v>4.75</v>
      </c>
      <c r="U19" s="1617">
        <v>2.85</v>
      </c>
      <c r="V19" s="1617">
        <v>2.9</v>
      </c>
      <c r="W19" s="1617">
        <v>3</v>
      </c>
      <c r="X19" s="1617">
        <v>1.1499999999999999</v>
      </c>
      <c r="Y19" s="1617">
        <v>0.8</v>
      </c>
      <c r="Z19" s="1617">
        <v>1.35</v>
      </c>
    </row>
    <row r="20" spans="2:26">
      <c r="B20" s="1617"/>
      <c r="C20" s="1618">
        <v>41068</v>
      </c>
      <c r="D20" s="1617">
        <v>5.85</v>
      </c>
      <c r="E20" s="1617">
        <v>6.31</v>
      </c>
      <c r="F20" s="1617">
        <v>6.4</v>
      </c>
      <c r="G20" s="1617">
        <v>6.65</v>
      </c>
      <c r="H20" s="1617">
        <v>6.8</v>
      </c>
      <c r="I20" s="1617">
        <v>4.2</v>
      </c>
      <c r="J20" s="1617">
        <v>4.7</v>
      </c>
      <c r="L20" s="1617"/>
      <c r="M20" s="1618">
        <v>41068</v>
      </c>
      <c r="N20" s="1617">
        <v>0.4</v>
      </c>
      <c r="O20" s="1617">
        <v>2.85</v>
      </c>
      <c r="P20" s="1617">
        <v>3.05</v>
      </c>
      <c r="Q20" s="1617">
        <v>3.25</v>
      </c>
      <c r="R20" s="1617">
        <v>4.0999999999999996</v>
      </c>
      <c r="S20" s="1617">
        <v>4.6500000000000004</v>
      </c>
      <c r="T20" s="1617">
        <v>5.0999999999999996</v>
      </c>
      <c r="U20" s="1617">
        <v>3.1</v>
      </c>
      <c r="V20" s="1617">
        <v>3.15</v>
      </c>
      <c r="W20" s="1617">
        <v>3.25</v>
      </c>
      <c r="X20" s="1617">
        <v>1.31</v>
      </c>
      <c r="Y20" s="1617">
        <v>0.94</v>
      </c>
      <c r="Z20" s="1617">
        <v>1.49</v>
      </c>
    </row>
    <row r="21" spans="2:26">
      <c r="B21" s="1617"/>
      <c r="C21" s="1618">
        <v>40731</v>
      </c>
      <c r="D21" s="1617">
        <v>6.1</v>
      </c>
      <c r="E21" s="1617">
        <v>6.56</v>
      </c>
      <c r="F21" s="1617">
        <v>6.65</v>
      </c>
      <c r="G21" s="1617">
        <v>6.9</v>
      </c>
      <c r="H21" s="1617">
        <v>7.05</v>
      </c>
      <c r="I21" s="1617">
        <v>4.45</v>
      </c>
      <c r="J21" s="1617">
        <v>4.9000000000000004</v>
      </c>
      <c r="L21" s="1617"/>
      <c r="M21" s="1618">
        <v>40731</v>
      </c>
      <c r="N21" s="1617">
        <v>0.5</v>
      </c>
      <c r="O21" s="1617">
        <v>3.1</v>
      </c>
      <c r="P21" s="1617">
        <v>3.3</v>
      </c>
      <c r="Q21" s="1617">
        <v>3.5</v>
      </c>
      <c r="R21" s="1617">
        <v>4.4000000000000004</v>
      </c>
      <c r="S21" s="1617">
        <v>5</v>
      </c>
      <c r="T21" s="1617">
        <v>5.5</v>
      </c>
      <c r="U21" s="1617">
        <v>3.1</v>
      </c>
      <c r="V21" s="1617">
        <v>3.3</v>
      </c>
      <c r="W21" s="1617">
        <v>3.5</v>
      </c>
      <c r="X21" s="1617">
        <v>1.31</v>
      </c>
      <c r="Y21" s="1617">
        <v>0.95</v>
      </c>
      <c r="Z21" s="1617">
        <v>1.49</v>
      </c>
    </row>
    <row r="22" spans="2:26">
      <c r="B22" s="1617"/>
      <c r="C22" s="1618">
        <v>40639</v>
      </c>
      <c r="D22" s="1617">
        <v>5.85</v>
      </c>
      <c r="E22" s="1617">
        <v>6.31</v>
      </c>
      <c r="F22" s="1617">
        <v>6.4</v>
      </c>
      <c r="G22" s="1617">
        <v>6.65</v>
      </c>
      <c r="H22" s="1617">
        <v>6.8</v>
      </c>
      <c r="I22" s="1617">
        <v>4.2</v>
      </c>
      <c r="J22" s="1617">
        <v>4.7</v>
      </c>
      <c r="L22" s="1617"/>
      <c r="M22" s="1618">
        <v>40639</v>
      </c>
      <c r="N22" s="1617">
        <v>0.5</v>
      </c>
      <c r="O22" s="1617">
        <v>2.85</v>
      </c>
      <c r="P22" s="1617">
        <v>3.05</v>
      </c>
      <c r="Q22" s="1617">
        <v>3.25</v>
      </c>
      <c r="R22" s="1617">
        <v>4.1500000000000004</v>
      </c>
      <c r="S22" s="1617">
        <v>4.75</v>
      </c>
      <c r="T22" s="1617">
        <v>5.25</v>
      </c>
      <c r="U22" s="1617">
        <v>2.85</v>
      </c>
      <c r="V22" s="1617">
        <v>3.05</v>
      </c>
      <c r="W22" s="1617">
        <v>3.25</v>
      </c>
      <c r="X22" s="1617">
        <v>1.31</v>
      </c>
      <c r="Y22" s="1617">
        <v>0.95</v>
      </c>
      <c r="Z22" s="1617">
        <v>1.49</v>
      </c>
    </row>
    <row r="23" spans="2:26">
      <c r="B23" s="1617"/>
      <c r="C23" s="1618">
        <v>40583</v>
      </c>
      <c r="D23" s="1617">
        <v>5.6</v>
      </c>
      <c r="E23" s="1617">
        <v>6.06</v>
      </c>
      <c r="F23" s="1617">
        <v>6.1</v>
      </c>
      <c r="G23" s="1617">
        <v>6.45</v>
      </c>
      <c r="H23" s="1617">
        <v>6.6</v>
      </c>
      <c r="I23" s="1617">
        <v>4</v>
      </c>
      <c r="J23" s="1617">
        <v>4.5</v>
      </c>
      <c r="L23" s="1617"/>
      <c r="M23" s="1618">
        <v>40583</v>
      </c>
      <c r="N23" s="1617">
        <v>0.4</v>
      </c>
      <c r="O23" s="1617">
        <v>2.6</v>
      </c>
      <c r="P23" s="1617">
        <v>2.8</v>
      </c>
      <c r="Q23" s="1617">
        <v>3</v>
      </c>
      <c r="R23" s="1617">
        <v>3.9</v>
      </c>
      <c r="S23" s="1617">
        <v>4.5</v>
      </c>
      <c r="T23" s="1617">
        <v>5</v>
      </c>
      <c r="U23" s="1617">
        <v>2.6</v>
      </c>
      <c r="V23" s="1617">
        <v>2.8</v>
      </c>
      <c r="W23" s="1617">
        <v>3</v>
      </c>
      <c r="X23" s="1617">
        <v>1.21</v>
      </c>
      <c r="Y23" s="1617">
        <v>0.85</v>
      </c>
      <c r="Z23" s="1617">
        <v>1.39</v>
      </c>
    </row>
    <row r="24" spans="2:26">
      <c r="B24" s="1617"/>
      <c r="C24" s="1618">
        <v>40538</v>
      </c>
      <c r="D24" s="1617">
        <v>5.35</v>
      </c>
      <c r="E24" s="1617">
        <v>5.81</v>
      </c>
      <c r="F24" s="1617">
        <v>5.85</v>
      </c>
      <c r="G24" s="1617">
        <v>6.22</v>
      </c>
      <c r="H24" s="1617">
        <v>6.4</v>
      </c>
      <c r="I24" s="1617">
        <v>3.75</v>
      </c>
      <c r="J24" s="1617">
        <v>4.3</v>
      </c>
      <c r="L24" s="1617"/>
      <c r="M24" s="1618">
        <v>40538</v>
      </c>
      <c r="N24" s="1617">
        <v>0.36</v>
      </c>
      <c r="O24" s="1617">
        <v>2.25</v>
      </c>
      <c r="P24" s="1617">
        <v>2.5</v>
      </c>
      <c r="Q24" s="1617">
        <v>2.75</v>
      </c>
      <c r="R24" s="1617">
        <v>3.55</v>
      </c>
      <c r="S24" s="1617">
        <v>4.1500000000000004</v>
      </c>
      <c r="T24" s="1617">
        <v>4.55</v>
      </c>
      <c r="U24" s="1617">
        <v>2.16</v>
      </c>
      <c r="V24" s="1617">
        <v>2.5</v>
      </c>
      <c r="W24" s="1617">
        <v>2.85</v>
      </c>
      <c r="X24" s="1617">
        <v>1.17</v>
      </c>
      <c r="Y24" s="1617">
        <v>0.81</v>
      </c>
      <c r="Z24" s="1617">
        <v>1.35</v>
      </c>
    </row>
    <row r="25" spans="2:26">
      <c r="B25" s="1617"/>
      <c r="C25" s="1618">
        <v>40471</v>
      </c>
      <c r="D25" s="1617">
        <v>5.0999999999999996</v>
      </c>
      <c r="E25" s="1617">
        <v>5.56</v>
      </c>
      <c r="F25" s="1617">
        <v>5.6</v>
      </c>
      <c r="G25" s="1617">
        <v>5.96</v>
      </c>
      <c r="H25" s="1617">
        <v>6.14</v>
      </c>
      <c r="I25" s="1617">
        <v>3.5</v>
      </c>
      <c r="J25" s="1617">
        <v>4.05</v>
      </c>
      <c r="L25" s="1617"/>
      <c r="M25" s="1618">
        <v>40471</v>
      </c>
      <c r="N25" s="1617">
        <v>0.36</v>
      </c>
      <c r="O25" s="1617">
        <v>1.91</v>
      </c>
      <c r="P25" s="1617">
        <v>2.2000000000000002</v>
      </c>
      <c r="Q25" s="1617">
        <v>2.5</v>
      </c>
      <c r="R25" s="1617">
        <v>3.25</v>
      </c>
      <c r="S25" s="1617">
        <v>3.85</v>
      </c>
      <c r="T25" s="1617">
        <v>4.2</v>
      </c>
      <c r="U25" s="1617">
        <v>1.91</v>
      </c>
      <c r="V25" s="1617">
        <v>2.2000000000000002</v>
      </c>
      <c r="W25" s="1617">
        <v>2.5</v>
      </c>
      <c r="X25" s="1617">
        <v>1.17</v>
      </c>
      <c r="Y25" s="1617">
        <v>0.81</v>
      </c>
      <c r="Z25" s="1617">
        <v>1.35</v>
      </c>
    </row>
    <row r="26" spans="2:26">
      <c r="B26" s="1617"/>
      <c r="C26" s="1618">
        <v>39805</v>
      </c>
      <c r="D26" s="1617">
        <v>4.8600000000000003</v>
      </c>
      <c r="E26" s="1617">
        <v>5.31</v>
      </c>
      <c r="F26" s="1617">
        <v>5.4</v>
      </c>
      <c r="G26" s="1617">
        <v>5.76</v>
      </c>
      <c r="H26" s="1617">
        <v>5.94</v>
      </c>
      <c r="I26" s="1617">
        <v>3.33</v>
      </c>
      <c r="J26" s="1617">
        <v>3.87</v>
      </c>
      <c r="L26" s="1617"/>
      <c r="M26" s="1618">
        <v>39805</v>
      </c>
      <c r="N26" s="1617">
        <v>0.36</v>
      </c>
      <c r="O26" s="1617">
        <v>1.71</v>
      </c>
      <c r="P26" s="1617">
        <v>1.98</v>
      </c>
      <c r="Q26" s="1617">
        <v>2.25</v>
      </c>
      <c r="R26" s="1617">
        <v>2.79</v>
      </c>
      <c r="S26" s="1617">
        <v>3.33</v>
      </c>
      <c r="T26" s="1617">
        <v>3.6</v>
      </c>
      <c r="U26" s="1617">
        <v>1.71</v>
      </c>
      <c r="V26" s="1617">
        <v>1.98</v>
      </c>
      <c r="W26" s="1617">
        <v>2.25</v>
      </c>
      <c r="X26" s="1617">
        <v>1.17</v>
      </c>
      <c r="Y26" s="1617">
        <v>0.81</v>
      </c>
      <c r="Z26" s="1617">
        <v>1.35</v>
      </c>
    </row>
    <row r="27" spans="2:26">
      <c r="B27" s="1617"/>
      <c r="C27" s="1618">
        <v>39779</v>
      </c>
      <c r="D27" s="1617">
        <v>5.04</v>
      </c>
      <c r="E27" s="1617">
        <v>5.58</v>
      </c>
      <c r="F27" s="1617">
        <v>5.67</v>
      </c>
      <c r="G27" s="1617">
        <v>5.94</v>
      </c>
      <c r="H27" s="1617">
        <v>6.12</v>
      </c>
      <c r="I27" s="1617">
        <v>3.51</v>
      </c>
      <c r="J27" s="1617">
        <v>4.05</v>
      </c>
      <c r="L27" s="1617"/>
      <c r="M27" s="1618">
        <v>39779</v>
      </c>
      <c r="N27" s="1617">
        <v>0.36</v>
      </c>
      <c r="O27" s="1617">
        <v>1.98</v>
      </c>
      <c r="P27" s="1617">
        <v>2.25</v>
      </c>
      <c r="Q27" s="1617">
        <v>2.52</v>
      </c>
      <c r="R27" s="1617">
        <v>3.06</v>
      </c>
      <c r="S27" s="1617">
        <v>3.6</v>
      </c>
      <c r="T27" s="1617">
        <v>3.87</v>
      </c>
      <c r="U27" s="1617">
        <v>1.98</v>
      </c>
      <c r="V27" s="1617">
        <v>2.25</v>
      </c>
      <c r="W27" s="1617">
        <v>2.52</v>
      </c>
      <c r="X27" s="1617">
        <v>1.17</v>
      </c>
      <c r="Y27" s="1617">
        <v>0.81</v>
      </c>
      <c r="Z27" s="1617">
        <v>1.35</v>
      </c>
    </row>
    <row r="28" spans="2:26">
      <c r="B28" s="1617"/>
      <c r="C28" s="1618">
        <v>39751</v>
      </c>
      <c r="D28" s="1617">
        <v>6.03</v>
      </c>
      <c r="E28" s="1617">
        <v>6.66</v>
      </c>
      <c r="F28" s="1617">
        <v>6.75</v>
      </c>
      <c r="G28" s="1617">
        <v>7.02</v>
      </c>
      <c r="H28" s="1617">
        <v>7.2</v>
      </c>
      <c r="I28" s="1617">
        <v>4.05</v>
      </c>
      <c r="J28" s="1617">
        <v>4.59</v>
      </c>
      <c r="L28" s="1617"/>
      <c r="M28" s="1618">
        <v>39751</v>
      </c>
      <c r="N28" s="1617">
        <v>0.72</v>
      </c>
      <c r="O28" s="1617">
        <v>2.88</v>
      </c>
      <c r="P28" s="1617">
        <v>3.24</v>
      </c>
      <c r="Q28" s="1617">
        <v>3.6</v>
      </c>
      <c r="R28" s="1617">
        <v>4.1399999999999997</v>
      </c>
      <c r="S28" s="1617">
        <v>4.7699999999999996</v>
      </c>
      <c r="T28" s="1617">
        <v>5.13</v>
      </c>
      <c r="U28" s="1617">
        <v>2.88</v>
      </c>
      <c r="V28" s="1617">
        <v>3.24</v>
      </c>
      <c r="W28" s="1617">
        <v>3.6</v>
      </c>
      <c r="X28" s="1617">
        <v>1.53</v>
      </c>
      <c r="Y28" s="1617">
        <v>1.17</v>
      </c>
      <c r="Z28" s="1617">
        <v>1.71</v>
      </c>
    </row>
    <row r="29" spans="2:26">
      <c r="B29" s="1617"/>
      <c r="C29" s="1620">
        <v>39748</v>
      </c>
      <c r="D29" s="1617">
        <v>6.12</v>
      </c>
      <c r="E29" s="1617">
        <v>6.93</v>
      </c>
      <c r="F29" s="1617">
        <v>7.02</v>
      </c>
      <c r="G29" s="1617">
        <v>7.29</v>
      </c>
      <c r="H29" s="1617">
        <v>7.47</v>
      </c>
      <c r="I29" s="1617">
        <v>4.05</v>
      </c>
      <c r="J29" s="1617">
        <v>4.59</v>
      </c>
      <c r="L29" s="1617"/>
      <c r="M29" s="1620">
        <v>39736</v>
      </c>
      <c r="N29" s="1617">
        <v>0.72</v>
      </c>
      <c r="O29" s="1617">
        <v>3.15</v>
      </c>
      <c r="P29" s="1617">
        <v>3.51</v>
      </c>
      <c r="Q29" s="1617">
        <v>3.87</v>
      </c>
      <c r="R29" s="1617">
        <v>4.41</v>
      </c>
      <c r="S29" s="1617">
        <v>5.13</v>
      </c>
      <c r="T29" s="1617">
        <v>5.58</v>
      </c>
      <c r="U29" s="1617">
        <v>3.15</v>
      </c>
      <c r="V29" s="1617">
        <v>3.51</v>
      </c>
      <c r="W29" s="1617">
        <v>3.87</v>
      </c>
      <c r="X29" s="1617">
        <v>1.53</v>
      </c>
      <c r="Y29" s="1617">
        <v>1.17</v>
      </c>
      <c r="Z29" s="1617">
        <v>1.71</v>
      </c>
    </row>
    <row r="30" spans="2:26">
      <c r="B30" s="1617"/>
      <c r="C30" s="1618">
        <v>39730</v>
      </c>
      <c r="D30" s="1617">
        <v>6.12</v>
      </c>
      <c r="E30" s="1617">
        <v>6.93</v>
      </c>
      <c r="F30" s="1617">
        <v>7.02</v>
      </c>
      <c r="G30" s="1617">
        <v>7.29</v>
      </c>
      <c r="H30" s="1617">
        <v>7.47</v>
      </c>
      <c r="I30" s="1617">
        <v>4.32</v>
      </c>
      <c r="J30" s="1617">
        <v>4.8600000000000003</v>
      </c>
      <c r="L30" s="1617"/>
      <c r="M30" s="1618">
        <v>39730</v>
      </c>
      <c r="N30" s="1617">
        <v>0.72</v>
      </c>
      <c r="O30" s="1617">
        <v>3.15</v>
      </c>
      <c r="P30" s="1617">
        <v>3.51</v>
      </c>
      <c r="Q30" s="1617">
        <v>3.87</v>
      </c>
      <c r="R30" s="1617">
        <v>4.41</v>
      </c>
      <c r="S30" s="1617">
        <v>5.13</v>
      </c>
      <c r="T30" s="1617">
        <v>5.58</v>
      </c>
      <c r="U30" s="1617">
        <v>3.15</v>
      </c>
      <c r="V30" s="1617">
        <v>3.51</v>
      </c>
      <c r="W30" s="1617">
        <v>3.87</v>
      </c>
      <c r="X30" s="1617">
        <v>1.53</v>
      </c>
      <c r="Y30" s="1617">
        <v>1.17</v>
      </c>
      <c r="Z30" s="1617">
        <v>1.71</v>
      </c>
    </row>
    <row r="31" spans="2:26">
      <c r="B31" s="1617"/>
      <c r="C31" s="1618">
        <v>39707</v>
      </c>
      <c r="D31" s="1617">
        <v>6.21</v>
      </c>
      <c r="E31" s="1617">
        <v>7.2</v>
      </c>
      <c r="F31" s="1617">
        <v>7.29</v>
      </c>
      <c r="G31" s="1617">
        <v>7.56</v>
      </c>
      <c r="H31" s="1617">
        <v>7.74</v>
      </c>
      <c r="I31" s="1617">
        <v>4.59</v>
      </c>
      <c r="J31" s="1617">
        <v>5.13</v>
      </c>
      <c r="L31" s="1617"/>
      <c r="M31" s="1618">
        <v>39437</v>
      </c>
      <c r="N31" s="1617">
        <v>0.72</v>
      </c>
      <c r="O31" s="1617">
        <v>3.33</v>
      </c>
      <c r="P31" s="1617">
        <v>3.78</v>
      </c>
      <c r="Q31" s="1617">
        <v>4.1399999999999997</v>
      </c>
      <c r="R31" s="1617">
        <v>4.68</v>
      </c>
      <c r="S31" s="1617">
        <v>5.4</v>
      </c>
      <c r="T31" s="1617">
        <v>5.85</v>
      </c>
      <c r="U31" s="1617">
        <v>3.33</v>
      </c>
      <c r="V31" s="1617">
        <v>3.78</v>
      </c>
      <c r="W31" s="1617">
        <v>4.1399999999999997</v>
      </c>
      <c r="X31" s="1617">
        <v>1.53</v>
      </c>
      <c r="Y31" s="1617">
        <v>1.17</v>
      </c>
      <c r="Z31" s="1617">
        <v>1.71</v>
      </c>
    </row>
    <row r="32" spans="2:26">
      <c r="B32" s="1617"/>
      <c r="C32" s="1618">
        <v>39437</v>
      </c>
      <c r="D32" s="1617">
        <v>6.57</v>
      </c>
      <c r="E32" s="1617">
        <v>7.47</v>
      </c>
      <c r="F32" s="1617">
        <v>7.56</v>
      </c>
      <c r="G32" s="1617">
        <v>7.74</v>
      </c>
      <c r="H32" s="1617">
        <v>7.83</v>
      </c>
      <c r="I32" s="1617">
        <v>4.7699999999999996</v>
      </c>
      <c r="J32" s="1617">
        <v>5.22</v>
      </c>
      <c r="L32" s="1617"/>
      <c r="M32" s="1618">
        <v>39340</v>
      </c>
      <c r="N32" s="1617">
        <v>0.81</v>
      </c>
      <c r="O32" s="1617">
        <v>2.88</v>
      </c>
      <c r="P32" s="1617">
        <v>3.42</v>
      </c>
      <c r="Q32" s="1617">
        <v>3.87</v>
      </c>
      <c r="R32" s="1617">
        <v>4.5</v>
      </c>
      <c r="S32" s="1617">
        <v>5.22</v>
      </c>
      <c r="T32" s="1617">
        <v>5.76</v>
      </c>
      <c r="U32" s="1617">
        <v>2.88</v>
      </c>
      <c r="V32" s="1617">
        <v>3.42</v>
      </c>
      <c r="W32" s="1617">
        <v>3.87</v>
      </c>
      <c r="X32" s="1617">
        <v>1.53</v>
      </c>
      <c r="Y32" s="1617">
        <v>1.17</v>
      </c>
      <c r="Z32" s="1617">
        <v>1.71</v>
      </c>
    </row>
    <row r="33" spans="2:26">
      <c r="B33" s="1617"/>
      <c r="C33" s="1618">
        <v>39340</v>
      </c>
      <c r="D33" s="1617">
        <v>6.48</v>
      </c>
      <c r="E33" s="1617">
        <v>7.29</v>
      </c>
      <c r="F33" s="1617">
        <v>7.47</v>
      </c>
      <c r="G33" s="1617">
        <v>7.65</v>
      </c>
      <c r="H33" s="1617">
        <v>7.83</v>
      </c>
      <c r="I33" s="1617">
        <v>4.7699999999999996</v>
      </c>
      <c r="J33" s="1617">
        <v>5.22</v>
      </c>
      <c r="L33" s="1617"/>
      <c r="M33" s="1618">
        <v>39316</v>
      </c>
      <c r="N33" s="1617">
        <v>0.81</v>
      </c>
      <c r="O33" s="1617">
        <v>2.61</v>
      </c>
      <c r="P33" s="1617">
        <v>3.15</v>
      </c>
      <c r="Q33" s="1617">
        <v>3.6</v>
      </c>
      <c r="R33" s="1617">
        <v>4.2300000000000004</v>
      </c>
      <c r="S33" s="1617">
        <v>4.95</v>
      </c>
      <c r="T33" s="1617">
        <v>5.49</v>
      </c>
      <c r="U33" s="1617">
        <v>2.61</v>
      </c>
      <c r="V33" s="1617">
        <v>3.15</v>
      </c>
      <c r="W33" s="1617">
        <v>3.6</v>
      </c>
      <c r="X33" s="1617">
        <v>1.53</v>
      </c>
      <c r="Y33" s="1617">
        <v>1.17</v>
      </c>
      <c r="Z33" s="1617">
        <v>1.71</v>
      </c>
    </row>
    <row r="34" spans="2:26">
      <c r="B34" s="1617"/>
      <c r="C34" s="1618">
        <v>39316</v>
      </c>
      <c r="D34" s="1617">
        <v>6.21</v>
      </c>
      <c r="E34" s="1617">
        <v>7.02</v>
      </c>
      <c r="F34" s="1617">
        <v>7.2</v>
      </c>
      <c r="G34" s="1617">
        <v>7.38</v>
      </c>
      <c r="H34" s="1617">
        <v>7.56</v>
      </c>
      <c r="I34" s="1617">
        <v>4.59</v>
      </c>
      <c r="J34" s="1617">
        <v>5.04</v>
      </c>
      <c r="L34" s="1617"/>
      <c r="M34" s="1618">
        <v>39284</v>
      </c>
      <c r="N34" s="1617">
        <v>0.81</v>
      </c>
      <c r="O34" s="1617">
        <v>2.34</v>
      </c>
      <c r="P34" s="1617">
        <v>2.88</v>
      </c>
      <c r="Q34" s="1617">
        <v>3.33</v>
      </c>
      <c r="R34" s="1617">
        <v>3.96</v>
      </c>
      <c r="S34" s="1617">
        <v>4.68</v>
      </c>
      <c r="T34" s="1617">
        <v>5.22</v>
      </c>
      <c r="U34" s="1617">
        <v>2.34</v>
      </c>
      <c r="V34" s="1617">
        <v>2.88</v>
      </c>
      <c r="W34" s="1617">
        <v>3.33</v>
      </c>
      <c r="X34" s="1617">
        <v>1.53</v>
      </c>
      <c r="Y34" s="1617">
        <v>1.17</v>
      </c>
      <c r="Z34" s="1617">
        <v>1.71</v>
      </c>
    </row>
    <row r="35" spans="2:26">
      <c r="B35" s="1617"/>
      <c r="C35" s="1618">
        <v>39284</v>
      </c>
      <c r="D35" s="1617">
        <v>6.03</v>
      </c>
      <c r="E35" s="1617">
        <v>6.84</v>
      </c>
      <c r="F35" s="1617">
        <v>7.02</v>
      </c>
      <c r="G35" s="1617">
        <v>7.2</v>
      </c>
      <c r="H35" s="1617">
        <v>7.38</v>
      </c>
      <c r="I35" s="1617">
        <v>4.5</v>
      </c>
      <c r="J35" s="1617">
        <v>4.95</v>
      </c>
      <c r="L35" s="1617"/>
      <c r="M35" s="1618">
        <v>39221</v>
      </c>
      <c r="N35" s="1617">
        <v>0.72</v>
      </c>
      <c r="O35" s="1617">
        <v>2.0699999999999998</v>
      </c>
      <c r="P35" s="1617">
        <v>2.61</v>
      </c>
      <c r="Q35" s="1617">
        <v>3.06</v>
      </c>
      <c r="R35" s="1617">
        <v>3.69</v>
      </c>
      <c r="S35" s="1617">
        <v>4.41</v>
      </c>
      <c r="T35" s="1617">
        <v>4.95</v>
      </c>
      <c r="U35" s="1617">
        <v>2.0699999999999998</v>
      </c>
      <c r="V35" s="1617">
        <v>2.61</v>
      </c>
      <c r="W35" s="1617">
        <v>3.06</v>
      </c>
      <c r="X35" s="1617">
        <v>1.44</v>
      </c>
      <c r="Y35" s="1617">
        <v>1.08</v>
      </c>
      <c r="Z35" s="1617">
        <v>1.62</v>
      </c>
    </row>
    <row r="36" spans="2:26">
      <c r="B36" s="1617"/>
      <c r="C36" s="1618">
        <v>39221</v>
      </c>
      <c r="D36" s="1617">
        <v>5.85</v>
      </c>
      <c r="E36" s="1617">
        <v>6.57</v>
      </c>
      <c r="F36" s="1617">
        <v>6.75</v>
      </c>
      <c r="G36" s="1617">
        <v>6.93</v>
      </c>
      <c r="H36" s="1617">
        <v>7.2</v>
      </c>
      <c r="I36" s="1617">
        <v>4.41</v>
      </c>
      <c r="J36" s="1617">
        <v>4.8600000000000003</v>
      </c>
      <c r="L36" s="1617"/>
      <c r="M36" s="1618">
        <v>39159</v>
      </c>
      <c r="N36" s="1617">
        <v>0.72</v>
      </c>
      <c r="O36" s="1617">
        <v>1.98</v>
      </c>
      <c r="P36" s="1617">
        <v>2.4300000000000002</v>
      </c>
      <c r="Q36" s="1617">
        <v>2.79</v>
      </c>
      <c r="R36" s="1617">
        <v>3.33</v>
      </c>
      <c r="S36" s="1617">
        <v>3.96</v>
      </c>
      <c r="T36" s="1617">
        <v>4.41</v>
      </c>
      <c r="U36" s="1617">
        <v>1.98</v>
      </c>
      <c r="V36" s="1617">
        <v>2.4300000000000002</v>
      </c>
      <c r="W36" s="1617">
        <v>2.79</v>
      </c>
      <c r="X36" s="1617">
        <v>1.44</v>
      </c>
      <c r="Y36" s="1617">
        <v>1.08</v>
      </c>
      <c r="Z36" s="1617">
        <v>1.62</v>
      </c>
    </row>
    <row r="37" spans="2:26">
      <c r="B37" s="1617"/>
      <c r="C37" s="1618">
        <v>39159</v>
      </c>
      <c r="D37" s="1617">
        <v>5.67</v>
      </c>
      <c r="E37" s="1617">
        <v>6.39</v>
      </c>
      <c r="F37" s="1617">
        <v>6.57</v>
      </c>
      <c r="G37" s="1617">
        <v>6.75</v>
      </c>
      <c r="H37" s="1617">
        <v>7.11</v>
      </c>
      <c r="I37" s="1617">
        <v>4.32</v>
      </c>
      <c r="J37" s="1617">
        <v>4.7699999999999996</v>
      </c>
      <c r="L37" s="1617"/>
      <c r="M37" s="1618">
        <v>38948</v>
      </c>
      <c r="N37" s="1617">
        <v>0.72</v>
      </c>
      <c r="O37" s="1617">
        <v>1.8</v>
      </c>
      <c r="P37" s="1617">
        <v>2.25</v>
      </c>
      <c r="Q37" s="1617">
        <v>2.52</v>
      </c>
      <c r="R37" s="1617">
        <v>3.06</v>
      </c>
      <c r="S37" s="1617">
        <v>3.69</v>
      </c>
      <c r="T37" s="1617">
        <v>4.1399999999999997</v>
      </c>
      <c r="U37" s="1617">
        <v>1.8</v>
      </c>
      <c r="V37" s="1617">
        <v>2.25</v>
      </c>
      <c r="W37" s="1617">
        <v>2.52</v>
      </c>
      <c r="X37" s="1617">
        <v>1.44</v>
      </c>
      <c r="Y37" s="1617">
        <v>1.08</v>
      </c>
      <c r="Z37" s="1617">
        <v>1.62</v>
      </c>
    </row>
    <row r="38" spans="2:26">
      <c r="B38" s="1617"/>
      <c r="C38" s="1618">
        <v>38948</v>
      </c>
      <c r="D38" s="1617">
        <v>5.58</v>
      </c>
      <c r="E38" s="1617">
        <v>6.12</v>
      </c>
      <c r="F38" s="1617">
        <v>6.3</v>
      </c>
      <c r="G38" s="1617">
        <v>6.48</v>
      </c>
      <c r="H38" s="1617">
        <v>6.84</v>
      </c>
      <c r="I38" s="1617">
        <v>4.1399999999999997</v>
      </c>
      <c r="J38" s="1617">
        <v>4.59</v>
      </c>
      <c r="L38" s="1617"/>
      <c r="M38" s="1618">
        <v>38289</v>
      </c>
      <c r="N38" s="1617">
        <v>0.72</v>
      </c>
      <c r="O38" s="1617">
        <v>1.71</v>
      </c>
      <c r="P38" s="1617">
        <v>2.0699999999999998</v>
      </c>
      <c r="Q38" s="1617">
        <v>2.25</v>
      </c>
      <c r="R38" s="1617">
        <v>2.7</v>
      </c>
      <c r="S38" s="1617">
        <v>3.24</v>
      </c>
      <c r="T38" s="1617">
        <v>3.6</v>
      </c>
      <c r="U38" s="1617">
        <v>1.71</v>
      </c>
      <c r="V38" s="1617">
        <v>2.0699999999999998</v>
      </c>
      <c r="W38" s="1617">
        <v>2.25</v>
      </c>
      <c r="X38" s="1617">
        <v>1.44</v>
      </c>
      <c r="Y38" s="1617">
        <v>1.08</v>
      </c>
      <c r="Z38" s="1617">
        <v>1.62</v>
      </c>
    </row>
    <row r="39" spans="2:26">
      <c r="B39" s="1617"/>
      <c r="C39" s="1618">
        <v>38835</v>
      </c>
      <c r="D39" s="1617">
        <v>5.4</v>
      </c>
      <c r="E39" s="1617">
        <v>5.85</v>
      </c>
      <c r="F39" s="1617">
        <v>6.03</v>
      </c>
      <c r="G39" s="1617">
        <v>6.12</v>
      </c>
      <c r="H39" s="1617">
        <v>6.39</v>
      </c>
      <c r="I39" s="1617">
        <v>4.1399999999999997</v>
      </c>
      <c r="J39" s="1617">
        <v>4.59</v>
      </c>
      <c r="L39" s="1617"/>
      <c r="M39" s="1618">
        <v>37308</v>
      </c>
      <c r="N39" s="1617">
        <v>0.72</v>
      </c>
      <c r="O39" s="1617">
        <v>1.71</v>
      </c>
      <c r="P39" s="1617">
        <v>1.89</v>
      </c>
      <c r="Q39" s="1617">
        <v>1.98</v>
      </c>
      <c r="R39" s="1617">
        <v>2.25</v>
      </c>
      <c r="S39" s="1617">
        <v>2.52</v>
      </c>
      <c r="T39" s="1617">
        <v>2.79</v>
      </c>
      <c r="U39" s="1617">
        <v>1.71</v>
      </c>
      <c r="V39" s="1617">
        <v>1.89</v>
      </c>
      <c r="W39" s="1617">
        <v>1.98</v>
      </c>
      <c r="X39" s="1617">
        <v>1.44</v>
      </c>
      <c r="Y39" s="1617">
        <v>1.08</v>
      </c>
      <c r="Z39" s="1617">
        <v>1.62</v>
      </c>
    </row>
    <row r="40" spans="2:26">
      <c r="B40" s="1617"/>
      <c r="C40" s="1618">
        <v>38428</v>
      </c>
      <c r="D40" s="1617">
        <v>5.22</v>
      </c>
      <c r="E40" s="1617">
        <v>5.58</v>
      </c>
      <c r="F40" s="1617">
        <v>5.76</v>
      </c>
      <c r="G40" s="1617">
        <v>5.85</v>
      </c>
      <c r="H40" s="1617">
        <v>6.12</v>
      </c>
      <c r="I40" s="1617">
        <v>3.96</v>
      </c>
      <c r="J40" s="1617">
        <v>4.41</v>
      </c>
      <c r="L40" s="1617"/>
      <c r="M40" s="1618">
        <v>36321</v>
      </c>
      <c r="N40" s="1617">
        <v>0.99</v>
      </c>
      <c r="O40" s="1617">
        <v>1.98</v>
      </c>
      <c r="P40" s="1617">
        <v>2.16</v>
      </c>
      <c r="Q40" s="1617">
        <v>2.25</v>
      </c>
      <c r="R40" s="1617">
        <v>2.4300000000000002</v>
      </c>
      <c r="S40" s="1617">
        <v>2.7</v>
      </c>
      <c r="T40" s="1617">
        <v>2.88</v>
      </c>
      <c r="U40" s="1617">
        <v>1.98</v>
      </c>
      <c r="V40" s="1617">
        <v>2.16</v>
      </c>
      <c r="W40" s="1617">
        <v>2.25</v>
      </c>
      <c r="X40" s="1617">
        <v>1.71</v>
      </c>
      <c r="Y40" s="1617">
        <v>1.35</v>
      </c>
      <c r="Z40" s="1617">
        <v>1.89</v>
      </c>
    </row>
    <row r="41" spans="2:26">
      <c r="B41" s="1617"/>
      <c r="C41" s="1618">
        <v>38289</v>
      </c>
      <c r="D41" s="1617">
        <v>5.22</v>
      </c>
      <c r="E41" s="1617">
        <v>5.58</v>
      </c>
      <c r="F41" s="1617">
        <v>5.76</v>
      </c>
      <c r="G41" s="1617">
        <v>5.85</v>
      </c>
      <c r="H41" s="1617">
        <v>6.12</v>
      </c>
      <c r="I41" s="1617">
        <v>3.78</v>
      </c>
      <c r="J41" s="1617">
        <v>4.2300000000000004</v>
      </c>
      <c r="L41" s="1617"/>
      <c r="M41" s="1618">
        <v>36136</v>
      </c>
      <c r="N41" s="1617">
        <v>1.44</v>
      </c>
      <c r="O41" s="1617">
        <v>2.79</v>
      </c>
      <c r="P41" s="1617">
        <v>3.33</v>
      </c>
      <c r="Q41" s="1617">
        <v>3.78</v>
      </c>
      <c r="R41" s="1617">
        <v>3.96</v>
      </c>
      <c r="S41" s="1617">
        <v>4.1399999999999997</v>
      </c>
      <c r="T41" s="1617">
        <v>4.5</v>
      </c>
      <c r="U41" s="1617">
        <v>3.33</v>
      </c>
      <c r="V41" s="1617">
        <v>3.78</v>
      </c>
      <c r="W41" s="1617">
        <v>4.1399999999999997</v>
      </c>
      <c r="X41" s="1617">
        <v>2.16</v>
      </c>
      <c r="Y41" s="1617">
        <v>1.8</v>
      </c>
      <c r="Z41" s="1617">
        <v>2.34</v>
      </c>
    </row>
    <row r="42" spans="2:26">
      <c r="B42" s="1617"/>
      <c r="C42" s="1618">
        <v>37308</v>
      </c>
      <c r="D42" s="1617">
        <v>5.04</v>
      </c>
      <c r="E42" s="1617">
        <v>5.31</v>
      </c>
      <c r="F42" s="1617">
        <v>5.49</v>
      </c>
      <c r="G42" s="1617">
        <v>5.58</v>
      </c>
      <c r="H42" s="1617">
        <v>5.76</v>
      </c>
      <c r="I42" s="1617">
        <v>3.6</v>
      </c>
      <c r="J42" s="1617">
        <v>4.05</v>
      </c>
      <c r="L42" s="1617"/>
      <c r="M42" s="1618">
        <v>35977</v>
      </c>
      <c r="N42" s="1617">
        <v>1.44</v>
      </c>
      <c r="O42" s="1617">
        <v>2.79</v>
      </c>
      <c r="P42" s="1617">
        <v>3.96</v>
      </c>
      <c r="Q42" s="1617">
        <v>4.7699999999999996</v>
      </c>
      <c r="R42" s="1617">
        <v>4.8600000000000003</v>
      </c>
      <c r="S42" s="1617">
        <v>4.95</v>
      </c>
      <c r="T42" s="1617">
        <v>5.22</v>
      </c>
      <c r="U42" s="1617">
        <v>3.96</v>
      </c>
      <c r="V42" s="1617">
        <v>4.7699999999999996</v>
      </c>
      <c r="W42" s="1617">
        <v>4.95</v>
      </c>
      <c r="X42" s="1617" t="s">
        <v>1331</v>
      </c>
      <c r="Y42" s="1617" t="s">
        <v>1331</v>
      </c>
      <c r="Z42" s="1617" t="s">
        <v>1331</v>
      </c>
    </row>
    <row r="43" spans="2:26">
      <c r="B43" s="1617"/>
      <c r="C43" s="1618">
        <v>36321</v>
      </c>
      <c r="D43" s="1617">
        <v>5.58</v>
      </c>
      <c r="E43" s="1617">
        <v>5.85</v>
      </c>
      <c r="F43" s="1617">
        <v>5.94</v>
      </c>
      <c r="G43" s="1617">
        <v>6.03</v>
      </c>
      <c r="H43" s="1617">
        <v>6.21</v>
      </c>
      <c r="I43" s="1617">
        <v>4.1399999999999997</v>
      </c>
      <c r="J43" s="1617">
        <v>4.59</v>
      </c>
      <c r="L43" s="1617"/>
      <c r="M43" s="1618">
        <v>35879</v>
      </c>
      <c r="N43" s="1617">
        <v>1.71</v>
      </c>
      <c r="O43" s="1617">
        <v>2.88</v>
      </c>
      <c r="P43" s="1617">
        <v>4.1399999999999997</v>
      </c>
      <c r="Q43" s="1617">
        <v>5.22</v>
      </c>
      <c r="R43" s="1617">
        <v>5.58</v>
      </c>
      <c r="S43" s="1617">
        <v>6.21</v>
      </c>
      <c r="T43" s="1617">
        <v>6.66</v>
      </c>
      <c r="U43" s="1617">
        <v>4.1399999999999997</v>
      </c>
      <c r="V43" s="1617">
        <v>5.22</v>
      </c>
      <c r="W43" s="1617">
        <v>6.21</v>
      </c>
      <c r="X43" s="1617" t="s">
        <v>1331</v>
      </c>
      <c r="Y43" s="1617" t="s">
        <v>1331</v>
      </c>
      <c r="Z43" s="1617" t="s">
        <v>1331</v>
      </c>
    </row>
    <row r="44" spans="2:26">
      <c r="B44" s="1617"/>
      <c r="C44" s="1618">
        <v>36136</v>
      </c>
      <c r="D44" s="1617">
        <v>6.12</v>
      </c>
      <c r="E44" s="1617">
        <v>6.39</v>
      </c>
      <c r="F44" s="1617">
        <v>6.66</v>
      </c>
      <c r="G44" s="1617">
        <v>7.2</v>
      </c>
      <c r="H44" s="1617">
        <v>7.56</v>
      </c>
      <c r="I44" s="1617">
        <v>0</v>
      </c>
      <c r="J44" s="1617">
        <v>0</v>
      </c>
      <c r="L44" s="1617"/>
      <c r="M44" s="1618">
        <v>35726</v>
      </c>
      <c r="N44" s="1617">
        <v>1.71</v>
      </c>
      <c r="O44" s="1617">
        <v>2.88</v>
      </c>
      <c r="P44" s="1617">
        <v>4.1399999999999997</v>
      </c>
      <c r="Q44" s="1617">
        <v>5.67</v>
      </c>
      <c r="R44" s="1617">
        <v>5.94</v>
      </c>
      <c r="S44" s="1617">
        <v>6.21</v>
      </c>
      <c r="T44" s="1617">
        <v>6.66</v>
      </c>
      <c r="U44" s="1617">
        <v>4.1399999999999997</v>
      </c>
      <c r="V44" s="1617">
        <v>5.67</v>
      </c>
      <c r="W44" s="1617">
        <v>6.21</v>
      </c>
      <c r="X44" s="1617" t="s">
        <v>1331</v>
      </c>
      <c r="Y44" s="1617" t="s">
        <v>1331</v>
      </c>
      <c r="Z44" s="1617" t="s">
        <v>1331</v>
      </c>
    </row>
    <row r="45" spans="2:26">
      <c r="B45" s="1617"/>
      <c r="C45" s="1618">
        <v>35977</v>
      </c>
      <c r="D45" s="1617">
        <v>6.57</v>
      </c>
      <c r="E45" s="1617">
        <v>6.93</v>
      </c>
      <c r="F45" s="1617">
        <v>7.11</v>
      </c>
      <c r="G45" s="1617">
        <v>7.65</v>
      </c>
      <c r="H45" s="1617">
        <v>8.01</v>
      </c>
      <c r="I45" s="1617">
        <v>0</v>
      </c>
      <c r="J45" s="1617">
        <v>0</v>
      </c>
      <c r="L45" s="1617"/>
      <c r="M45" s="1618">
        <v>35300</v>
      </c>
      <c r="N45" s="1617">
        <v>1.98</v>
      </c>
      <c r="O45" s="1617">
        <v>3.33</v>
      </c>
      <c r="P45" s="1617">
        <v>5.4</v>
      </c>
      <c r="Q45" s="1617">
        <v>7.47</v>
      </c>
      <c r="R45" s="1617">
        <v>7.92</v>
      </c>
      <c r="S45" s="1617">
        <v>8.2799999999999994</v>
      </c>
      <c r="T45" s="1617">
        <v>9</v>
      </c>
      <c r="U45" s="1617">
        <v>5.4</v>
      </c>
      <c r="V45" s="1617">
        <v>7.47</v>
      </c>
      <c r="W45" s="1617">
        <v>8.2799999999999994</v>
      </c>
      <c r="X45" s="1617" t="s">
        <v>1331</v>
      </c>
      <c r="Y45" s="1617" t="s">
        <v>1331</v>
      </c>
      <c r="Z45" s="1617" t="s">
        <v>1331</v>
      </c>
    </row>
    <row r="46" spans="2:26">
      <c r="B46" s="1617"/>
      <c r="C46" s="1618">
        <v>35879</v>
      </c>
      <c r="D46" s="1617">
        <v>7.02</v>
      </c>
      <c r="E46" s="1617">
        <v>7.92</v>
      </c>
      <c r="F46" s="1617">
        <v>9</v>
      </c>
      <c r="G46" s="1617">
        <v>9.7200000000000006</v>
      </c>
      <c r="H46" s="1617">
        <v>10.35</v>
      </c>
      <c r="I46" s="1617">
        <v>0</v>
      </c>
      <c r="J46" s="1617">
        <v>0</v>
      </c>
      <c r="L46" s="1617"/>
      <c r="M46" s="1618">
        <v>35186</v>
      </c>
      <c r="N46" s="1617">
        <v>2.97</v>
      </c>
      <c r="O46" s="1617">
        <v>4.8600000000000003</v>
      </c>
      <c r="P46" s="1617">
        <v>7.2</v>
      </c>
      <c r="Q46" s="1617">
        <v>9.18</v>
      </c>
      <c r="R46" s="1617">
        <v>9.9</v>
      </c>
      <c r="S46" s="1617">
        <v>10.8</v>
      </c>
      <c r="T46" s="1617">
        <v>12.06</v>
      </c>
      <c r="U46" s="1617">
        <v>7.2</v>
      </c>
      <c r="V46" s="1617">
        <v>9.18</v>
      </c>
      <c r="W46" s="1617">
        <v>10.8</v>
      </c>
      <c r="X46" s="1617" t="s">
        <v>1331</v>
      </c>
      <c r="Y46" s="1617" t="s">
        <v>1331</v>
      </c>
      <c r="Z46" s="1617" t="s">
        <v>1331</v>
      </c>
    </row>
    <row r="47" spans="2:26">
      <c r="B47" s="1617"/>
      <c r="C47" s="1618">
        <v>35726</v>
      </c>
      <c r="D47" s="1617">
        <v>7.65</v>
      </c>
      <c r="E47" s="1617">
        <v>8.64</v>
      </c>
      <c r="F47" s="1617">
        <v>9.36</v>
      </c>
      <c r="G47" s="1617">
        <v>9.9</v>
      </c>
      <c r="H47" s="1617">
        <v>10.53</v>
      </c>
      <c r="I47" s="1617">
        <v>0</v>
      </c>
      <c r="J47" s="1617">
        <v>0</v>
      </c>
      <c r="L47" s="1617"/>
      <c r="M47" s="1618">
        <v>34161</v>
      </c>
      <c r="N47" s="1617">
        <v>3.15</v>
      </c>
      <c r="O47" s="1617">
        <v>6.66</v>
      </c>
      <c r="P47" s="1617">
        <v>9</v>
      </c>
      <c r="Q47" s="1617">
        <v>10.98</v>
      </c>
      <c r="R47" s="1617">
        <v>11.7</v>
      </c>
      <c r="S47" s="1617">
        <v>12.24</v>
      </c>
      <c r="T47" s="1617">
        <v>13.86</v>
      </c>
      <c r="U47" s="1617">
        <v>9</v>
      </c>
      <c r="V47" s="1617">
        <v>10.98</v>
      </c>
      <c r="W47" s="1617">
        <v>12.24</v>
      </c>
      <c r="X47" s="1617" t="s">
        <v>1331</v>
      </c>
      <c r="Y47" s="1617" t="s">
        <v>1331</v>
      </c>
      <c r="Z47" s="1617" t="s">
        <v>1331</v>
      </c>
    </row>
    <row r="48" spans="2:26">
      <c r="B48" s="1617"/>
      <c r="C48" s="1618">
        <v>35300</v>
      </c>
      <c r="D48" s="1617">
        <v>9.18</v>
      </c>
      <c r="E48" s="1617">
        <v>10.08</v>
      </c>
      <c r="F48" s="1617">
        <v>10.98</v>
      </c>
      <c r="G48" s="1617">
        <v>11.7</v>
      </c>
      <c r="H48" s="1617">
        <v>12.42</v>
      </c>
      <c r="I48" s="1617">
        <v>0</v>
      </c>
      <c r="J48" s="1617">
        <v>0</v>
      </c>
      <c r="L48" s="1617"/>
      <c r="M48" s="1618">
        <v>34104</v>
      </c>
      <c r="N48" s="1617">
        <v>2.16</v>
      </c>
      <c r="O48" s="1617">
        <v>4.8600000000000003</v>
      </c>
      <c r="P48" s="1617">
        <v>7.2</v>
      </c>
      <c r="Q48" s="1617">
        <v>9.18</v>
      </c>
      <c r="R48" s="1617">
        <v>9.9</v>
      </c>
      <c r="S48" s="1617">
        <v>10.8</v>
      </c>
      <c r="T48" s="1617">
        <v>12.06</v>
      </c>
      <c r="U48" s="1617">
        <v>7.2</v>
      </c>
      <c r="V48" s="1617">
        <v>9.18</v>
      </c>
      <c r="W48" s="1617">
        <v>10.8</v>
      </c>
      <c r="X48" s="1617" t="s">
        <v>1331</v>
      </c>
      <c r="Y48" s="1617" t="s">
        <v>1331</v>
      </c>
      <c r="Z48" s="1617" t="s">
        <v>1331</v>
      </c>
    </row>
    <row r="49" spans="2:26">
      <c r="B49" s="1617"/>
      <c r="C49" s="1618">
        <v>35186</v>
      </c>
      <c r="D49" s="1617">
        <v>9.7200000000000006</v>
      </c>
      <c r="E49" s="1617">
        <v>10.98</v>
      </c>
      <c r="F49" s="1617">
        <v>13.14</v>
      </c>
      <c r="G49" s="1617">
        <v>14.94</v>
      </c>
      <c r="H49" s="1617">
        <v>15.12</v>
      </c>
      <c r="I49" s="1617">
        <v>0</v>
      </c>
      <c r="J49" s="1617">
        <v>0</v>
      </c>
      <c r="L49" s="1617"/>
      <c r="M49" s="1618">
        <v>33349</v>
      </c>
      <c r="N49" s="1617">
        <v>1.8</v>
      </c>
      <c r="O49" s="1617">
        <v>3.24</v>
      </c>
      <c r="P49" s="1617">
        <v>5.4</v>
      </c>
      <c r="Q49" s="1617">
        <v>7.56</v>
      </c>
      <c r="R49" s="1617">
        <v>7.92</v>
      </c>
      <c r="S49" s="1617">
        <v>8.2799999999999994</v>
      </c>
      <c r="T49" s="1617">
        <v>9</v>
      </c>
      <c r="U49" s="1617">
        <v>6.12</v>
      </c>
      <c r="V49" s="1617">
        <v>6.84</v>
      </c>
      <c r="W49" s="1617">
        <v>7.56</v>
      </c>
      <c r="X49" s="1617" t="s">
        <v>1331</v>
      </c>
      <c r="Y49" s="1617" t="s">
        <v>1331</v>
      </c>
      <c r="Z49" s="1617" t="s">
        <v>1331</v>
      </c>
    </row>
    <row r="50" spans="2:26">
      <c r="B50" s="1617"/>
      <c r="C50" s="1618">
        <v>34881</v>
      </c>
      <c r="D50" s="1617">
        <v>10.08</v>
      </c>
      <c r="E50" s="1617">
        <v>12.06</v>
      </c>
      <c r="F50" s="1617">
        <v>13.5</v>
      </c>
      <c r="G50" s="1617">
        <v>15.12</v>
      </c>
      <c r="H50" s="1617">
        <v>15.3</v>
      </c>
      <c r="I50" s="1617">
        <v>0</v>
      </c>
      <c r="J50" s="1617">
        <v>0</v>
      </c>
      <c r="L50" s="1617"/>
      <c r="M50" s="1618">
        <v>33106</v>
      </c>
      <c r="N50" s="1617">
        <v>2.16</v>
      </c>
      <c r="O50" s="1617">
        <v>4.32</v>
      </c>
      <c r="P50" s="1617">
        <v>6.48</v>
      </c>
      <c r="Q50" s="1617">
        <v>8.64</v>
      </c>
      <c r="R50" s="1617">
        <v>9.36</v>
      </c>
      <c r="S50" s="1617">
        <v>10.08</v>
      </c>
      <c r="T50" s="1617">
        <v>11.52</v>
      </c>
      <c r="U50" s="1617">
        <v>7.2</v>
      </c>
      <c r="V50" s="1617">
        <v>8.64</v>
      </c>
      <c r="W50" s="1617">
        <v>10.08</v>
      </c>
      <c r="X50" s="1617" t="s">
        <v>1331</v>
      </c>
      <c r="Y50" s="1617" t="s">
        <v>1331</v>
      </c>
      <c r="Z50" s="1617" t="s">
        <v>1331</v>
      </c>
    </row>
    <row r="51" spans="2:26">
      <c r="B51" s="1617"/>
      <c r="C51" s="1618">
        <v>34700</v>
      </c>
      <c r="D51" s="1617">
        <v>9</v>
      </c>
      <c r="E51" s="1617">
        <v>10.98</v>
      </c>
      <c r="F51" s="1617">
        <v>12.96</v>
      </c>
      <c r="G51" s="1617">
        <v>14.58</v>
      </c>
      <c r="H51" s="1617">
        <v>14.76</v>
      </c>
      <c r="I51" s="1617">
        <v>0</v>
      </c>
      <c r="J51" s="1617">
        <v>0</v>
      </c>
      <c r="L51" s="1617"/>
      <c r="M51" s="1618">
        <v>32978</v>
      </c>
      <c r="N51" s="1617">
        <v>2.88</v>
      </c>
      <c r="O51" s="1617">
        <v>6.3</v>
      </c>
      <c r="P51" s="1617">
        <v>7.74</v>
      </c>
      <c r="Q51" s="1617">
        <v>10.08</v>
      </c>
      <c r="R51" s="1617">
        <v>10.98</v>
      </c>
      <c r="S51" s="1617">
        <v>11.88</v>
      </c>
      <c r="T51" s="1617">
        <v>13.68</v>
      </c>
      <c r="U51" s="1617" t="s">
        <v>1331</v>
      </c>
      <c r="V51" s="1617" t="s">
        <v>1331</v>
      </c>
      <c r="W51" s="1617" t="s">
        <v>1331</v>
      </c>
      <c r="X51" s="1617" t="s">
        <v>1331</v>
      </c>
      <c r="Y51" s="1617" t="s">
        <v>1331</v>
      </c>
      <c r="Z51" s="1617" t="s">
        <v>1331</v>
      </c>
    </row>
    <row r="52" spans="2:26">
      <c r="B52" s="1617"/>
      <c r="C52" s="1618">
        <v>34161</v>
      </c>
      <c r="D52" s="1617">
        <v>9</v>
      </c>
      <c r="E52" s="1617">
        <v>10.98</v>
      </c>
      <c r="F52" s="1617">
        <v>12.24</v>
      </c>
      <c r="G52" s="1617">
        <v>13.86</v>
      </c>
      <c r="H52" s="1617">
        <v>14.04</v>
      </c>
      <c r="I52" s="1617">
        <v>0</v>
      </c>
      <c r="J52" s="1617">
        <v>0</v>
      </c>
      <c r="L52" s="1617"/>
      <c r="M52" s="1618"/>
      <c r="N52" s="1617"/>
      <c r="O52" s="1617"/>
      <c r="P52" s="1617"/>
      <c r="Q52" s="1617"/>
      <c r="R52" s="1617"/>
      <c r="S52" s="1617"/>
      <c r="T52" s="1617"/>
      <c r="U52" s="1617"/>
      <c r="V52" s="1617"/>
      <c r="W52" s="1617"/>
      <c r="X52" s="1617"/>
      <c r="Y52" s="1617"/>
      <c r="Z52" s="1617"/>
    </row>
    <row r="53" spans="2:26">
      <c r="B53" s="1617"/>
      <c r="C53" s="1618">
        <v>34104</v>
      </c>
      <c r="D53" s="1617">
        <v>8.82</v>
      </c>
      <c r="E53" s="1617">
        <v>9.36</v>
      </c>
      <c r="F53" s="1617">
        <v>10.8</v>
      </c>
      <c r="G53" s="1617">
        <v>12.06</v>
      </c>
      <c r="H53" s="1617">
        <v>12.24</v>
      </c>
      <c r="I53" s="1617">
        <v>0</v>
      </c>
      <c r="J53" s="1617">
        <v>0</v>
      </c>
      <c r="L53" s="1617"/>
      <c r="M53" s="1618"/>
      <c r="N53" s="1617"/>
      <c r="O53" s="1617"/>
      <c r="P53" s="1617"/>
      <c r="Q53" s="1617"/>
      <c r="R53" s="1617"/>
      <c r="S53" s="1617"/>
      <c r="T53" s="1617"/>
      <c r="U53" s="1617"/>
      <c r="V53" s="1617"/>
      <c r="W53" s="1617"/>
      <c r="X53" s="1617"/>
      <c r="Y53" s="1617"/>
      <c r="Z53" s="1617"/>
    </row>
    <row r="54" spans="2:26">
      <c r="B54" s="1617"/>
      <c r="C54" s="1618">
        <v>33349</v>
      </c>
      <c r="D54" s="1617">
        <v>8.1</v>
      </c>
      <c r="E54" s="1617">
        <v>8.64</v>
      </c>
      <c r="F54" s="1617">
        <v>9</v>
      </c>
      <c r="G54" s="1617">
        <v>9.5399999999999991</v>
      </c>
      <c r="H54" s="1617">
        <v>9.7200000000000006</v>
      </c>
      <c r="I54" s="1617">
        <v>0</v>
      </c>
      <c r="J54" s="1617">
        <v>0</v>
      </c>
      <c r="L54" s="1617"/>
      <c r="M54" s="1618"/>
      <c r="N54" s="1617"/>
      <c r="O54" s="1617"/>
      <c r="P54" s="1617"/>
      <c r="Q54" s="1617"/>
      <c r="R54" s="1617"/>
      <c r="S54" s="1617"/>
      <c r="T54" s="1617"/>
      <c r="U54" s="1617"/>
      <c r="V54" s="1617"/>
      <c r="W54" s="1617"/>
      <c r="X54" s="1617"/>
      <c r="Y54" s="1617"/>
      <c r="Z54" s="1617"/>
    </row>
    <row r="55" spans="2:26">
      <c r="B55" s="1617"/>
      <c r="C55" s="1618">
        <v>33318</v>
      </c>
      <c r="D55" s="1617">
        <v>9</v>
      </c>
      <c r="E55" s="1617">
        <v>10.08</v>
      </c>
      <c r="F55" s="1617">
        <v>10.8</v>
      </c>
      <c r="G55" s="1617">
        <v>11.52</v>
      </c>
      <c r="H55" s="1617">
        <v>11.88</v>
      </c>
      <c r="I55" s="1617" t="s">
        <v>1331</v>
      </c>
      <c r="J55" s="1617" t="s">
        <v>1331</v>
      </c>
      <c r="L55" s="1617"/>
      <c r="M55" s="1618"/>
      <c r="N55" s="1617"/>
      <c r="O55" s="1617"/>
      <c r="P55" s="1617"/>
      <c r="Q55" s="1617"/>
      <c r="R55" s="1617"/>
      <c r="S55" s="1617"/>
      <c r="T55" s="1617"/>
      <c r="U55" s="1617"/>
      <c r="V55" s="1617"/>
      <c r="W55" s="1617"/>
      <c r="X55" s="1617"/>
      <c r="Y55" s="1617"/>
      <c r="Z55" s="1617"/>
    </row>
    <row r="56" spans="2:26">
      <c r="B56" s="1617"/>
      <c r="C56" s="1618">
        <v>33106</v>
      </c>
      <c r="D56" s="1617">
        <v>8.64</v>
      </c>
      <c r="E56" s="1617">
        <v>9.36</v>
      </c>
      <c r="F56" s="1617">
        <v>10.08</v>
      </c>
      <c r="G56" s="1617">
        <v>10.8</v>
      </c>
      <c r="H56" s="1617">
        <v>11.16</v>
      </c>
      <c r="I56" s="1617">
        <v>0</v>
      </c>
      <c r="J56" s="1617">
        <v>0</v>
      </c>
      <c r="L56" s="1617"/>
      <c r="M56" s="1618"/>
      <c r="N56" s="1617"/>
      <c r="O56" s="1617"/>
      <c r="P56" s="1617"/>
      <c r="Q56" s="1617"/>
      <c r="R56" s="1617"/>
      <c r="S56" s="1617"/>
      <c r="T56" s="1617"/>
      <c r="U56" s="1617"/>
      <c r="V56" s="1617"/>
      <c r="W56" s="1617"/>
      <c r="X56" s="1617"/>
      <c r="Y56" s="1617"/>
      <c r="Z56" s="1617"/>
    </row>
    <row r="57" spans="2:26">
      <c r="B57" s="1617"/>
      <c r="C57" s="1618">
        <v>32540</v>
      </c>
      <c r="D57" s="1617">
        <v>11.34</v>
      </c>
      <c r="E57" s="1617">
        <v>11.34</v>
      </c>
      <c r="F57" s="1617">
        <v>12.78</v>
      </c>
      <c r="G57" s="1617">
        <v>14.4</v>
      </c>
      <c r="H57" s="1617">
        <v>19.260000000000002</v>
      </c>
      <c r="I57" s="1617">
        <v>0</v>
      </c>
      <c r="J57" s="1617">
        <v>0</v>
      </c>
      <c r="L57" s="1617"/>
      <c r="M57" s="1618"/>
      <c r="N57" s="1617"/>
      <c r="O57" s="1617"/>
      <c r="P57" s="1617"/>
      <c r="Q57" s="1617"/>
      <c r="R57" s="1617"/>
      <c r="S57" s="1617"/>
      <c r="T57" s="1617"/>
      <c r="U57" s="1617"/>
      <c r="V57" s="1617"/>
      <c r="W57" s="1617"/>
      <c r="X57" s="1617"/>
      <c r="Y57" s="1617"/>
      <c r="Z57" s="1617"/>
    </row>
    <row r="58" spans="2:26">
      <c r="B58" s="1617"/>
      <c r="C58" s="1618"/>
      <c r="D58" s="1617"/>
      <c r="E58" s="1617"/>
      <c r="F58" s="1617"/>
      <c r="G58" s="1617"/>
      <c r="H58" s="1617"/>
      <c r="I58" s="1617"/>
      <c r="J58" s="1617"/>
    </row>
    <row r="59" spans="2:26">
      <c r="B59" s="1621"/>
      <c r="C59" s="1622"/>
      <c r="D59" s="1621"/>
      <c r="E59" s="1621"/>
      <c r="F59" s="1621"/>
      <c r="G59" s="1621"/>
      <c r="H59" s="1621"/>
      <c r="I59" s="1621"/>
      <c r="J59" s="1621"/>
    </row>
    <row r="60" spans="2:26">
      <c r="B60" s="1621"/>
      <c r="C60" s="1622"/>
      <c r="D60" s="1621"/>
      <c r="E60" s="1621"/>
      <c r="F60" s="1621"/>
      <c r="G60" s="1621"/>
      <c r="H60" s="1621"/>
      <c r="I60" s="1621"/>
      <c r="J60" s="1621"/>
    </row>
    <row r="61" spans="2:26">
      <c r="B61" s="1621"/>
      <c r="C61" s="1622"/>
      <c r="D61" s="1621"/>
      <c r="E61" s="1621"/>
      <c r="F61" s="1621"/>
      <c r="G61" s="1621"/>
      <c r="H61" s="1621"/>
      <c r="I61" s="1621"/>
      <c r="J61" s="1621"/>
    </row>
    <row r="62" spans="2:26">
      <c r="B62" s="1568"/>
      <c r="C62" s="1568"/>
      <c r="D62" s="1568"/>
      <c r="E62" s="1568"/>
      <c r="F62" s="1568"/>
      <c r="G62" s="1568"/>
      <c r="H62" s="1568"/>
      <c r="I62" s="1568"/>
      <c r="J62" s="1568"/>
    </row>
    <row r="63" spans="2:26">
      <c r="B63" s="1568"/>
      <c r="C63" s="1568"/>
      <c r="D63" s="1568"/>
      <c r="E63" s="1568"/>
      <c r="F63" s="1568"/>
      <c r="G63" s="1568"/>
      <c r="H63" s="1568"/>
      <c r="I63" s="1568"/>
      <c r="J63" s="1568"/>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10" t="s">
        <v>1372</v>
      </c>
      <c r="E1" s="1704" t="s">
        <v>1376</v>
      </c>
      <c r="F1" s="1705" t="s">
        <v>1380</v>
      </c>
    </row>
    <row r="2" spans="1:13" ht="20.25">
      <c r="A2" s="1711" t="s">
        <v>1373</v>
      </c>
    </row>
    <row r="3" spans="1:13" ht="16.5">
      <c r="A3" s="1712" t="s">
        <v>1374</v>
      </c>
    </row>
    <row r="4" spans="1:13" ht="14.25">
      <c r="A4" s="1702" t="s">
        <v>1375</v>
      </c>
      <c r="B4" s="1707" t="s">
        <v>1377</v>
      </c>
      <c r="C4" s="1708"/>
      <c r="D4" s="1709"/>
      <c r="E4" s="1707" t="s">
        <v>27</v>
      </c>
      <c r="F4" s="1708"/>
      <c r="G4" s="1709"/>
      <c r="H4" s="1707" t="s">
        <v>1378</v>
      </c>
      <c r="I4" s="1708"/>
      <c r="J4" s="1709"/>
      <c r="K4" s="1707" t="s">
        <v>6</v>
      </c>
      <c r="L4" s="1708"/>
      <c r="M4" s="1709"/>
    </row>
    <row r="5" spans="1:13" ht="14.25">
      <c r="A5" s="1703" t="s">
        <v>1379</v>
      </c>
      <c r="B5" s="1702" t="s">
        <v>1381</v>
      </c>
      <c r="C5" s="1702" t="s">
        <v>1382</v>
      </c>
      <c r="D5" s="1702" t="s">
        <v>1383</v>
      </c>
      <c r="E5" s="1702" t="s">
        <v>1381</v>
      </c>
      <c r="F5" s="1702" t="s">
        <v>1382</v>
      </c>
      <c r="G5" s="1702" t="s">
        <v>1383</v>
      </c>
      <c r="H5" s="1702" t="s">
        <v>1381</v>
      </c>
      <c r="I5" s="1702" t="s">
        <v>1382</v>
      </c>
      <c r="J5" s="1702" t="s">
        <v>1383</v>
      </c>
      <c r="K5" s="1702" t="s">
        <v>1381</v>
      </c>
      <c r="L5" s="1702" t="s">
        <v>1382</v>
      </c>
      <c r="M5" s="1702" t="s">
        <v>1383</v>
      </c>
    </row>
    <row r="6" spans="1:13" ht="14.25">
      <c r="A6" s="1706" t="s">
        <v>212</v>
      </c>
      <c r="B6" s="1713">
        <v>26980</v>
      </c>
      <c r="C6" s="1713">
        <v>32980</v>
      </c>
      <c r="D6" s="1713">
        <v>29980</v>
      </c>
      <c r="E6" s="1713">
        <v>26170</v>
      </c>
      <c r="F6" s="1713">
        <v>31990</v>
      </c>
      <c r="G6" s="1713">
        <v>29080</v>
      </c>
      <c r="H6" s="1713">
        <v>25850</v>
      </c>
      <c r="I6" s="1713">
        <v>31590</v>
      </c>
      <c r="J6" s="1713">
        <v>28720</v>
      </c>
      <c r="K6" s="1713">
        <v>9860</v>
      </c>
      <c r="L6" s="1714">
        <v>13340</v>
      </c>
      <c r="M6" s="1713">
        <v>11600</v>
      </c>
    </row>
    <row r="7" spans="1:13" ht="14.25">
      <c r="A7" s="1706" t="s">
        <v>269</v>
      </c>
      <c r="B7" s="1713">
        <v>21970</v>
      </c>
      <c r="C7" s="1713">
        <v>28730</v>
      </c>
      <c r="D7" s="1713">
        <v>25350</v>
      </c>
      <c r="E7" s="1713">
        <v>21480</v>
      </c>
      <c r="F7" s="1713">
        <v>28080</v>
      </c>
      <c r="G7" s="1713">
        <v>24780</v>
      </c>
      <c r="H7" s="1713">
        <v>21250</v>
      </c>
      <c r="I7" s="1713">
        <v>27790</v>
      </c>
      <c r="J7" s="1713">
        <v>24520</v>
      </c>
      <c r="K7" s="1713">
        <v>6660</v>
      </c>
      <c r="L7" s="1714">
        <v>10000</v>
      </c>
      <c r="M7" s="1713">
        <v>8330</v>
      </c>
    </row>
    <row r="8" spans="1:13" ht="14.25">
      <c r="A8" s="1706" t="s">
        <v>442</v>
      </c>
      <c r="B8" s="1713">
        <v>17430</v>
      </c>
      <c r="C8" s="1713">
        <v>24410</v>
      </c>
      <c r="D8" s="1713">
        <v>20920</v>
      </c>
      <c r="E8" s="1713">
        <v>17140</v>
      </c>
      <c r="F8" s="1713">
        <v>24000</v>
      </c>
      <c r="G8" s="1713">
        <v>20570</v>
      </c>
      <c r="H8" s="1713">
        <v>16990</v>
      </c>
      <c r="I8" s="1713">
        <v>23790</v>
      </c>
      <c r="J8" s="1713">
        <v>20390</v>
      </c>
      <c r="K8" s="1713">
        <v>4530</v>
      </c>
      <c r="L8" s="1714">
        <v>6790</v>
      </c>
      <c r="M8" s="1713">
        <v>5660</v>
      </c>
    </row>
    <row r="9" spans="1:13" ht="14.25">
      <c r="A9" s="1706" t="s">
        <v>137</v>
      </c>
      <c r="B9" s="1713">
        <v>13330</v>
      </c>
      <c r="C9" s="1713">
        <v>19990</v>
      </c>
      <c r="D9" s="1713">
        <v>16660</v>
      </c>
      <c r="E9" s="1713">
        <v>13160</v>
      </c>
      <c r="F9" s="1713">
        <v>19740</v>
      </c>
      <c r="G9" s="1713">
        <v>16450</v>
      </c>
      <c r="H9" s="1713">
        <v>13060</v>
      </c>
      <c r="I9" s="1713">
        <v>19600</v>
      </c>
      <c r="J9" s="1713">
        <v>16330</v>
      </c>
      <c r="K9" s="1713">
        <v>3090</v>
      </c>
      <c r="L9" s="1714">
        <v>4650</v>
      </c>
      <c r="M9" s="1713">
        <v>3870</v>
      </c>
    </row>
    <row r="10" spans="1:13" ht="14.25">
      <c r="A10" s="1706" t="s">
        <v>523</v>
      </c>
      <c r="B10" s="1713">
        <v>10420</v>
      </c>
      <c r="C10" s="1713">
        <v>15620</v>
      </c>
      <c r="D10" s="1713">
        <v>13020</v>
      </c>
      <c r="E10" s="1713">
        <v>10310</v>
      </c>
      <c r="F10" s="1713">
        <v>15470</v>
      </c>
      <c r="G10" s="1713">
        <v>12890</v>
      </c>
      <c r="H10" s="1713">
        <v>10250</v>
      </c>
      <c r="I10" s="1713">
        <v>15370</v>
      </c>
      <c r="J10" s="1713">
        <v>12810</v>
      </c>
      <c r="K10" s="1713">
        <v>2140</v>
      </c>
      <c r="L10" s="1714">
        <v>3200</v>
      </c>
      <c r="M10" s="1713">
        <v>2670</v>
      </c>
    </row>
    <row r="11" spans="1:13" ht="14.25">
      <c r="A11" s="1706" t="s">
        <v>56</v>
      </c>
      <c r="B11" s="1713">
        <v>8130</v>
      </c>
      <c r="C11" s="1713">
        <v>12190</v>
      </c>
      <c r="D11" s="1713">
        <v>10160</v>
      </c>
      <c r="E11" s="1713">
        <v>8060</v>
      </c>
      <c r="F11" s="1713">
        <v>12080</v>
      </c>
      <c r="G11" s="1713">
        <v>10070</v>
      </c>
      <c r="H11" s="1713">
        <v>8010</v>
      </c>
      <c r="I11" s="1713">
        <v>12010</v>
      </c>
      <c r="J11" s="1713">
        <v>10010</v>
      </c>
      <c r="K11" s="1713">
        <v>1490</v>
      </c>
      <c r="L11" s="1714">
        <v>2250</v>
      </c>
      <c r="M11" s="1713">
        <v>1870</v>
      </c>
    </row>
    <row r="12" spans="1:13" ht="14.25">
      <c r="A12" s="1706" t="s">
        <v>526</v>
      </c>
      <c r="B12" s="1713">
        <v>5940</v>
      </c>
      <c r="C12" s="1713">
        <v>8900</v>
      </c>
      <c r="D12" s="1713">
        <v>7420</v>
      </c>
      <c r="E12" s="1713">
        <v>5880</v>
      </c>
      <c r="F12" s="1713">
        <v>8820</v>
      </c>
      <c r="G12" s="1713">
        <v>7350</v>
      </c>
      <c r="H12" s="1713">
        <v>5840</v>
      </c>
      <c r="I12" s="1713">
        <v>8760</v>
      </c>
      <c r="J12" s="1713">
        <v>7300</v>
      </c>
      <c r="K12" s="1713">
        <v>1060</v>
      </c>
      <c r="L12" s="1714">
        <v>1600</v>
      </c>
      <c r="M12" s="1713">
        <v>1330</v>
      </c>
    </row>
    <row r="13" spans="1:13" ht="14.25">
      <c r="A13" s="1706" t="s">
        <v>528</v>
      </c>
      <c r="B13" s="1713">
        <v>3970</v>
      </c>
      <c r="C13" s="1713">
        <v>6330</v>
      </c>
      <c r="D13" s="1713">
        <v>5150</v>
      </c>
      <c r="E13" s="1713">
        <v>3920</v>
      </c>
      <c r="F13" s="1713">
        <v>6260</v>
      </c>
      <c r="G13" s="1713">
        <v>5090</v>
      </c>
      <c r="H13" s="1713">
        <v>3890</v>
      </c>
      <c r="I13" s="1713">
        <v>6210</v>
      </c>
      <c r="J13" s="1713">
        <v>5050</v>
      </c>
      <c r="K13" s="1713">
        <v>780</v>
      </c>
      <c r="L13" s="1714">
        <v>1160</v>
      </c>
      <c r="M13" s="1713">
        <v>970</v>
      </c>
    </row>
    <row r="14" spans="1:13" ht="14.25">
      <c r="A14" s="1706" t="s">
        <v>530</v>
      </c>
      <c r="B14" s="1713">
        <v>2680</v>
      </c>
      <c r="C14" s="1713">
        <v>4280</v>
      </c>
      <c r="D14" s="1713">
        <v>3480</v>
      </c>
      <c r="E14" s="1713">
        <v>2640</v>
      </c>
      <c r="F14" s="1713">
        <v>4220</v>
      </c>
      <c r="G14" s="1713">
        <v>3430</v>
      </c>
      <c r="H14" s="1713">
        <v>2620</v>
      </c>
      <c r="I14" s="1713">
        <v>4180</v>
      </c>
      <c r="J14" s="1713">
        <v>3400</v>
      </c>
      <c r="K14" s="1713">
        <v>580</v>
      </c>
      <c r="L14" s="1714">
        <v>880</v>
      </c>
      <c r="M14" s="1713">
        <v>730</v>
      </c>
    </row>
    <row r="15" spans="1:13" ht="14.25">
      <c r="A15" s="1706" t="s">
        <v>534</v>
      </c>
      <c r="B15" s="1713">
        <v>1700</v>
      </c>
      <c r="C15" s="1713">
        <v>2840</v>
      </c>
      <c r="D15" s="1713">
        <v>2270</v>
      </c>
      <c r="E15" s="1713">
        <v>1670</v>
      </c>
      <c r="F15" s="1713">
        <v>2790</v>
      </c>
      <c r="G15" s="1713">
        <v>2230</v>
      </c>
      <c r="H15" s="1713">
        <v>1650</v>
      </c>
      <c r="I15" s="1713">
        <v>2750</v>
      </c>
      <c r="J15" s="1713">
        <v>2200</v>
      </c>
      <c r="K15" s="1713">
        <v>450</v>
      </c>
      <c r="L15" s="1714">
        <v>670</v>
      </c>
      <c r="M15" s="1713">
        <v>560</v>
      </c>
    </row>
    <row r="16" spans="1:13" ht="14.25">
      <c r="A16" s="1706" t="s">
        <v>814</v>
      </c>
      <c r="B16" s="1713">
        <v>1070</v>
      </c>
      <c r="C16" s="1713">
        <v>1790</v>
      </c>
      <c r="D16" s="1713">
        <v>1430</v>
      </c>
      <c r="E16" s="1713">
        <v>1050</v>
      </c>
      <c r="F16" s="1713">
        <v>1750</v>
      </c>
      <c r="G16" s="1713">
        <v>1400</v>
      </c>
      <c r="H16" s="1713">
        <v>1030</v>
      </c>
      <c r="I16" s="1713">
        <v>1730</v>
      </c>
      <c r="J16" s="1713">
        <v>1380</v>
      </c>
      <c r="K16" s="1713">
        <v>350</v>
      </c>
      <c r="L16" s="1714">
        <v>530</v>
      </c>
      <c r="M16" s="1713">
        <v>440</v>
      </c>
    </row>
    <row r="17" spans="1:13" ht="14.25">
      <c r="A17" s="1706" t="s">
        <v>815</v>
      </c>
      <c r="B17" s="1713">
        <v>680</v>
      </c>
      <c r="C17" s="1713">
        <v>1120</v>
      </c>
      <c r="D17" s="1713">
        <v>900</v>
      </c>
      <c r="E17" s="1713">
        <v>650</v>
      </c>
      <c r="F17" s="1713">
        <v>1090</v>
      </c>
      <c r="G17" s="1713">
        <v>870</v>
      </c>
      <c r="H17" s="1713">
        <v>630</v>
      </c>
      <c r="I17" s="1713">
        <v>1070</v>
      </c>
      <c r="J17" s="1713">
        <v>850</v>
      </c>
      <c r="K17" s="1713">
        <v>280</v>
      </c>
      <c r="L17" s="1714">
        <v>420</v>
      </c>
      <c r="M17" s="1713">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71" customWidth="1"/>
    <col min="2" max="9" width="12.125" style="1871" customWidth="1"/>
    <col min="10" max="16384" width="9" style="1871"/>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1641</v>
      </c>
      <c r="B2" s="3059" t="s">
        <v>1642</v>
      </c>
      <c r="C2" s="3059" t="s">
        <v>1643</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990" t="s">
        <v>1638</v>
      </c>
      <c r="E3" s="990" t="s">
        <v>1644</v>
      </c>
      <c r="F3" s="990" t="s">
        <v>1638</v>
      </c>
      <c r="G3" s="990" t="s">
        <v>1639</v>
      </c>
      <c r="H3" s="990" t="s">
        <v>1638</v>
      </c>
      <c r="I3" s="990" t="s">
        <v>1639</v>
      </c>
    </row>
    <row r="4" spans="1:9" ht="60">
      <c r="A4" s="1899" t="str">
        <f>项目基本情况!S2</f>
        <v>上海市松江区泗泾镇7街坊4/20丘“融创壹号府”居住项目出让国有建设用地使用权及在建建筑物房地产</v>
      </c>
      <c r="B4" s="990">
        <f>项目基本情况!C17</f>
        <v>119454.59</v>
      </c>
      <c r="C4" s="990">
        <f>项目基本情况!C18</f>
        <v>43598.5</v>
      </c>
      <c r="D4" s="990">
        <f ca="1">结果表!D118</f>
        <v>305237</v>
      </c>
      <c r="E4" s="990">
        <f ca="1">结果表!E118</f>
        <v>25553</v>
      </c>
      <c r="F4" s="990">
        <f ca="1">结果表!F118</f>
        <v>32414</v>
      </c>
      <c r="G4" s="990">
        <f ca="1">结果表!G118</f>
        <v>2713</v>
      </c>
      <c r="H4" s="990">
        <f ca="1">结果表!H118</f>
        <v>337651</v>
      </c>
      <c r="I4" s="990">
        <f ca="1">结果表!I118</f>
        <v>28266</v>
      </c>
    </row>
    <row r="5" spans="1:9" ht="30" customHeight="1">
      <c r="A5" s="3060" t="s">
        <v>1640</v>
      </c>
      <c r="B5" s="3060"/>
      <c r="C5" s="3060"/>
      <c r="D5" s="3061" t="str">
        <f ca="1">结果表!D119</f>
        <v>叁拾亿伍仟贰佰叁拾柒万元整</v>
      </c>
      <c r="E5" s="3061"/>
      <c r="F5" s="3061" t="str">
        <f ca="1">结果表!F119</f>
        <v>叁亿贰仟肆佰壹拾肆万元整</v>
      </c>
      <c r="G5" s="3061"/>
      <c r="H5" s="3061" t="str">
        <f ca="1">结果表!H119</f>
        <v>叁拾叁亿柒仟陆佰伍拾壹万元整</v>
      </c>
      <c r="I5" s="3061"/>
    </row>
    <row r="6" spans="1:9" ht="15.75">
      <c r="A6" s="3062" t="str">
        <f>结果表!A120</f>
        <v>估价师知悉的法定优先受偿款</v>
      </c>
      <c r="B6" s="3062"/>
      <c r="C6" s="3062"/>
      <c r="D6" s="3062">
        <f>结果表!D120</f>
        <v>16404</v>
      </c>
      <c r="E6" s="3062"/>
      <c r="F6" s="3062"/>
      <c r="G6" s="3062"/>
      <c r="H6" s="3062"/>
      <c r="I6" s="3062"/>
    </row>
    <row r="7" spans="1:9" ht="15">
      <c r="A7" s="3060" t="s">
        <v>1640</v>
      </c>
      <c r="B7" s="3060"/>
      <c r="C7" s="3060"/>
      <c r="D7" s="3063" t="str">
        <f>结果表!D121</f>
        <v>壹亿陆仟肆佰零肆万元整</v>
      </c>
      <c r="E7" s="3064"/>
      <c r="F7" s="3064"/>
      <c r="G7" s="3064"/>
      <c r="H7" s="3064"/>
      <c r="I7" s="3065"/>
    </row>
    <row r="8" spans="1:9" ht="15.75">
      <c r="A8" s="3062" t="str">
        <f>结果表!A122</f>
        <v/>
      </c>
      <c r="B8" s="3062"/>
      <c r="C8" s="3062"/>
      <c r="D8" s="3062" t="str">
        <f>结果表!D122</f>
        <v>——</v>
      </c>
      <c r="E8" s="3062"/>
      <c r="F8" s="3062"/>
      <c r="G8" s="3062"/>
      <c r="H8" s="3062"/>
      <c r="I8" s="3062"/>
    </row>
    <row r="9" spans="1:9" ht="15">
      <c r="A9" s="3060" t="s">
        <v>1640</v>
      </c>
      <c r="B9" s="3060"/>
      <c r="C9" s="3060"/>
      <c r="D9" s="3061" t="e">
        <f>结果表!D123</f>
        <v>#VALUE!</v>
      </c>
      <c r="E9" s="3061"/>
      <c r="F9" s="3061"/>
      <c r="G9" s="3061"/>
      <c r="H9" s="3061"/>
      <c r="I9" s="3061"/>
    </row>
    <row r="10" spans="1:9" ht="15.75">
      <c r="A10" s="3062" t="str">
        <f>结果表!A124</f>
        <v>抵押担保权已注销时的房地产抵押价值</v>
      </c>
      <c r="B10" s="3062"/>
      <c r="C10" s="3062"/>
      <c r="D10" s="3062">
        <f ca="1">结果表!D124</f>
        <v>321247</v>
      </c>
      <c r="E10" s="3062"/>
      <c r="F10" s="3062"/>
      <c r="G10" s="3062"/>
      <c r="H10" s="3062"/>
      <c r="I10" s="3062"/>
    </row>
    <row r="11" spans="1:9" ht="15">
      <c r="A11" s="3060" t="s">
        <v>1640</v>
      </c>
      <c r="B11" s="3060"/>
      <c r="C11" s="3060"/>
      <c r="D11" s="3061" t="str">
        <f ca="1">结果表!D125</f>
        <v>叁拾贰亿壹仟贰佰肆拾柒万元整</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1640</v>
      </c>
      <c r="B13" s="3066"/>
      <c r="C13" s="3066"/>
      <c r="D13" s="3067" t="e">
        <f>结果表!D127</f>
        <v>#VALUE!</v>
      </c>
      <c r="E13" s="3067"/>
      <c r="F13" s="3067"/>
      <c r="G13" s="3067"/>
      <c r="H13" s="3067"/>
      <c r="I13" s="3067"/>
    </row>
    <row r="14" spans="1:9" ht="15" thickTop="1">
      <c r="A14" s="3068" t="s">
        <v>1645</v>
      </c>
      <c r="B14" s="3068"/>
      <c r="C14" s="3068"/>
      <c r="D14" s="3068"/>
      <c r="E14" s="3068"/>
      <c r="F14" s="3068"/>
      <c r="G14" s="3068"/>
      <c r="H14" s="3068"/>
      <c r="I14" s="3068"/>
    </row>
    <row r="16" spans="1:9" ht="18.75">
      <c r="A16" s="1900" t="s">
        <v>1628</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D52" sqref="D52"/>
    </sheetView>
  </sheetViews>
  <sheetFormatPr defaultRowHeight="13.5"/>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71" customWidth="1"/>
    <col min="2" max="3" width="22.375" style="1871" customWidth="1"/>
    <col min="4" max="4" width="23" style="1871" customWidth="1"/>
    <col min="5" max="16384" width="9" style="1871"/>
  </cols>
  <sheetData>
    <row r="1" spans="1:4" ht="18.75">
      <c r="A1" s="3069" t="s">
        <v>1662</v>
      </c>
      <c r="B1" s="3069"/>
      <c r="C1" s="3069"/>
      <c r="D1" s="3069"/>
    </row>
    <row r="2" spans="1:4" ht="18">
      <c r="A2" s="3070" t="s">
        <v>1646</v>
      </c>
      <c r="B2" s="3070"/>
      <c r="C2" s="3070"/>
      <c r="D2" s="3070"/>
    </row>
    <row r="3" spans="1:4" ht="18.75">
      <c r="A3" s="1903" t="s">
        <v>1647</v>
      </c>
      <c r="B3" s="1903" t="s">
        <v>1648</v>
      </c>
      <c r="C3" s="1903" t="s">
        <v>1649</v>
      </c>
      <c r="D3" s="1903" t="s">
        <v>1650</v>
      </c>
    </row>
    <row r="4" spans="1:4" ht="56.25" customHeight="1">
      <c r="A4" s="1904" t="str">
        <f>项目基本情况!B4</f>
        <v>郑燚</v>
      </c>
      <c r="B4" s="1905">
        <f ca="1">项目基本情况!C4</f>
        <v>1120070131</v>
      </c>
      <c r="C4" s="1906"/>
      <c r="D4" s="1907" t="s">
        <v>1651</v>
      </c>
    </row>
    <row r="5" spans="1:4" ht="56.25" customHeight="1">
      <c r="A5" s="1904" t="str">
        <f>项目基本情况!D4</f>
        <v>王鹏</v>
      </c>
      <c r="B5" s="1905">
        <f ca="1">项目基本情况!E4</f>
        <v>1120050019</v>
      </c>
      <c r="C5" s="1908"/>
      <c r="D5" s="1907" t="s">
        <v>1651</v>
      </c>
    </row>
    <row r="6" spans="1:4" ht="18">
      <c r="A6" s="3070" t="s">
        <v>1652</v>
      </c>
      <c r="B6" s="3070"/>
      <c r="C6" s="3070"/>
      <c r="D6" s="3070"/>
    </row>
    <row r="7" spans="1:4" ht="18.75">
      <c r="A7" s="1903" t="s">
        <v>1647</v>
      </c>
      <c r="B7" s="1905" t="s">
        <v>1653</v>
      </c>
      <c r="C7" s="1903" t="s">
        <v>1649</v>
      </c>
      <c r="D7" s="1903" t="s">
        <v>1650</v>
      </c>
    </row>
    <row r="8" spans="1:4" ht="56.25" customHeight="1">
      <c r="A8" s="1909" t="s">
        <v>869</v>
      </c>
      <c r="B8" s="1909" t="s">
        <v>1</v>
      </c>
      <c r="C8" s="1906"/>
      <c r="D8" s="1907" t="s">
        <v>1651</v>
      </c>
    </row>
    <row r="9" spans="1:4">
      <c r="A9" s="671"/>
      <c r="B9" s="671"/>
      <c r="C9" s="671"/>
      <c r="D9" s="671"/>
    </row>
    <row r="10" spans="1:4" ht="18.75">
      <c r="A10" s="1910" t="s">
        <v>1654</v>
      </c>
      <c r="B10" s="671"/>
      <c r="C10" s="671"/>
      <c r="D10" s="671"/>
    </row>
    <row r="11" spans="1:4" ht="30" customHeight="1">
      <c r="A11" s="3071" t="s">
        <v>1655</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5" t="s">
        <v>1656</v>
      </c>
      <c r="B16" s="3075"/>
      <c r="C16" s="3075"/>
      <c r="D16" s="3075"/>
    </row>
    <row r="17" spans="1:4" ht="144" customHeight="1">
      <c r="A17" s="3075" t="s">
        <v>1657</v>
      </c>
      <c r="B17" s="3075"/>
      <c r="C17" s="3075"/>
      <c r="D17" s="3075"/>
    </row>
    <row r="18" spans="1:4" ht="15.75" customHeight="1">
      <c r="A18" s="3072" t="str">
        <f>IF(项目基本情况!B8="抵押",结果表!K120,"——")</f>
        <v>故，本次评估估价师知悉的法定优先受偿款为人民币16404万元整。</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1658</v>
      </c>
      <c r="B22" s="3077"/>
      <c r="C22" s="3077"/>
      <c r="D22" s="3077"/>
    </row>
    <row r="23" spans="1:4">
      <c r="A23" s="1911"/>
      <c r="B23" s="1883"/>
      <c r="C23" s="1883"/>
      <c r="D23" s="1883"/>
    </row>
    <row r="24" spans="1:4">
      <c r="A24" s="1911"/>
      <c r="B24" s="1883"/>
      <c r="C24" s="1883"/>
      <c r="D24" s="1883"/>
    </row>
    <row r="25" spans="1:4" ht="18.75">
      <c r="A25" s="1912" t="s">
        <v>1659</v>
      </c>
    </row>
    <row r="26" spans="1:4" ht="18">
      <c r="A26" s="1881"/>
    </row>
    <row r="27" spans="1:4" ht="18.75">
      <c r="A27" s="1881" t="s">
        <v>1660</v>
      </c>
    </row>
    <row r="30" spans="1:4" ht="18.75">
      <c r="D30" s="1912" t="s">
        <v>1661</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69" customWidth="1"/>
    <col min="3" max="10" width="12.5" style="1869" customWidth="1"/>
    <col min="11" max="16384" width="9" style="1869"/>
  </cols>
  <sheetData>
    <row r="1" spans="1:10" ht="18.75">
      <c r="A1" s="1902" t="s">
        <v>870</v>
      </c>
      <c r="B1" s="1913"/>
      <c r="C1" s="1913"/>
      <c r="D1" s="1913"/>
      <c r="E1" s="1913"/>
      <c r="F1" s="1913"/>
      <c r="G1" s="1913"/>
      <c r="H1" s="1913"/>
      <c r="I1" s="1913"/>
      <c r="J1" s="1913"/>
    </row>
    <row r="2" spans="1:10" ht="18.75">
      <c r="A2" s="1914"/>
      <c r="B2" s="1913"/>
      <c r="C2" s="1913"/>
      <c r="D2" s="1913"/>
      <c r="E2" s="1913"/>
      <c r="F2" s="1913"/>
      <c r="G2" s="1913"/>
      <c r="H2" s="1913"/>
      <c r="I2" s="1913"/>
      <c r="J2" s="1913"/>
    </row>
    <row r="3" spans="1:10">
      <c r="A3" s="1913"/>
      <c r="B3" s="1913"/>
      <c r="C3" s="1913"/>
      <c r="D3" s="1913"/>
      <c r="E3" s="1913"/>
      <c r="F3" s="1913"/>
      <c r="G3" s="1913"/>
      <c r="H3" s="1913"/>
      <c r="I3" s="1913"/>
      <c r="J3" s="1913"/>
    </row>
    <row r="4" spans="1:10">
      <c r="A4" s="1913"/>
      <c r="B4" s="1913"/>
      <c r="C4" s="1913"/>
      <c r="D4" s="1913"/>
      <c r="E4" s="1913"/>
      <c r="F4" s="1913"/>
      <c r="G4" s="1913"/>
      <c r="H4" s="1913"/>
      <c r="I4" s="1913"/>
      <c r="J4" s="1913"/>
    </row>
    <row r="5" spans="1:10">
      <c r="A5" s="1913"/>
      <c r="B5" s="1913"/>
      <c r="C5" s="1913"/>
      <c r="D5" s="1913"/>
      <c r="E5" s="1913"/>
      <c r="F5" s="1913"/>
      <c r="G5" s="1913"/>
      <c r="H5" s="1913"/>
      <c r="I5" s="1913"/>
      <c r="J5" s="1913"/>
    </row>
    <row r="6" spans="1:10">
      <c r="A6" s="1913"/>
      <c r="B6" s="1913"/>
      <c r="C6" s="1913"/>
      <c r="D6" s="1913"/>
      <c r="E6" s="1913"/>
      <c r="F6" s="1913"/>
      <c r="G6" s="1913"/>
      <c r="H6" s="1913"/>
      <c r="I6" s="1913"/>
      <c r="J6" s="1913"/>
    </row>
    <row r="7" spans="1:10">
      <c r="A7" s="1913"/>
      <c r="B7" s="1913"/>
      <c r="C7" s="1913"/>
      <c r="D7" s="1913"/>
      <c r="E7" s="1913"/>
      <c r="F7" s="1913"/>
      <c r="G7" s="1913"/>
      <c r="H7" s="1913"/>
      <c r="I7" s="1913"/>
      <c r="J7" s="1913"/>
    </row>
    <row r="8" spans="1:10">
      <c r="A8" s="1913"/>
      <c r="B8" s="1913"/>
      <c r="C8" s="1913"/>
      <c r="D8" s="1913"/>
      <c r="E8" s="1913"/>
      <c r="F8" s="1913"/>
      <c r="G8" s="1913"/>
      <c r="H8" s="1913"/>
      <c r="I8" s="1913"/>
      <c r="J8" s="1913"/>
    </row>
    <row r="9" spans="1:10">
      <c r="A9" s="1913"/>
      <c r="B9" s="1913"/>
      <c r="C9" s="1913"/>
      <c r="D9" s="1913"/>
      <c r="E9" s="1913"/>
      <c r="F9" s="1913"/>
      <c r="G9" s="1913"/>
      <c r="H9" s="1913"/>
      <c r="I9" s="1913"/>
      <c r="J9" s="1913"/>
    </row>
    <row r="10" spans="1:10">
      <c r="A10" s="1913"/>
      <c r="B10" s="1913"/>
      <c r="C10" s="1913"/>
      <c r="D10" s="1913"/>
      <c r="E10" s="1913"/>
      <c r="F10" s="1913"/>
      <c r="G10" s="1913"/>
      <c r="H10" s="1913"/>
      <c r="I10" s="1913"/>
      <c r="J10" s="1913"/>
    </row>
    <row r="11" spans="1:10">
      <c r="A11" s="1913"/>
      <c r="B11" s="1913"/>
      <c r="C11" s="1913"/>
      <c r="D11" s="1913"/>
      <c r="E11" s="1913"/>
      <c r="F11" s="1913"/>
      <c r="G11" s="1913"/>
      <c r="H11" s="1913"/>
      <c r="I11" s="1913"/>
      <c r="J11" s="1913"/>
    </row>
    <row r="12" spans="1:10">
      <c r="A12" s="1913"/>
      <c r="B12" s="1913"/>
      <c r="C12" s="1913"/>
      <c r="D12" s="1913"/>
      <c r="E12" s="1913"/>
      <c r="F12" s="1913"/>
      <c r="G12" s="1913"/>
      <c r="H12" s="1913"/>
      <c r="I12" s="1913"/>
      <c r="J12" s="1913"/>
    </row>
    <row r="13" spans="1:10">
      <c r="A13" s="1913"/>
      <c r="B13" s="1913"/>
      <c r="C13" s="1913"/>
      <c r="D13" s="1913"/>
      <c r="E13" s="1913"/>
      <c r="F13" s="1913"/>
      <c r="G13" s="1913"/>
      <c r="H13" s="1913"/>
      <c r="I13" s="1913"/>
      <c r="J13" s="1913"/>
    </row>
    <row r="14" spans="1:10">
      <c r="A14" s="1913"/>
      <c r="B14" s="1913"/>
      <c r="C14" s="1913"/>
      <c r="D14" s="1913"/>
      <c r="E14" s="1913"/>
      <c r="F14" s="1913"/>
      <c r="G14" s="1913"/>
      <c r="H14" s="1913"/>
      <c r="I14" s="1913"/>
      <c r="J14" s="1913"/>
    </row>
    <row r="15" spans="1:10">
      <c r="A15" s="1913"/>
      <c r="B15" s="1913"/>
      <c r="C15" s="1913"/>
      <c r="D15" s="1913"/>
      <c r="E15" s="1913"/>
      <c r="F15" s="1913"/>
      <c r="G15" s="1913"/>
      <c r="H15" s="1913"/>
      <c r="I15" s="1913"/>
      <c r="J15" s="1913"/>
    </row>
    <row r="16" spans="1:10">
      <c r="A16" s="1913"/>
      <c r="B16" s="1913"/>
      <c r="C16" s="1913"/>
      <c r="D16" s="1913"/>
      <c r="E16" s="1913"/>
      <c r="F16" s="1913"/>
      <c r="G16" s="1913"/>
      <c r="H16" s="1913"/>
      <c r="I16" s="1913"/>
      <c r="J16" s="1913"/>
    </row>
    <row r="17" spans="1:10">
      <c r="A17" s="1913"/>
      <c r="B17" s="1913"/>
      <c r="C17" s="1913"/>
      <c r="D17" s="1913"/>
      <c r="E17" s="1913"/>
      <c r="F17" s="1913"/>
      <c r="G17" s="1913"/>
      <c r="H17" s="1913"/>
      <c r="I17" s="1913"/>
      <c r="J17" s="1913"/>
    </row>
    <row r="18" spans="1:10">
      <c r="A18" s="1913"/>
      <c r="B18" s="1913"/>
      <c r="C18" s="1913"/>
      <c r="D18" s="1913"/>
      <c r="E18" s="1913"/>
      <c r="F18" s="1913"/>
      <c r="G18" s="1913"/>
      <c r="H18" s="1913"/>
      <c r="I18" s="1913"/>
      <c r="J18" s="1913"/>
    </row>
    <row r="19" spans="1:10">
      <c r="A19" s="1913"/>
      <c r="B19" s="1913"/>
      <c r="C19" s="1913"/>
      <c r="D19" s="1913"/>
      <c r="E19" s="1913"/>
      <c r="F19" s="1913"/>
      <c r="G19" s="1913"/>
      <c r="H19" s="1913"/>
      <c r="I19" s="1913"/>
      <c r="J19" s="1913"/>
    </row>
    <row r="20" spans="1:10">
      <c r="A20" s="1913"/>
      <c r="B20" s="1913"/>
      <c r="C20" s="1913"/>
      <c r="D20" s="1913"/>
      <c r="E20" s="1913"/>
      <c r="F20" s="1913"/>
      <c r="G20" s="1913"/>
      <c r="H20" s="1913"/>
      <c r="I20" s="1913"/>
      <c r="J20" s="1913"/>
    </row>
    <row r="21" spans="1:10">
      <c r="A21" s="1913"/>
      <c r="B21" s="1913"/>
      <c r="C21" s="1913"/>
      <c r="D21" s="1913"/>
      <c r="E21" s="1913"/>
      <c r="F21" s="1913"/>
      <c r="G21" s="1913"/>
      <c r="H21" s="1913"/>
      <c r="I21" s="1913"/>
      <c r="J21" s="1913"/>
    </row>
    <row r="22" spans="1:10">
      <c r="A22" s="1913"/>
      <c r="B22" s="1913"/>
      <c r="C22" s="1913"/>
      <c r="D22" s="1913"/>
      <c r="E22" s="1913"/>
      <c r="F22" s="1913"/>
      <c r="G22" s="1913"/>
      <c r="H22" s="1913"/>
      <c r="I22" s="1913"/>
      <c r="J22" s="1913"/>
    </row>
    <row r="23" spans="1:10">
      <c r="A23" s="1913"/>
      <c r="B23" s="1913"/>
      <c r="C23" s="1913"/>
      <c r="D23" s="1913"/>
      <c r="E23" s="1913"/>
      <c r="F23" s="1913"/>
      <c r="G23" s="1913"/>
      <c r="H23" s="1913"/>
      <c r="I23" s="1913"/>
      <c r="J23" s="1913"/>
    </row>
    <row r="24" spans="1:10">
      <c r="A24" s="1913"/>
      <c r="B24" s="1913"/>
      <c r="C24" s="1913"/>
      <c r="D24" s="1913"/>
      <c r="E24" s="1913"/>
      <c r="F24" s="1913"/>
      <c r="G24" s="1913"/>
      <c r="H24" s="1913"/>
      <c r="I24" s="1913"/>
      <c r="J24" s="1913"/>
    </row>
    <row r="25" spans="1:10">
      <c r="A25" s="1913"/>
      <c r="B25" s="1913"/>
      <c r="C25" s="1913"/>
      <c r="D25" s="1913"/>
      <c r="E25" s="1913"/>
      <c r="F25" s="1913"/>
      <c r="G25" s="1913"/>
      <c r="H25" s="1913"/>
      <c r="I25" s="1913"/>
      <c r="J25" s="1913"/>
    </row>
    <row r="26" spans="1:10">
      <c r="A26" s="1913"/>
      <c r="B26" s="1913"/>
      <c r="C26" s="1913"/>
      <c r="D26" s="1913"/>
      <c r="E26" s="1913"/>
      <c r="F26" s="1913"/>
      <c r="G26" s="1913"/>
      <c r="H26" s="1913"/>
      <c r="I26" s="1913"/>
      <c r="J26" s="1913"/>
    </row>
    <row r="27" spans="1:10">
      <c r="A27" s="1913"/>
      <c r="B27" s="1913"/>
      <c r="C27" s="1913"/>
      <c r="D27" s="1913"/>
      <c r="E27" s="1913"/>
      <c r="F27" s="1913"/>
      <c r="G27" s="1913"/>
      <c r="H27" s="1913"/>
      <c r="I27" s="1913"/>
      <c r="J27" s="1913"/>
    </row>
    <row r="28" spans="1:10">
      <c r="A28" s="1913"/>
      <c r="B28" s="1913"/>
      <c r="C28" s="1913"/>
      <c r="D28" s="1913"/>
      <c r="E28" s="1913"/>
      <c r="F28" s="1913"/>
      <c r="G28" s="1913"/>
      <c r="H28" s="1913"/>
      <c r="I28" s="1913"/>
      <c r="J28" s="1913"/>
    </row>
    <row r="29" spans="1:10">
      <c r="A29" s="1913"/>
      <c r="B29" s="1913"/>
      <c r="C29" s="1913"/>
      <c r="D29" s="1913"/>
      <c r="E29" s="1913"/>
      <c r="F29" s="1913"/>
      <c r="G29" s="1913"/>
      <c r="H29" s="1913"/>
      <c r="I29" s="1913"/>
      <c r="J29" s="1913"/>
    </row>
    <row r="30" spans="1:10">
      <c r="A30" s="1913"/>
      <c r="B30" s="1913"/>
      <c r="C30" s="1913"/>
      <c r="D30" s="1913"/>
      <c r="E30" s="1913"/>
      <c r="F30" s="1913"/>
      <c r="G30" s="1913"/>
      <c r="H30" s="1913"/>
      <c r="I30" s="1913"/>
      <c r="J30" s="1913"/>
    </row>
    <row r="31" spans="1:10">
      <c r="A31" s="1913"/>
      <c r="B31" s="1913"/>
      <c r="C31" s="1913"/>
      <c r="D31" s="1913"/>
      <c r="E31" s="1913"/>
      <c r="F31" s="1913"/>
      <c r="G31" s="1913"/>
      <c r="H31" s="1913"/>
      <c r="I31" s="1913"/>
      <c r="J31" s="191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19" customWidth="1"/>
    <col min="2" max="16384" width="14.5" style="1901"/>
  </cols>
  <sheetData>
    <row r="1" spans="1:7" s="1916" customFormat="1" ht="18.75">
      <c r="A1" s="1915" t="s">
        <v>1663</v>
      </c>
    </row>
    <row r="3" spans="1:7">
      <c r="A3" s="1917" t="s">
        <v>82</v>
      </c>
      <c r="B3" s="1901" t="s">
        <v>1664</v>
      </c>
      <c r="G3" s="1918"/>
    </row>
    <row r="4" spans="1:7">
      <c r="G4" s="1918"/>
    </row>
    <row r="5" spans="1:7">
      <c r="A5" s="1920" t="s">
        <v>73</v>
      </c>
      <c r="B5" s="1901" t="s">
        <v>1665</v>
      </c>
      <c r="G5" s="1918"/>
    </row>
    <row r="6" spans="1:7">
      <c r="G6" s="1918"/>
    </row>
    <row r="7" spans="1:7">
      <c r="A7" s="1921" t="s">
        <v>135</v>
      </c>
      <c r="B7" s="1901" t="s">
        <v>1666</v>
      </c>
      <c r="G7" s="1918"/>
    </row>
    <row r="8" spans="1:7">
      <c r="G8" s="1918"/>
    </row>
    <row r="9" spans="1:7">
      <c r="A9" s="1922" t="s">
        <v>74</v>
      </c>
      <c r="B9" s="1901" t="s">
        <v>1667</v>
      </c>
    </row>
    <row r="11" spans="1:7">
      <c r="A11" s="1923" t="s">
        <v>75</v>
      </c>
      <c r="B11" s="1924" t="s">
        <v>72</v>
      </c>
    </row>
    <row r="13" spans="1:7">
      <c r="A13" s="1925" t="s">
        <v>1668</v>
      </c>
    </row>
    <row r="15" spans="1:7" ht="13.5">
      <c r="A15" s="3083" t="s">
        <v>1669</v>
      </c>
      <c r="B15" s="3078" t="s">
        <v>136</v>
      </c>
      <c r="C15" s="3079"/>
    </row>
    <row r="16" spans="1:7" ht="13.5">
      <c r="A16" s="3084"/>
      <c r="B16" s="3078" t="s">
        <v>69</v>
      </c>
      <c r="C16" s="3079"/>
    </row>
    <row r="17" spans="1:3" ht="13.5">
      <c r="A17" s="3084"/>
      <c r="B17" s="3081" t="s">
        <v>1670</v>
      </c>
      <c r="C17" s="1926" t="s">
        <v>1669</v>
      </c>
    </row>
    <row r="18" spans="1:3" ht="13.5">
      <c r="A18" s="3084"/>
      <c r="B18" s="3081"/>
      <c r="C18" s="1926" t="s">
        <v>1671</v>
      </c>
    </row>
    <row r="19" spans="1:3" ht="13.5">
      <c r="A19" s="3084"/>
      <c r="B19" s="3081"/>
      <c r="C19" s="1926" t="s">
        <v>1672</v>
      </c>
    </row>
    <row r="20" spans="1:3" ht="13.5">
      <c r="A20" s="3085"/>
      <c r="B20" s="3080" t="s">
        <v>1673</v>
      </c>
      <c r="C20" s="3079"/>
    </row>
    <row r="21" spans="1:3" ht="13.5">
      <c r="A21" s="1927" t="s">
        <v>1674</v>
      </c>
      <c r="B21" s="1928"/>
      <c r="C21" s="1929"/>
    </row>
    <row r="22" spans="1:3" ht="13.5">
      <c r="A22" s="3082" t="s">
        <v>1675</v>
      </c>
      <c r="B22" s="3080" t="s">
        <v>1676</v>
      </c>
      <c r="C22" s="3079"/>
    </row>
    <row r="23" spans="1:3" ht="13.5">
      <c r="A23" s="3082"/>
      <c r="B23" s="3080" t="s">
        <v>1677</v>
      </c>
      <c r="C23" s="3079"/>
    </row>
    <row r="24" spans="1:3" ht="13.5">
      <c r="A24" s="3082"/>
      <c r="B24" s="3080" t="s">
        <v>1678</v>
      </c>
      <c r="C24" s="3079"/>
    </row>
    <row r="25" spans="1:3" ht="13.5">
      <c r="A25" s="3082"/>
      <c r="B25" s="3081" t="s">
        <v>1679</v>
      </c>
      <c r="C25" s="1926" t="s">
        <v>1680</v>
      </c>
    </row>
    <row r="26" spans="1:3" ht="13.5">
      <c r="A26" s="3082"/>
      <c r="B26" s="3081"/>
      <c r="C26" s="1926" t="s">
        <v>1681</v>
      </c>
    </row>
    <row r="27" spans="1:3" ht="13.5">
      <c r="A27" s="3082"/>
      <c r="B27" s="3081"/>
      <c r="C27" s="1926" t="s">
        <v>1682</v>
      </c>
    </row>
    <row r="28" spans="1:3" ht="13.5">
      <c r="A28" s="3082"/>
      <c r="B28" s="3081"/>
      <c r="C28" s="1926" t="s">
        <v>1683</v>
      </c>
    </row>
    <row r="29" spans="1:3" ht="13.5">
      <c r="A29" s="3082"/>
      <c r="B29" s="3081"/>
      <c r="C29" s="1926" t="s">
        <v>1684</v>
      </c>
    </row>
    <row r="30" spans="1:3" ht="13.5">
      <c r="A30" s="3082"/>
      <c r="B30" s="3081"/>
      <c r="C30" s="1926" t="s">
        <v>1685</v>
      </c>
    </row>
    <row r="31" spans="1:3" ht="13.5">
      <c r="A31" s="3082"/>
      <c r="B31" s="3081"/>
      <c r="C31" s="1926" t="s">
        <v>1686</v>
      </c>
    </row>
    <row r="32" spans="1:3" ht="13.5">
      <c r="A32" s="3082"/>
      <c r="B32" s="3081"/>
      <c r="C32" s="1926" t="s">
        <v>1687</v>
      </c>
    </row>
    <row r="33" spans="1:3" ht="13.5">
      <c r="A33" s="3082"/>
      <c r="B33" s="3081"/>
      <c r="C33" s="1926" t="s">
        <v>1688</v>
      </c>
    </row>
    <row r="34" spans="1:3">
      <c r="A34" s="1930" t="s">
        <v>76</v>
      </c>
    </row>
    <row r="37" spans="1:3">
      <c r="A37" s="1930" t="s">
        <v>1689</v>
      </c>
    </row>
    <row r="38" spans="1:3" ht="13.5">
      <c r="A38" s="1931" t="s">
        <v>77</v>
      </c>
    </row>
    <row r="39" spans="1:3" ht="13.5">
      <c r="A39" s="1931" t="s">
        <v>78</v>
      </c>
    </row>
    <row r="40" spans="1:3" ht="13.5">
      <c r="A40" s="1931" t="s">
        <v>79</v>
      </c>
    </row>
    <row r="41" spans="1:3" ht="13.5">
      <c r="A41" s="1932" t="s">
        <v>80</v>
      </c>
    </row>
    <row r="42" spans="1:3" ht="13.5">
      <c r="A42" s="193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961"/>
    <col min="3" max="3" width="23.625" style="961" bestFit="1" customWidth="1"/>
    <col min="4" max="5" width="22.625" style="961"/>
    <col min="6" max="6" width="25.625" style="961" customWidth="1"/>
    <col min="7" max="16384" width="22.625" style="961"/>
  </cols>
  <sheetData>
    <row r="2" spans="1:6" ht="24" customHeight="1">
      <c r="A2" s="963" t="s">
        <v>825</v>
      </c>
      <c r="B2" s="964">
        <f ca="1">TODAY()</f>
        <v>43298</v>
      </c>
      <c r="C2" s="965" t="s">
        <v>826</v>
      </c>
      <c r="D2" s="965"/>
    </row>
    <row r="3" spans="1:6" ht="24" customHeight="1">
      <c r="A3" s="966" t="s">
        <v>827</v>
      </c>
      <c r="B3" s="967" t="s">
        <v>828</v>
      </c>
      <c r="C3" s="2209" t="s">
        <v>829</v>
      </c>
      <c r="D3" s="2212" t="s">
        <v>830</v>
      </c>
      <c r="E3" s="968" t="s">
        <v>831</v>
      </c>
      <c r="F3" s="967" t="s">
        <v>829</v>
      </c>
    </row>
    <row r="4" spans="1:6" ht="24" customHeight="1">
      <c r="A4" s="1632" t="s">
        <v>832</v>
      </c>
      <c r="B4" s="968">
        <f ca="1">IF(C4&lt;B2,"已过期",1119970066)</f>
        <v>1119970066</v>
      </c>
      <c r="C4" s="2210">
        <v>43849</v>
      </c>
      <c r="D4" s="2213" t="s">
        <v>832</v>
      </c>
      <c r="E4" s="968">
        <f ca="1">IF(F4&lt;B2,"已过期",96010014)</f>
        <v>96010014</v>
      </c>
      <c r="F4" s="976">
        <v>47118</v>
      </c>
    </row>
    <row r="5" spans="1:6" ht="24" customHeight="1">
      <c r="A5" s="1632" t="s">
        <v>833</v>
      </c>
      <c r="B5" s="968">
        <f ca="1">IF(C5&lt;B2,"已过期",1119970074)</f>
        <v>1119970074</v>
      </c>
      <c r="C5" s="2210">
        <v>43849</v>
      </c>
      <c r="D5" s="2213" t="s">
        <v>833</v>
      </c>
      <c r="E5" s="968">
        <f ca="1">IF(F5&lt;B2,"已过期",2002110027)</f>
        <v>2002110027</v>
      </c>
      <c r="F5" s="976">
        <v>46752</v>
      </c>
    </row>
    <row r="6" spans="1:6" ht="24" customHeight="1">
      <c r="A6" s="1632" t="s">
        <v>834</v>
      </c>
      <c r="B6" s="968">
        <f ca="1">IF(C6&lt;B2,"已过期",1119970111)</f>
        <v>1119970111</v>
      </c>
      <c r="C6" s="2210">
        <v>43849</v>
      </c>
      <c r="D6" s="2213" t="s">
        <v>834</v>
      </c>
      <c r="E6" s="968">
        <f ca="1">IF(F6&lt;B2,"已过期",94010078)</f>
        <v>94010078</v>
      </c>
      <c r="F6" s="976">
        <v>46387</v>
      </c>
    </row>
    <row r="7" spans="1:6" ht="24" customHeight="1">
      <c r="A7" s="1632" t="s">
        <v>835</v>
      </c>
      <c r="B7" s="968">
        <f ca="1">IF(C7&lt;B2,"已过期",1120050019)</f>
        <v>1120050019</v>
      </c>
      <c r="C7" s="2210">
        <v>43359</v>
      </c>
      <c r="D7" s="2213" t="s">
        <v>835</v>
      </c>
      <c r="E7" s="968">
        <f ca="1">IF(F7&lt;B2,"已过期",2002110030)</f>
        <v>2002110030</v>
      </c>
      <c r="F7" s="976">
        <v>46387</v>
      </c>
    </row>
    <row r="8" spans="1:6" ht="24" customHeight="1">
      <c r="A8" s="1632" t="s">
        <v>836</v>
      </c>
      <c r="B8" s="968">
        <f ca="1">IF(C8&lt;B2,"已过期",1120000080)</f>
        <v>1120000080</v>
      </c>
      <c r="C8" s="2210">
        <v>43849</v>
      </c>
      <c r="D8" s="2213" t="s">
        <v>836</v>
      </c>
      <c r="E8" s="968">
        <f ca="1">IF(F8&lt;B2,"已过期",2000110082)</f>
        <v>2000110082</v>
      </c>
      <c r="F8" s="976">
        <v>46387</v>
      </c>
    </row>
    <row r="9" spans="1:6" ht="24" customHeight="1">
      <c r="A9" s="1632" t="s">
        <v>837</v>
      </c>
      <c r="B9" s="968">
        <f ca="1">IF(C9&lt;B2,"已过期",1419970001)</f>
        <v>1419970001</v>
      </c>
      <c r="C9" s="2210">
        <v>43867</v>
      </c>
      <c r="D9" s="2213" t="s">
        <v>837</v>
      </c>
      <c r="E9" s="968">
        <f ca="1">IF(F9&lt;B2,"已过期",2002110125)</f>
        <v>2002110125</v>
      </c>
      <c r="F9" s="976">
        <v>47118</v>
      </c>
    </row>
    <row r="10" spans="1:6" ht="24" customHeight="1">
      <c r="A10" s="1632" t="s">
        <v>838</v>
      </c>
      <c r="B10" s="968">
        <f ca="1">IF(C10&lt;B2,"已过期",1120060040)</f>
        <v>1120060040</v>
      </c>
      <c r="C10" s="2210">
        <v>43483</v>
      </c>
      <c r="D10" s="2213" t="s">
        <v>838</v>
      </c>
      <c r="E10" s="968">
        <f ca="1">IF(F10&lt;B2,"已过期",2004110096)</f>
        <v>2004110096</v>
      </c>
      <c r="F10" s="976">
        <v>47118</v>
      </c>
    </row>
    <row r="11" spans="1:6" ht="24" customHeight="1">
      <c r="A11" s="1632" t="s">
        <v>839</v>
      </c>
      <c r="B11" s="968">
        <f ca="1">IF(C11&lt;B2,"已过期",1120100036)</f>
        <v>1120100036</v>
      </c>
      <c r="C11" s="2210">
        <v>43622</v>
      </c>
      <c r="D11" s="2213" t="s">
        <v>839</v>
      </c>
      <c r="E11" s="968">
        <f ca="1">IF(F11&lt;B2,"已过期",2010110070)</f>
        <v>2010110070</v>
      </c>
      <c r="F11" s="976">
        <v>47907</v>
      </c>
    </row>
    <row r="12" spans="1:6" ht="24" customHeight="1">
      <c r="A12" s="1632" t="s">
        <v>2916</v>
      </c>
      <c r="B12" s="968">
        <v>1120110054</v>
      </c>
      <c r="C12" s="2803">
        <v>43937</v>
      </c>
      <c r="D12" s="1632" t="s">
        <v>2916</v>
      </c>
      <c r="E12" s="968">
        <v>2008110060</v>
      </c>
      <c r="F12" s="976">
        <v>47177</v>
      </c>
    </row>
    <row r="13" spans="1:6" ht="24" customHeight="1">
      <c r="A13" s="1632" t="s">
        <v>840</v>
      </c>
      <c r="B13" s="968">
        <f ca="1">IF(C13&lt;B2,"已过期",1120070131)</f>
        <v>1120070131</v>
      </c>
      <c r="C13" s="2210">
        <v>43814</v>
      </c>
      <c r="D13" s="2213" t="s">
        <v>840</v>
      </c>
      <c r="E13" s="968">
        <v>2014110011</v>
      </c>
      <c r="F13" s="976">
        <v>49302</v>
      </c>
    </row>
    <row r="14" spans="1:6" ht="24" customHeight="1">
      <c r="A14" s="1632" t="s">
        <v>841</v>
      </c>
      <c r="B14" s="968">
        <f ca="1">IF(C14&lt;B2,"已过期",1120130020)</f>
        <v>1120130020</v>
      </c>
      <c r="C14" s="2210">
        <v>43622</v>
      </c>
      <c r="D14" s="2213"/>
      <c r="E14" s="968"/>
      <c r="F14" s="968"/>
    </row>
    <row r="15" spans="1:6" ht="24" customHeight="1">
      <c r="A15" s="1633" t="s">
        <v>1149</v>
      </c>
      <c r="B15" s="968">
        <v>1120070085</v>
      </c>
      <c r="C15" s="2210">
        <v>43814</v>
      </c>
      <c r="D15" s="2214" t="s">
        <v>1149</v>
      </c>
      <c r="E15" s="968">
        <v>2004110128</v>
      </c>
      <c r="F15" s="969">
        <v>47118</v>
      </c>
    </row>
    <row r="16" spans="1:6" ht="24" customHeight="1">
      <c r="A16" s="1632" t="s">
        <v>842</v>
      </c>
      <c r="B16" s="968">
        <f ca="1">IF(C16&lt;B2,"已过期",1120140022)</f>
        <v>1120140022</v>
      </c>
      <c r="C16" s="2210">
        <v>44029</v>
      </c>
      <c r="D16" s="2213" t="s">
        <v>842</v>
      </c>
      <c r="E16" s="968">
        <f ca="1">IF(F16&lt;B2,"已过期",2008110059)</f>
        <v>2008110059</v>
      </c>
      <c r="F16" s="976">
        <v>47177</v>
      </c>
    </row>
    <row r="17" spans="1:7" ht="24" customHeight="1">
      <c r="A17" s="1632"/>
      <c r="B17" s="968"/>
      <c r="C17" s="2210"/>
      <c r="D17" s="2213"/>
      <c r="E17" s="968"/>
      <c r="F17" s="976"/>
    </row>
    <row r="18" spans="1:7" ht="24" customHeight="1">
      <c r="A18" s="1632"/>
      <c r="B18" s="968"/>
      <c r="C18" s="2210"/>
      <c r="D18" s="2213"/>
      <c r="E18" s="968"/>
      <c r="F18" s="976"/>
    </row>
    <row r="19" spans="1:7" ht="24" customHeight="1">
      <c r="A19" s="1632"/>
      <c r="B19" s="968"/>
      <c r="C19" s="2210"/>
      <c r="D19" s="2213"/>
      <c r="E19" s="968"/>
      <c r="F19" s="968"/>
    </row>
    <row r="20" spans="1:7" ht="24" customHeight="1">
      <c r="A20" s="1632"/>
      <c r="B20" s="968"/>
      <c r="C20" s="2210"/>
      <c r="D20" s="2213"/>
      <c r="E20" s="968"/>
      <c r="F20" s="968"/>
    </row>
    <row r="21" spans="1:7" ht="24" customHeight="1">
      <c r="A21" s="1632"/>
      <c r="B21" s="968"/>
      <c r="C21" s="2210"/>
      <c r="D21" s="2213" t="s">
        <v>843</v>
      </c>
      <c r="E21" s="968">
        <f ca="1">IF(F21&lt;B2,"已过期",2011110090)</f>
        <v>2011110090</v>
      </c>
      <c r="F21" s="976">
        <v>48302</v>
      </c>
    </row>
    <row r="22" spans="1:7" ht="24" customHeight="1">
      <c r="A22" s="1632" t="s">
        <v>844</v>
      </c>
      <c r="B22" s="968">
        <f ca="1">IF(C22&lt;B2,"已过期",1120020033)</f>
        <v>1120020033</v>
      </c>
      <c r="C22" s="2803">
        <v>44339</v>
      </c>
      <c r="D22" s="2213" t="s">
        <v>844</v>
      </c>
      <c r="E22" s="968">
        <f ca="1">IF(F22&lt;B2,"已过期",2000110137)</f>
        <v>2000110137</v>
      </c>
      <c r="F22" s="976">
        <v>46387</v>
      </c>
    </row>
    <row r="23" spans="1:7" ht="24" customHeight="1">
      <c r="A23" s="1632" t="s">
        <v>845</v>
      </c>
      <c r="B23" s="968">
        <f ca="1">IF(C23&lt;B2,"已过期",1120130048)</f>
        <v>1120130048</v>
      </c>
      <c r="C23" s="2210">
        <v>43686</v>
      </c>
      <c r="D23" s="2213"/>
      <c r="E23" s="968"/>
      <c r="F23" s="968"/>
    </row>
    <row r="24" spans="1:7" s="970" customFormat="1" ht="24" customHeight="1">
      <c r="A24" s="1633" t="s">
        <v>1333</v>
      </c>
      <c r="B24" s="1633" t="s">
        <v>1333</v>
      </c>
      <c r="C24" s="2211" t="s">
        <v>1333</v>
      </c>
      <c r="D24" s="2214" t="s">
        <v>1333</v>
      </c>
      <c r="E24" s="1633" t="s">
        <v>1333</v>
      </c>
      <c r="F24" s="1633" t="s">
        <v>1333</v>
      </c>
    </row>
    <row r="25" spans="1:7" ht="24" customHeight="1">
      <c r="A25" s="3086" t="s">
        <v>846</v>
      </c>
      <c r="B25" s="3086"/>
      <c r="C25" s="3086"/>
      <c r="D25" s="3086"/>
      <c r="E25" s="3086"/>
      <c r="F25" s="3086"/>
      <c r="G25" s="3086"/>
    </row>
    <row r="26" spans="1:7" s="971" customFormat="1" ht="24" customHeight="1">
      <c r="A26" s="3087" t="s">
        <v>847</v>
      </c>
      <c r="B26" s="3087"/>
      <c r="C26" s="3088"/>
      <c r="D26" s="3089" t="s">
        <v>848</v>
      </c>
      <c r="E26" s="3087"/>
      <c r="F26" s="3087"/>
    </row>
    <row r="27" spans="1:7" s="973" customFormat="1" ht="24" customHeight="1">
      <c r="A27" s="972" t="s">
        <v>849</v>
      </c>
      <c r="B27" s="967" t="s">
        <v>850</v>
      </c>
      <c r="C27" s="2209" t="s">
        <v>851</v>
      </c>
      <c r="D27" s="2217" t="s">
        <v>849</v>
      </c>
      <c r="E27" s="967" t="s">
        <v>850</v>
      </c>
      <c r="F27" s="967" t="s">
        <v>851</v>
      </c>
    </row>
    <row r="28" spans="1:7" s="973" customFormat="1" ht="24" customHeight="1">
      <c r="A28" s="974" t="s">
        <v>852</v>
      </c>
      <c r="B28" s="975" t="s">
        <v>853</v>
      </c>
      <c r="C28" s="2215">
        <v>43725</v>
      </c>
      <c r="D28" s="2218" t="s">
        <v>854</v>
      </c>
      <c r="E28" s="974" t="s">
        <v>855</v>
      </c>
      <c r="F28" s="1004">
        <v>44377</v>
      </c>
    </row>
    <row r="29" spans="1:7" s="973" customFormat="1" ht="24" customHeight="1">
      <c r="A29" s="974"/>
      <c r="B29" s="974"/>
      <c r="C29" s="2216"/>
      <c r="D29" s="2218" t="s">
        <v>856</v>
      </c>
      <c r="E29" s="1148" t="s">
        <v>1384</v>
      </c>
      <c r="F29" s="1149">
        <v>43281</v>
      </c>
    </row>
    <row r="30" spans="1:7" ht="24" customHeight="1">
      <c r="C30" s="977"/>
      <c r="D30" s="977"/>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技术指标</vt:lpstr>
      <vt:lpstr>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Sheet2</vt:lpstr>
      <vt:lpstr>假设开发法</vt:lpstr>
      <vt:lpstr>收益法 (元)</vt:lpstr>
      <vt:lpstr>收益法（汇总）</vt:lpstr>
      <vt:lpstr>酒店收入计算</vt:lpstr>
      <vt:lpstr>比较法-住宅</vt:lpstr>
      <vt:lpstr>收益法</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2018-07-17T09:11:11Z</dcterms:modified>
</cp:coreProperties>
</file>