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70C776DB-098B-4D7B-9615-4126F1C6055A}" xr6:coauthVersionLast="47" xr6:coauthVersionMax="47" xr10:uidLastSave="{00000000-0000-0000-0000-000000000000}"/>
  <bookViews>
    <workbookView xWindow="-120" yWindow="-120" windowWidth="21840" windowHeight="13140"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租金比较法-办公" sheetId="82" r:id="rId35"/>
    <sheet name="成本法 (元)" sheetId="69" r:id="rId36"/>
    <sheet name="基准地价修正" sheetId="43" r:id="rId37"/>
    <sheet name="项目情况" sheetId="80" r:id="rId38"/>
    <sheet name="售" sheetId="81" r:id="rId39"/>
    <sheet name="租" sheetId="83"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_FilterDatabase" localSheetId="34" hidden="1">'租金比较法-办公'!$A$1:$L$50</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5">'成本法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_xlnm.Print_Area" localSheetId="34">'租金比较法-办公'!$A$1:$K$55,'租金比较法-办公'!$A$58:$M$132</definedName>
    <definedName name="八级">区片价!$P$1:$P$44</definedName>
    <definedName name="办公层高" localSheetId="34">'租金比较法-办公'!$B$119:$M$119</definedName>
    <definedName name="办公层高">'比较法-办公'!$B$119:$M$119</definedName>
    <definedName name="办公朝向" localSheetId="34">'租金比较法-办公'!$B$91:$M$91</definedName>
    <definedName name="办公朝向">'比较法-办公'!$B$91:$M$91</definedName>
    <definedName name="办公道路级别" localSheetId="34">'租金比较法-办公'!$B$87:$M$87</definedName>
    <definedName name="办公道路级别">'比较法-办公'!$B$87:$M$87</definedName>
    <definedName name="办公公共部分装修" localSheetId="34">'租金比较法-办公'!$B$108:$M$108</definedName>
    <definedName name="办公公共部分装修">'比较法-办公'!$B$108:$M$108</definedName>
    <definedName name="办公基础设施水平" localSheetId="34">'租金比较法-办公'!$B$117:$M$117</definedName>
    <definedName name="办公基础设施水平">'比较法-办公'!$B$117:$M$117</definedName>
    <definedName name="办公集聚程度">定义!$M$1:$M$6</definedName>
    <definedName name="办公建筑结构" localSheetId="34">'租金比较法-办公'!$B$106:$M$106</definedName>
    <definedName name="办公建筑结构">'比较法-办公'!$B$106:$M$106</definedName>
    <definedName name="办公建筑类型" localSheetId="34">'租金比较法-办公'!$B$101:$M$101</definedName>
    <definedName name="办公建筑类型">'比较法-办公'!$B$101:$M$101</definedName>
    <definedName name="办公交易情况" localSheetId="34">'租金比较法-办公'!$A$62:$M$62</definedName>
    <definedName name="办公交易情况">'比较法-办公'!$A$62:$M$62</definedName>
    <definedName name="办公楼层" localSheetId="34">'租金比较法-办公'!$B$89:$M$89</definedName>
    <definedName name="办公楼层">'比较法-办公'!$B$89:$M$89</definedName>
    <definedName name="办公内部装修" localSheetId="34">'租金比较法-办公'!$B$123:$M$123</definedName>
    <definedName name="办公内部装修">'比较法-办公'!$B$123:$M$123</definedName>
    <definedName name="办公物业管理" localSheetId="34">'租金比较法-办公'!$B$115:$M$115</definedName>
    <definedName name="办公物业管理">'比较法-办公'!$B$115:$M$115</definedName>
    <definedName name="办公用途" localSheetId="34">'租金比较法-办公'!$B$64:$M$64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 localSheetId="34">'租金比较法-办公'!$B$113:$M$113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B131" i="82"/>
  <c r="B129" i="82"/>
  <c r="B127" i="82"/>
  <c r="J45" i="82" s="1"/>
  <c r="AC45" i="82" s="1"/>
  <c r="D126" i="82"/>
  <c r="E126" i="82" s="1"/>
  <c r="F126" i="82" s="1"/>
  <c r="G126" i="82" s="1"/>
  <c r="E124" i="82"/>
  <c r="F124" i="82" s="1"/>
  <c r="G124" i="82" s="1"/>
  <c r="H124" i="82" s="1"/>
  <c r="I124" i="82" s="1"/>
  <c r="J124" i="82" s="1"/>
  <c r="K124" i="82" s="1"/>
  <c r="L124" i="82" s="1"/>
  <c r="M124" i="82" s="1"/>
  <c r="D124" i="82"/>
  <c r="D120" i="82"/>
  <c r="E120" i="82" s="1"/>
  <c r="F120" i="82" s="1"/>
  <c r="G120" i="82" s="1"/>
  <c r="H120" i="82" s="1"/>
  <c r="I120" i="82" s="1"/>
  <c r="J120" i="82" s="1"/>
  <c r="K120" i="82" s="1"/>
  <c r="L120" i="82" s="1"/>
  <c r="M120" i="82" s="1"/>
  <c r="D118" i="82"/>
  <c r="E118" i="82" s="1"/>
  <c r="F118" i="82" s="1"/>
  <c r="G118" i="82" s="1"/>
  <c r="I116" i="82"/>
  <c r="J116" i="82" s="1"/>
  <c r="K116" i="82" s="1"/>
  <c r="L116" i="82" s="1"/>
  <c r="M116" i="82" s="1"/>
  <c r="E116" i="82"/>
  <c r="F116" i="82" s="1"/>
  <c r="G116" i="82" s="1"/>
  <c r="H116" i="82" s="1"/>
  <c r="D116" i="82"/>
  <c r="G114" i="82"/>
  <c r="H114" i="82" s="1"/>
  <c r="I114" i="82" s="1"/>
  <c r="J114" i="82" s="1"/>
  <c r="K114" i="82" s="1"/>
  <c r="L114" i="82" s="1"/>
  <c r="M114" i="82" s="1"/>
  <c r="D114" i="82"/>
  <c r="E114" i="82" s="1"/>
  <c r="F114" i="82" s="1"/>
  <c r="E112" i="82"/>
  <c r="F112" i="82" s="1"/>
  <c r="G112" i="82" s="1"/>
  <c r="H112" i="82" s="1"/>
  <c r="I112" i="82" s="1"/>
  <c r="J112" i="82" s="1"/>
  <c r="K112" i="82" s="1"/>
  <c r="L112" i="82" s="1"/>
  <c r="M112" i="82" s="1"/>
  <c r="D112" i="82"/>
  <c r="G110" i="82"/>
  <c r="F110" i="82"/>
  <c r="E110" i="82"/>
  <c r="D110" i="82"/>
  <c r="C110" i="82"/>
  <c r="H109" i="82"/>
  <c r="I109" i="82" s="1"/>
  <c r="J109" i="82" s="1"/>
  <c r="K109" i="82" s="1"/>
  <c r="L109" i="82" s="1"/>
  <c r="M109" i="82" s="1"/>
  <c r="D109" i="82"/>
  <c r="E109" i="82" s="1"/>
  <c r="F109" i="82" s="1"/>
  <c r="G109" i="82" s="1"/>
  <c r="D107" i="82"/>
  <c r="E107" i="82" s="1"/>
  <c r="F107" i="82" s="1"/>
  <c r="G107" i="82" s="1"/>
  <c r="H107" i="82" s="1"/>
  <c r="I107" i="82" s="1"/>
  <c r="J107" i="82" s="1"/>
  <c r="K107" i="82" s="1"/>
  <c r="L107" i="82" s="1"/>
  <c r="M107" i="82" s="1"/>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E92" i="82"/>
  <c r="F92" i="82" s="1"/>
  <c r="G92" i="82" s="1"/>
  <c r="H92" i="82" s="1"/>
  <c r="I92" i="82" s="1"/>
  <c r="J92" i="82" s="1"/>
  <c r="K92" i="82" s="1"/>
  <c r="L92" i="82" s="1"/>
  <c r="M92" i="82" s="1"/>
  <c r="D92" i="82"/>
  <c r="B91" i="82"/>
  <c r="D90" i="82"/>
  <c r="B89" i="82"/>
  <c r="G88" i="82"/>
  <c r="H88" i="82" s="1"/>
  <c r="I88" i="82" s="1"/>
  <c r="J88" i="82" s="1"/>
  <c r="K88" i="82" s="1"/>
  <c r="L88" i="82" s="1"/>
  <c r="M88" i="82" s="1"/>
  <c r="E88" i="82"/>
  <c r="F88" i="82" s="1"/>
  <c r="D88" i="82"/>
  <c r="E86" i="82"/>
  <c r="F86" i="82" s="1"/>
  <c r="G86" i="82" s="1"/>
  <c r="D86" i="82"/>
  <c r="G84" i="82"/>
  <c r="E84" i="82"/>
  <c r="F84" i="82" s="1"/>
  <c r="D84" i="82"/>
  <c r="E82" i="82"/>
  <c r="F82" i="82" s="1"/>
  <c r="G82" i="82" s="1"/>
  <c r="D82" i="82"/>
  <c r="G80" i="82"/>
  <c r="E80" i="82"/>
  <c r="F80" i="82" s="1"/>
  <c r="D80" i="82"/>
  <c r="E78" i="82"/>
  <c r="F78" i="82" s="1"/>
  <c r="G78" i="82" s="1"/>
  <c r="D78" i="82"/>
  <c r="B75" i="82"/>
  <c r="H14" i="82" s="1"/>
  <c r="B73" i="82"/>
  <c r="J13" i="82" s="1"/>
  <c r="AC13" i="82" s="1"/>
  <c r="B71" i="82"/>
  <c r="H12" i="82" s="1"/>
  <c r="AB12" i="82" s="1"/>
  <c r="H70" i="82"/>
  <c r="I70" i="82" s="1"/>
  <c r="J70" i="82" s="1"/>
  <c r="K70" i="82" s="1"/>
  <c r="L70" i="82" s="1"/>
  <c r="M70" i="82" s="1"/>
  <c r="D70" i="82"/>
  <c r="E70" i="82" s="1"/>
  <c r="F70" i="82" s="1"/>
  <c r="G70" i="82" s="1"/>
  <c r="M68" i="82"/>
  <c r="L68" i="82"/>
  <c r="K68" i="82"/>
  <c r="J68" i="82"/>
  <c r="I68" i="82"/>
  <c r="H68" i="82"/>
  <c r="G68" i="82"/>
  <c r="F68" i="82"/>
  <c r="E68" i="82"/>
  <c r="D68" i="82"/>
  <c r="C68" i="82"/>
  <c r="C64" i="82"/>
  <c r="D59" i="82"/>
  <c r="E59" i="82" s="1"/>
  <c r="F59" i="82" s="1"/>
  <c r="G59" i="82" s="1"/>
  <c r="H59" i="82" s="1"/>
  <c r="I59" i="82" s="1"/>
  <c r="J59" i="82" s="1"/>
  <c r="K59" i="82" s="1"/>
  <c r="L59" i="82" s="1"/>
  <c r="M59" i="82" s="1"/>
  <c r="N59" i="82" s="1"/>
  <c r="O59" i="82" s="1"/>
  <c r="I55" i="82"/>
  <c r="J55" i="82" s="1"/>
  <c r="G55" i="82"/>
  <c r="H55" i="82" s="1"/>
  <c r="E55" i="82"/>
  <c r="F55" i="82" s="1"/>
  <c r="P50" i="82"/>
  <c r="P49" i="82"/>
  <c r="K49" i="82"/>
  <c r="V48" i="82"/>
  <c r="T48" i="82"/>
  <c r="R48" i="82"/>
  <c r="P48" i="82"/>
  <c r="Q47" i="82"/>
  <c r="Z47" i="82" s="1"/>
  <c r="J47" i="82"/>
  <c r="W47" i="82" s="1"/>
  <c r="H47" i="82"/>
  <c r="AB47" i="82" s="1"/>
  <c r="F47" i="82"/>
  <c r="AA47" i="82" s="1"/>
  <c r="Q46" i="82"/>
  <c r="Z46" i="82" s="1"/>
  <c r="J46" i="82"/>
  <c r="AC46" i="82" s="1"/>
  <c r="H46" i="82"/>
  <c r="U46" i="82" s="1"/>
  <c r="F46" i="82"/>
  <c r="AA46" i="82" s="1"/>
  <c r="Q45" i="82"/>
  <c r="Z45" i="82" s="1"/>
  <c r="Q44" i="82"/>
  <c r="Z44" i="82" s="1"/>
  <c r="J44" i="82"/>
  <c r="AC44" i="82" s="1"/>
  <c r="H44" i="82"/>
  <c r="AB44" i="82" s="1"/>
  <c r="F44" i="82"/>
  <c r="AA44" i="82" s="1"/>
  <c r="Q43" i="82"/>
  <c r="Z43" i="82" s="1"/>
  <c r="J43" i="82"/>
  <c r="AC43" i="82" s="1"/>
  <c r="H43" i="82"/>
  <c r="AB43" i="82" s="1"/>
  <c r="F43" i="82"/>
  <c r="AA43" i="82" s="1"/>
  <c r="U42" i="82"/>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AC39" i="82"/>
  <c r="Q39" i="82"/>
  <c r="Z39" i="82" s="1"/>
  <c r="J39" i="82"/>
  <c r="W39" i="82" s="1"/>
  <c r="H39" i="82"/>
  <c r="AB39" i="82" s="1"/>
  <c r="F39" i="82"/>
  <c r="AA39" i="82" s="1"/>
  <c r="Q38" i="82"/>
  <c r="Z38" i="82" s="1"/>
  <c r="J38" i="82"/>
  <c r="AC38" i="82" s="1"/>
  <c r="H38" i="82"/>
  <c r="AB38" i="82" s="1"/>
  <c r="F38" i="82"/>
  <c r="AA38" i="82" s="1"/>
  <c r="Q37" i="82"/>
  <c r="Z37" i="82" s="1"/>
  <c r="C37" i="82"/>
  <c r="Q36" i="82"/>
  <c r="Z36" i="82" s="1"/>
  <c r="J36" i="82"/>
  <c r="AC36" i="82" s="1"/>
  <c r="H36" i="82"/>
  <c r="AB36" i="82" s="1"/>
  <c r="F36" i="82"/>
  <c r="AA36" i="82" s="1"/>
  <c r="AC35" i="82"/>
  <c r="W35" i="82"/>
  <c r="Q35" i="82"/>
  <c r="Z35" i="82" s="1"/>
  <c r="J35" i="82"/>
  <c r="H35" i="82"/>
  <c r="AB35" i="82" s="1"/>
  <c r="F35" i="82"/>
  <c r="AA35" i="82" s="1"/>
  <c r="Q34" i="82"/>
  <c r="Z34" i="82" s="1"/>
  <c r="H34" i="82"/>
  <c r="U34" i="82" s="1"/>
  <c r="F34" i="82"/>
  <c r="AA34" i="82" s="1"/>
  <c r="C34" i="82"/>
  <c r="J34" i="82" s="1"/>
  <c r="Q33" i="82"/>
  <c r="Z33" i="82" s="1"/>
  <c r="J33" i="82"/>
  <c r="AC33" i="82" s="1"/>
  <c r="H33" i="82"/>
  <c r="AB33" i="82" s="1"/>
  <c r="F33" i="82"/>
  <c r="AA33" i="82" s="1"/>
  <c r="Q32" i="82"/>
  <c r="Z32" i="82" s="1"/>
  <c r="Z31" i="82"/>
  <c r="Q31" i="82"/>
  <c r="J31" i="82"/>
  <c r="AC31" i="82" s="1"/>
  <c r="H31" i="82"/>
  <c r="AB31" i="82" s="1"/>
  <c r="F31" i="82"/>
  <c r="AA31" i="82" s="1"/>
  <c r="Q30" i="82"/>
  <c r="Z30" i="82" s="1"/>
  <c r="J30" i="82"/>
  <c r="AC30" i="82" s="1"/>
  <c r="H30" i="82"/>
  <c r="AB30" i="82" s="1"/>
  <c r="F30" i="82"/>
  <c r="AA30" i="82" s="1"/>
  <c r="U29" i="82"/>
  <c r="Q29" i="82"/>
  <c r="Z29" i="82" s="1"/>
  <c r="J29" i="82"/>
  <c r="AC29" i="82" s="1"/>
  <c r="H29" i="82"/>
  <c r="AB29" i="82" s="1"/>
  <c r="F29" i="82"/>
  <c r="AA29" i="82" s="1"/>
  <c r="Q28" i="82"/>
  <c r="Z28" i="82" s="1"/>
  <c r="J28" i="82"/>
  <c r="AC28" i="82" s="1"/>
  <c r="H28" i="82"/>
  <c r="AB28" i="82" s="1"/>
  <c r="F28" i="82"/>
  <c r="AA28" i="82" s="1"/>
  <c r="Q27" i="82"/>
  <c r="Z27" i="82" s="1"/>
  <c r="AB25" i="82"/>
  <c r="U25" i="82"/>
  <c r="Q25" i="82"/>
  <c r="Z25" i="82" s="1"/>
  <c r="J25" i="82"/>
  <c r="AC25" i="82" s="1"/>
  <c r="H25" i="82"/>
  <c r="F25" i="82"/>
  <c r="AA25" i="82" s="1"/>
  <c r="Q23" i="82"/>
  <c r="Z23" i="82" s="1"/>
  <c r="J23" i="82"/>
  <c r="AC23" i="82" s="1"/>
  <c r="H23" i="82"/>
  <c r="AB23" i="82" s="1"/>
  <c r="F23" i="82"/>
  <c r="AA23" i="82" s="1"/>
  <c r="C23" i="82"/>
  <c r="AA21" i="82"/>
  <c r="Q21" i="82"/>
  <c r="Z21" i="82" s="1"/>
  <c r="J21" i="82"/>
  <c r="AC21" i="82" s="1"/>
  <c r="H21" i="82"/>
  <c r="AB21" i="82" s="1"/>
  <c r="F21" i="82"/>
  <c r="S21" i="82" s="1"/>
  <c r="C21" i="82"/>
  <c r="AB19" i="82"/>
  <c r="Q19" i="82"/>
  <c r="Z19" i="82" s="1"/>
  <c r="J19" i="82"/>
  <c r="W19" i="82" s="1"/>
  <c r="H19" i="82"/>
  <c r="U19" i="82" s="1"/>
  <c r="F19" i="82"/>
  <c r="AA19" i="82" s="1"/>
  <c r="C19" i="82"/>
  <c r="AC17" i="82"/>
  <c r="AA17" i="82"/>
  <c r="Q17" i="82"/>
  <c r="Z17" i="82" s="1"/>
  <c r="J17" i="82"/>
  <c r="W17" i="82" s="1"/>
  <c r="H17" i="82"/>
  <c r="U17" i="82" s="1"/>
  <c r="F17" i="82"/>
  <c r="S17" i="82" s="1"/>
  <c r="C17" i="82"/>
  <c r="AB15" i="82"/>
  <c r="Q15" i="82"/>
  <c r="Z15" i="82" s="1"/>
  <c r="J15" i="82"/>
  <c r="AC15" i="82" s="1"/>
  <c r="H15" i="82"/>
  <c r="U15" i="82" s="1"/>
  <c r="F15" i="82"/>
  <c r="S15" i="82" s="1"/>
  <c r="C15" i="82"/>
  <c r="Q14" i="82"/>
  <c r="Z14" i="82" s="1"/>
  <c r="J14" i="82"/>
  <c r="AC14" i="82" s="1"/>
  <c r="Q13" i="82"/>
  <c r="Z13" i="82" s="1"/>
  <c r="H13" i="82"/>
  <c r="AB13" i="82" s="1"/>
  <c r="F13" i="82"/>
  <c r="AA13" i="82" s="1"/>
  <c r="Q12" i="82"/>
  <c r="Z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W8" i="82" s="1"/>
  <c r="H8" i="82"/>
  <c r="AB8" i="82" s="1"/>
  <c r="F8" i="82"/>
  <c r="S8" i="82" s="1"/>
  <c r="I7" i="82"/>
  <c r="J7" i="82" s="1"/>
  <c r="G7" i="82"/>
  <c r="H7" i="82" s="1"/>
  <c r="E7" i="82"/>
  <c r="F7" i="82" s="1"/>
  <c r="C7" i="82"/>
  <c r="C59" i="82" s="1"/>
  <c r="D3" i="82"/>
  <c r="C34" i="34"/>
  <c r="I37" i="34"/>
  <c r="G37" i="34"/>
  <c r="E37" i="34"/>
  <c r="C37" i="34"/>
  <c r="D2" i="82"/>
  <c r="F45" i="82" l="1"/>
  <c r="S45" i="82" s="1"/>
  <c r="H45" i="82"/>
  <c r="AB45" i="82" s="1"/>
  <c r="AC47" i="82"/>
  <c r="U8" i="82"/>
  <c r="AA8" i="82"/>
  <c r="J12" i="82"/>
  <c r="AC12" i="82" s="1"/>
  <c r="AB34" i="82"/>
  <c r="AA7" i="82"/>
  <c r="S7" i="82"/>
  <c r="AB7" i="82"/>
  <c r="U7" i="82"/>
  <c r="AB14" i="82"/>
  <c r="U14" i="82"/>
  <c r="W7" i="82"/>
  <c r="AC7" i="82"/>
  <c r="W15" i="82"/>
  <c r="S23" i="82"/>
  <c r="G37" i="82"/>
  <c r="H37" i="82" s="1"/>
  <c r="I37" i="82"/>
  <c r="J37" i="82" s="1"/>
  <c r="E37" i="82"/>
  <c r="F37" i="82" s="1"/>
  <c r="AB46" i="82"/>
  <c r="J32" i="82"/>
  <c r="H32" i="82"/>
  <c r="W9" i="82"/>
  <c r="S11" i="82"/>
  <c r="U12" i="82"/>
  <c r="W13" i="82"/>
  <c r="AA15" i="82"/>
  <c r="AB17" i="82"/>
  <c r="AC19" i="82"/>
  <c r="U23" i="82"/>
  <c r="W25" i="82"/>
  <c r="F32" i="82"/>
  <c r="U33" i="82"/>
  <c r="U38" i="82"/>
  <c r="E90" i="82"/>
  <c r="F27" i="82"/>
  <c r="W10" i="82"/>
  <c r="S12" i="82"/>
  <c r="U13" i="82"/>
  <c r="W14" i="82"/>
  <c r="U21" i="82"/>
  <c r="AC8" i="82"/>
  <c r="U11" i="82"/>
  <c r="F14" i="82"/>
  <c r="S28" i="82"/>
  <c r="W30" i="82"/>
  <c r="S41" i="82"/>
  <c r="W43" i="82"/>
  <c r="U9" i="82"/>
  <c r="S19" i="82"/>
  <c r="S10" i="82"/>
  <c r="S9" i="82"/>
  <c r="U10" i="82"/>
  <c r="W11" i="82"/>
  <c r="S13" i="82"/>
  <c r="AC34" i="82"/>
  <c r="W34" i="82"/>
  <c r="W21" i="82"/>
  <c r="W23" i="82"/>
  <c r="U28" i="82"/>
  <c r="W29" i="82"/>
  <c r="S31" i="82"/>
  <c r="W33" i="82"/>
  <c r="S36" i="82"/>
  <c r="W38" i="82"/>
  <c r="S40" i="82"/>
  <c r="U41" i="82"/>
  <c r="W42" i="82"/>
  <c r="S44" i="82"/>
  <c r="W46" i="82"/>
  <c r="S25" i="82"/>
  <c r="W28" i="82"/>
  <c r="S30" i="82"/>
  <c r="U31" i="82"/>
  <c r="S35" i="82"/>
  <c r="U36" i="82"/>
  <c r="S39" i="82"/>
  <c r="U40" i="82"/>
  <c r="W41" i="82"/>
  <c r="S43" i="82"/>
  <c r="U44" i="82"/>
  <c r="W45" i="82"/>
  <c r="S47" i="82"/>
  <c r="S29" i="82"/>
  <c r="U30" i="82"/>
  <c r="W31" i="82"/>
  <c r="S33" i="82"/>
  <c r="S34" i="82"/>
  <c r="U35" i="82"/>
  <c r="W36" i="82"/>
  <c r="S38" i="82"/>
  <c r="U39" i="82"/>
  <c r="W40" i="82"/>
  <c r="S42" i="82"/>
  <c r="U43" i="82"/>
  <c r="W44" i="82"/>
  <c r="S46" i="82"/>
  <c r="U47" i="82"/>
  <c r="I7" i="34"/>
  <c r="G7" i="34"/>
  <c r="E7" i="34"/>
  <c r="G62" i="43"/>
  <c r="G63" i="43"/>
  <c r="G64" i="43"/>
  <c r="G65" i="43"/>
  <c r="G66" i="43"/>
  <c r="G67" i="43"/>
  <c r="G68" i="43"/>
  <c r="G69" i="43"/>
  <c r="G61" i="43"/>
  <c r="G44" i="43"/>
  <c r="D33" i="43"/>
  <c r="Y6" i="1"/>
  <c r="N6" i="1"/>
  <c r="R49" i="82" l="1"/>
  <c r="U45" i="82"/>
  <c r="AA45" i="82"/>
  <c r="T49" i="82"/>
  <c r="V49" i="82"/>
  <c r="W12" i="82"/>
  <c r="AB32" i="82"/>
  <c r="U32" i="82"/>
  <c r="AC32" i="82"/>
  <c r="W32" i="82"/>
  <c r="AB37" i="82"/>
  <c r="U37" i="82"/>
  <c r="AA27" i="82"/>
  <c r="S27" i="82"/>
  <c r="S32" i="82"/>
  <c r="AA32" i="82"/>
  <c r="AC37" i="82"/>
  <c r="W37" i="82"/>
  <c r="AA14" i="82"/>
  <c r="S14" i="82"/>
  <c r="J27" i="82"/>
  <c r="F90" i="82"/>
  <c r="G90" i="82" s="1"/>
  <c r="H90" i="82" s="1"/>
  <c r="I90" i="82" s="1"/>
  <c r="J90" i="82" s="1"/>
  <c r="K90" i="82" s="1"/>
  <c r="L90" i="82" s="1"/>
  <c r="M90" i="82" s="1"/>
  <c r="H27" i="82"/>
  <c r="S37" i="82"/>
  <c r="AA37" i="82"/>
  <c r="R50" i="82" l="1"/>
  <c r="E49" i="82"/>
  <c r="AB27" i="82"/>
  <c r="G49" i="82" s="1"/>
  <c r="U27" i="82"/>
  <c r="AC27" i="82"/>
  <c r="I49" i="82" s="1"/>
  <c r="W27" i="82"/>
  <c r="G53" i="82" l="1"/>
  <c r="H53" i="82" s="1"/>
  <c r="G54" i="82"/>
  <c r="H54" i="82" s="1"/>
  <c r="I54" i="82"/>
  <c r="J54" i="82" s="1"/>
  <c r="I53" i="82"/>
  <c r="J53" i="82" s="1"/>
  <c r="E54" i="82"/>
  <c r="F54" i="82" s="1"/>
  <c r="E53" i="82"/>
  <c r="F53" i="82" s="1"/>
  <c r="C50" i="82" l="1"/>
  <c r="U6" i="1" s="1"/>
  <c r="C49" i="82"/>
  <c r="B3" i="82" l="1"/>
  <c r="B2" i="82"/>
  <c r="F19" i="6" l="1"/>
  <c r="D3" i="4"/>
  <c r="D60" i="78"/>
  <c r="C60" i="78"/>
  <c r="B55" i="78"/>
  <c r="D55" i="78" s="1"/>
  <c r="D53" i="78"/>
  <c r="D52" i="78"/>
  <c r="B51" i="78"/>
  <c r="B56" i="78" s="1"/>
  <c r="D51" i="78" l="1"/>
  <c r="C51" i="78" s="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s="1"/>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X35" i="71" s="1"/>
  <c r="F38" i="71"/>
  <c r="F39" i="71" s="1"/>
  <c r="Q37" i="71"/>
  <c r="P37" i="71"/>
  <c r="AA36" i="71" s="1"/>
  <c r="O37" i="71"/>
  <c r="Y37" i="71" s="1"/>
  <c r="Z37" i="71" s="1"/>
  <c r="N37" i="71"/>
  <c r="B38" i="71" s="1"/>
  <c r="D37" i="71"/>
  <c r="Q36" i="71"/>
  <c r="AB36" i="71" s="1"/>
  <c r="P36" i="71"/>
  <c r="AA35" i="71" s="1"/>
  <c r="O36" i="71"/>
  <c r="N36" i="71"/>
  <c r="Q35" i="71"/>
  <c r="AB31" i="71" s="1"/>
  <c r="P35" i="71"/>
  <c r="O35" i="71"/>
  <c r="Y35" i="71"/>
  <c r="Z35" i="71" s="1"/>
  <c r="N35" i="71"/>
  <c r="Q34" i="71"/>
  <c r="AB34" i="71"/>
  <c r="P34" i="71"/>
  <c r="O34" i="71"/>
  <c r="N34" i="71"/>
  <c r="F36" i="71"/>
  <c r="V36" i="71" s="1"/>
  <c r="Q33" i="71"/>
  <c r="F34" i="71" s="1"/>
  <c r="F35" i="71" s="1"/>
  <c r="P33" i="71"/>
  <c r="O33" i="71"/>
  <c r="N33" i="71"/>
  <c r="X31" i="71" s="1"/>
  <c r="D33" i="71"/>
  <c r="Q32" i="71"/>
  <c r="P32" i="71"/>
  <c r="O32" i="71"/>
  <c r="N32" i="71"/>
  <c r="Q31" i="71"/>
  <c r="P31" i="71"/>
  <c r="O31" i="71"/>
  <c r="N31" i="71"/>
  <c r="Q30" i="71"/>
  <c r="P30" i="71"/>
  <c r="AA3" i="71" s="1"/>
  <c r="O30" i="71"/>
  <c r="Y30" i="71" s="1"/>
  <c r="Z30" i="71" s="1"/>
  <c r="N30" i="71"/>
  <c r="Q29" i="71"/>
  <c r="F30" i="71" s="1"/>
  <c r="F31" i="71" s="1"/>
  <c r="F32" i="71" s="1"/>
  <c r="V32" i="71" s="1"/>
  <c r="P29" i="71"/>
  <c r="O29" i="71"/>
  <c r="Y29" i="71" s="1"/>
  <c r="Z29" i="71" s="1"/>
  <c r="N29" i="71"/>
  <c r="D29" i="71"/>
  <c r="O28" i="71"/>
  <c r="C28" i="71" s="1"/>
  <c r="N28" i="71"/>
  <c r="B30" i="71"/>
  <c r="B31" i="71"/>
  <c r="B32" i="71" s="1"/>
  <c r="S32" i="71" s="1"/>
  <c r="E30" i="71"/>
  <c r="E31" i="71" s="1"/>
  <c r="E32" i="71" s="1"/>
  <c r="U32" i="71" s="1"/>
  <c r="B39" i="71"/>
  <c r="B40" i="71" s="1"/>
  <c r="S40" i="71" s="1"/>
  <c r="E34" i="71"/>
  <c r="E35" i="71" s="1"/>
  <c r="E36" i="71" s="1"/>
  <c r="U36" i="71" s="1"/>
  <c r="C30" i="71"/>
  <c r="AA30" i="71"/>
  <c r="C34" i="71"/>
  <c r="D34" i="71" s="1"/>
  <c r="AB33" i="71"/>
  <c r="X36" i="71"/>
  <c r="C38" i="71"/>
  <c r="D38" i="71" s="1"/>
  <c r="AA38" i="71"/>
  <c r="Y26" i="71"/>
  <c r="Z26" i="71" s="1"/>
  <c r="B28" i="71"/>
  <c r="B27" i="71" s="1"/>
  <c r="B26" i="71" s="1"/>
  <c r="C31" i="71"/>
  <c r="C32" i="71" s="1"/>
  <c r="D30" i="71"/>
  <c r="D50" i="71"/>
  <c r="P28" i="71"/>
  <c r="E28" i="71" s="1"/>
  <c r="U68" i="71"/>
  <c r="E67" i="71"/>
  <c r="Q28" i="71"/>
  <c r="D58" i="71"/>
  <c r="C63" i="71"/>
  <c r="C64" i="71" s="1"/>
  <c r="D62" i="71"/>
  <c r="T68" i="71"/>
  <c r="O68" i="71"/>
  <c r="D68" i="71"/>
  <c r="C67" i="71"/>
  <c r="D67" i="71" s="1"/>
  <c r="Q68" i="71"/>
  <c r="E71" i="71"/>
  <c r="E70" i="71"/>
  <c r="D72" i="71"/>
  <c r="C75" i="71"/>
  <c r="D76" i="71"/>
  <c r="D80" i="71"/>
  <c r="C87" i="71"/>
  <c r="C86" i="71" s="1"/>
  <c r="D86" i="71" s="1"/>
  <c r="F28" i="71"/>
  <c r="F27" i="71"/>
  <c r="F26" i="71" s="1"/>
  <c r="AB28" i="71"/>
  <c r="D63" i="71"/>
  <c r="D75" i="71"/>
  <c r="C74" i="71"/>
  <c r="D74" i="71" s="1"/>
  <c r="D87" i="71"/>
  <c r="P67" i="71"/>
  <c r="E66" i="71"/>
  <c r="P65" i="71" s="1"/>
  <c r="D31" i="71"/>
  <c r="P66"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57" i="43"/>
  <c r="S18" i="36"/>
  <c r="H25" i="40"/>
  <c r="AB25" i="40" s="1"/>
  <c r="J25" i="40"/>
  <c r="H29" i="39"/>
  <c r="AB29" i="39" s="1"/>
  <c r="J29" i="39"/>
  <c r="AC29" i="39" s="1"/>
  <c r="J18" i="36"/>
  <c r="AC18" i="36" s="1"/>
  <c r="H18" i="35"/>
  <c r="AB18" i="35" s="1"/>
  <c r="J18" i="35"/>
  <c r="W18" i="35" s="1"/>
  <c r="H21" i="37"/>
  <c r="F21" i="37"/>
  <c r="AA21" i="37" s="1"/>
  <c r="H21" i="34"/>
  <c r="AB21" i="34" s="1"/>
  <c r="H21" i="33"/>
  <c r="U21" i="33" s="1"/>
  <c r="F21" i="33"/>
  <c r="AA21" i="33" s="1"/>
  <c r="E83" i="21"/>
  <c r="F83" i="21" s="1"/>
  <c r="H1" i="69"/>
  <c r="AC25" i="40"/>
  <c r="W25" i="40"/>
  <c r="U25" i="40"/>
  <c r="W29" i="39"/>
  <c r="W18" i="36"/>
  <c r="AB21" i="37"/>
  <c r="U21" i="37"/>
  <c r="AC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L566" i="3" s="1"/>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G568" i="3" s="1"/>
  <c r="AC568" i="3"/>
  <c r="BB568" i="3"/>
  <c r="BC568" i="3"/>
  <c r="BD568" i="3"/>
  <c r="BA568" i="3" s="1"/>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A570" i="3" s="1"/>
  <c r="BE570" i="3"/>
  <c r="BF570" i="3"/>
  <c r="BG570" i="3"/>
  <c r="BH570" i="3"/>
  <c r="BI570" i="3"/>
  <c r="BJ570" i="3"/>
  <c r="BK570" i="3"/>
  <c r="BM570" i="3"/>
  <c r="BL570" i="3" s="1"/>
  <c r="BN570" i="3"/>
  <c r="BO570" i="3"/>
  <c r="BP570" i="3"/>
  <c r="BQ570" i="3"/>
  <c r="BR570" i="3"/>
  <c r="BS570" i="3"/>
  <c r="BT570" i="3"/>
  <c r="H571" i="3"/>
  <c r="AC571" i="3"/>
  <c r="BB571" i="3"/>
  <c r="BC571" i="3"/>
  <c r="BD571" i="3"/>
  <c r="BA571" i="3" s="1"/>
  <c r="BE571" i="3"/>
  <c r="BF571" i="3"/>
  <c r="BG571" i="3"/>
  <c r="BH571" i="3"/>
  <c r="BI571" i="3"/>
  <c r="BJ571" i="3"/>
  <c r="BK571" i="3"/>
  <c r="BM571" i="3"/>
  <c r="BN571" i="3"/>
  <c r="BO571" i="3"/>
  <c r="BP571" i="3"/>
  <c r="BR571" i="3"/>
  <c r="BS571" i="3"/>
  <c r="BT571" i="3"/>
  <c r="H572" i="3"/>
  <c r="AC572" i="3"/>
  <c r="G572" i="3" s="1"/>
  <c r="BB572" i="3"/>
  <c r="BC572" i="3"/>
  <c r="BD572" i="3"/>
  <c r="BE572" i="3"/>
  <c r="BE5" i="3" s="1"/>
  <c r="BF572" i="3"/>
  <c r="BG572" i="3"/>
  <c r="BH572" i="3"/>
  <c r="BI572" i="3"/>
  <c r="BJ572" i="3"/>
  <c r="BK572" i="3"/>
  <c r="BM572" i="3"/>
  <c r="BN572" i="3"/>
  <c r="BN5"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A574" i="3" s="1"/>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BT5" i="3" s="1"/>
  <c r="H576" i="3"/>
  <c r="AC576" i="3"/>
  <c r="BB576" i="3"/>
  <c r="BC576" i="3"/>
  <c r="BD576" i="3"/>
  <c r="BE576" i="3"/>
  <c r="BF576" i="3"/>
  <c r="BG576" i="3"/>
  <c r="BH576" i="3"/>
  <c r="BI576" i="3"/>
  <c r="BJ576" i="3"/>
  <c r="BK576" i="3"/>
  <c r="BM576" i="3"/>
  <c r="BN576" i="3"/>
  <c r="BO576" i="3"/>
  <c r="BP576" i="3"/>
  <c r="BL576" i="3" s="1"/>
  <c r="BQ576" i="3"/>
  <c r="BR576" i="3"/>
  <c r="BS576" i="3"/>
  <c r="BT576" i="3"/>
  <c r="H577" i="3"/>
  <c r="AC577" i="3"/>
  <c r="BB577" i="3"/>
  <c r="BC577" i="3"/>
  <c r="BA577" i="3" s="1"/>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A582" i="3" s="1"/>
  <c r="BF582" i="3"/>
  <c r="BG582" i="3"/>
  <c r="BH582" i="3"/>
  <c r="BI582" i="3"/>
  <c r="BJ582" i="3"/>
  <c r="BK582" i="3"/>
  <c r="BM582" i="3"/>
  <c r="BN582" i="3"/>
  <c r="BL582" i="3" s="1"/>
  <c r="BO582" i="3"/>
  <c r="BP582" i="3"/>
  <c r="BQ582" i="3"/>
  <c r="BR582" i="3"/>
  <c r="BS582" i="3"/>
  <c r="BT582" i="3"/>
  <c r="H583" i="3"/>
  <c r="AC583" i="3"/>
  <c r="G583" i="3" s="1"/>
  <c r="BB583" i="3"/>
  <c r="BC583" i="3"/>
  <c r="BD583" i="3"/>
  <c r="BE583" i="3"/>
  <c r="BA583" i="3" s="1"/>
  <c r="BF583" i="3"/>
  <c r="BG583" i="3"/>
  <c r="BH583" i="3"/>
  <c r="BI583" i="3"/>
  <c r="BJ583" i="3"/>
  <c r="BK583" i="3"/>
  <c r="BM583" i="3"/>
  <c r="BN583" i="3"/>
  <c r="BO583" i="3"/>
  <c r="BP583" i="3"/>
  <c r="BR583" i="3"/>
  <c r="BS583" i="3"/>
  <c r="BT583" i="3"/>
  <c r="H584" i="3"/>
  <c r="AC584" i="3"/>
  <c r="BB584" i="3"/>
  <c r="BA584" i="3" s="1"/>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AA42" i="34" s="1"/>
  <c r="J38" i="34"/>
  <c r="W38" i="34" s="1"/>
  <c r="D114" i="34"/>
  <c r="F38" i="34"/>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J14" i="40" s="1"/>
  <c r="W14" i="40" s="1"/>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F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H38" i="37" s="1"/>
  <c r="AB38" i="37" s="1"/>
  <c r="C23" i="37"/>
  <c r="C19" i="37"/>
  <c r="C17" i="37"/>
  <c r="C15" i="37"/>
  <c r="B112" i="37"/>
  <c r="F40" i="37" s="1"/>
  <c r="AA40" i="37" s="1"/>
  <c r="D107" i="37"/>
  <c r="E107" i="37"/>
  <c r="D105" i="37"/>
  <c r="E105" i="37" s="1"/>
  <c r="F105" i="37" s="1"/>
  <c r="G105" i="37" s="1"/>
  <c r="D103" i="37"/>
  <c r="E103" i="37" s="1"/>
  <c r="J35" i="37"/>
  <c r="W35" i="37" s="1"/>
  <c r="F97" i="37"/>
  <c r="E97" i="37"/>
  <c r="D97" i="37"/>
  <c r="C97" i="37"/>
  <c r="D96" i="37"/>
  <c r="E96" i="37" s="1"/>
  <c r="D94" i="37"/>
  <c r="M90" i="37"/>
  <c r="L90" i="37"/>
  <c r="K90" i="37"/>
  <c r="J90" i="37"/>
  <c r="I90" i="37"/>
  <c r="H90" i="37"/>
  <c r="G90" i="37"/>
  <c r="F90" i="37"/>
  <c r="E90" i="37"/>
  <c r="D90" i="37"/>
  <c r="C90" i="37"/>
  <c r="D89" i="37"/>
  <c r="E89" i="37" s="1"/>
  <c r="B86" i="37"/>
  <c r="F28" i="37" s="1"/>
  <c r="AA28" i="37" s="1"/>
  <c r="B84" i="37"/>
  <c r="H27" i="37" s="1"/>
  <c r="U27" i="37"/>
  <c r="B82" i="37"/>
  <c r="H26" i="37" s="1"/>
  <c r="AB26" i="37" s="1"/>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c r="J25" i="37"/>
  <c r="AC25" i="37" s="1"/>
  <c r="F25" i="37"/>
  <c r="AA25" i="37" s="1"/>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AB33" i="36" s="1"/>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D70" i="36"/>
  <c r="H22" i="36"/>
  <c r="AB22" i="36" s="1"/>
  <c r="D68" i="36"/>
  <c r="E68" i="36" s="1"/>
  <c r="F68" i="36"/>
  <c r="G68" i="36" s="1"/>
  <c r="D64" i="36"/>
  <c r="E64" i="36" s="1"/>
  <c r="F64" i="36"/>
  <c r="G64" i="36" s="1"/>
  <c r="J16" i="36"/>
  <c r="W16" i="36" s="1"/>
  <c r="D62" i="36"/>
  <c r="E62" i="36"/>
  <c r="F62" i="36" s="1"/>
  <c r="G62" i="36" s="1"/>
  <c r="B59" i="36"/>
  <c r="B57" i="36"/>
  <c r="J12" i="36"/>
  <c r="W12" i="36" s="1"/>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c r="Q26" i="36"/>
  <c r="Z26" i="36" s="1"/>
  <c r="H26" i="36"/>
  <c r="AB26" i="36"/>
  <c r="Q25" i="36"/>
  <c r="Z25" i="36" s="1"/>
  <c r="Q24" i="36"/>
  <c r="Z24" i="36"/>
  <c r="H24" i="36"/>
  <c r="AB24" i="36" s="1"/>
  <c r="Q23" i="36"/>
  <c r="Z23" i="36" s="1"/>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J22" i="35"/>
  <c r="AC22" i="35" s="1"/>
  <c r="B101" i="35"/>
  <c r="J36" i="35" s="1"/>
  <c r="AC36" i="35" s="1"/>
  <c r="H36" i="35"/>
  <c r="AB36" i="35" s="1"/>
  <c r="B99" i="35"/>
  <c r="F35" i="35" s="1"/>
  <c r="AA35" i="35" s="1"/>
  <c r="B97" i="35"/>
  <c r="B77" i="35"/>
  <c r="B75" i="35"/>
  <c r="J24" i="35" s="1"/>
  <c r="AC24" i="35"/>
  <c r="B73" i="35"/>
  <c r="J23" i="35" s="1"/>
  <c r="AC23" i="35" s="1"/>
  <c r="H23" i="35"/>
  <c r="U23" i="35" s="1"/>
  <c r="B57" i="35"/>
  <c r="J11" i="35" s="1"/>
  <c r="W11" i="35" s="1"/>
  <c r="B61" i="35"/>
  <c r="F13" i="35" s="1"/>
  <c r="B59" i="35"/>
  <c r="F12" i="35" s="1"/>
  <c r="B131" i="34"/>
  <c r="B129" i="34"/>
  <c r="B127" i="34"/>
  <c r="F45" i="34" s="1"/>
  <c r="S45" i="34" s="1"/>
  <c r="B99" i="34"/>
  <c r="B97" i="34"/>
  <c r="B95" i="34"/>
  <c r="H30" i="34" s="1"/>
  <c r="B93" i="34"/>
  <c r="J29" i="34" s="1"/>
  <c r="AC29" i="34" s="1"/>
  <c r="B75" i="34"/>
  <c r="H14" i="34" s="1"/>
  <c r="B73" i="34"/>
  <c r="B71" i="34"/>
  <c r="B130" i="33"/>
  <c r="J46" i="33" s="1"/>
  <c r="AC46" i="33" s="1"/>
  <c r="B128" i="33"/>
  <c r="B126" i="33"/>
  <c r="B98" i="33"/>
  <c r="B96" i="33"/>
  <c r="J30" i="33" s="1"/>
  <c r="B94" i="33"/>
  <c r="B74" i="33"/>
  <c r="B72" i="33"/>
  <c r="H13" i="33" s="1"/>
  <c r="U13" i="33" s="1"/>
  <c r="B70" i="33"/>
  <c r="J12" i="33" s="1"/>
  <c r="D96" i="35"/>
  <c r="E96" i="35"/>
  <c r="F96" i="35" s="1"/>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c r="F64" i="35" s="1"/>
  <c r="G64" i="35" s="1"/>
  <c r="J14" i="35"/>
  <c r="W14" i="35" s="1"/>
  <c r="C53" i="35"/>
  <c r="J9" i="35" s="1"/>
  <c r="AC9" i="35" s="1"/>
  <c r="P39" i="35"/>
  <c r="P38" i="35"/>
  <c r="V37" i="35"/>
  <c r="T37" i="35"/>
  <c r="R37" i="35"/>
  <c r="P37" i="35"/>
  <c r="Q36" i="35"/>
  <c r="Z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c r="J8" i="34"/>
  <c r="H8" i="34"/>
  <c r="U8" i="34" s="1"/>
  <c r="F8" i="34"/>
  <c r="AA8" i="34" s="1"/>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c r="F15" i="33"/>
  <c r="AA15" i="33" s="1"/>
  <c r="Q14" i="33"/>
  <c r="Z14" i="33"/>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H46" i="21" s="1"/>
  <c r="B128" i="21"/>
  <c r="J45" i="21"/>
  <c r="W45" i="21" s="1"/>
  <c r="B126" i="21"/>
  <c r="J44" i="21" s="1"/>
  <c r="AC44" i="21" s="1"/>
  <c r="B98" i="21"/>
  <c r="H31" i="21" s="1"/>
  <c r="B96" i="21"/>
  <c r="B94" i="21"/>
  <c r="J29" i="21"/>
  <c r="AC29" i="21" s="1"/>
  <c r="B92" i="21"/>
  <c r="B90" i="21"/>
  <c r="H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c r="F36" i="21"/>
  <c r="S36" i="21" s="1"/>
  <c r="F39" i="21"/>
  <c r="AA39" i="21" s="1"/>
  <c r="J40" i="21"/>
  <c r="W40" i="21" s="1"/>
  <c r="H35" i="21"/>
  <c r="AB35" i="21" s="1"/>
  <c r="J8" i="21"/>
  <c r="AC8" i="21" s="1"/>
  <c r="H8" i="21"/>
  <c r="U8" i="21" s="1"/>
  <c r="H10" i="21"/>
  <c r="AB10" i="21" s="1"/>
  <c r="H39" i="21"/>
  <c r="U39" i="21"/>
  <c r="J34" i="21"/>
  <c r="W34" i="21" s="1"/>
  <c r="H36" i="21"/>
  <c r="U36" i="21" s="1"/>
  <c r="F35" i="21"/>
  <c r="AA35" i="21"/>
  <c r="J10" i="21"/>
  <c r="AC10" i="21" s="1"/>
  <c r="H26" i="21"/>
  <c r="AB26" i="21" s="1"/>
  <c r="AB19" i="21"/>
  <c r="J19" i="21"/>
  <c r="W19" i="21" s="1"/>
  <c r="J26" i="21"/>
  <c r="W26" i="21"/>
  <c r="F26" i="21"/>
  <c r="S26" i="21" s="1"/>
  <c r="AB41" i="21"/>
  <c r="S41" i="21"/>
  <c r="AA41" i="21"/>
  <c r="F45" i="39"/>
  <c r="S45" i="39" s="1"/>
  <c r="J45" i="39"/>
  <c r="W45" i="39" s="1"/>
  <c r="J44" i="39"/>
  <c r="AC44" i="39" s="1"/>
  <c r="H36" i="39"/>
  <c r="AB36" i="39" s="1"/>
  <c r="J35" i="39"/>
  <c r="AC35" i="39" s="1"/>
  <c r="F35" i="39"/>
  <c r="AA35" i="39"/>
  <c r="W25" i="37"/>
  <c r="U30"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U31" i="35"/>
  <c r="W22" i="35"/>
  <c r="S31" i="35"/>
  <c r="U34" i="35"/>
  <c r="F36" i="34"/>
  <c r="AA36" i="34" s="1"/>
  <c r="J35" i="34"/>
  <c r="AC35" i="34" s="1"/>
  <c r="U34" i="34"/>
  <c r="H39" i="33"/>
  <c r="AB39" i="33"/>
  <c r="F26" i="33"/>
  <c r="AA26" i="33" s="1"/>
  <c r="U33" i="33"/>
  <c r="U35" i="33"/>
  <c r="S40" i="33"/>
  <c r="W39" i="33"/>
  <c r="H39" i="37"/>
  <c r="AB39" i="37" s="1"/>
  <c r="F11" i="40"/>
  <c r="AA11" i="40"/>
  <c r="H11" i="40"/>
  <c r="AB11" i="40" s="1"/>
  <c r="W8" i="40"/>
  <c r="AA9" i="40"/>
  <c r="U9" i="40"/>
  <c r="U38" i="40"/>
  <c r="W31" i="40"/>
  <c r="S38"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c r="AB8" i="39"/>
  <c r="AB12" i="35"/>
  <c r="AB12" i="36"/>
  <c r="W32" i="40"/>
  <c r="S44" i="39"/>
  <c r="J34" i="36"/>
  <c r="W34" i="36" s="1"/>
  <c r="U30" i="36"/>
  <c r="J30" i="35"/>
  <c r="W30" i="35" s="1"/>
  <c r="H30" i="35"/>
  <c r="AB30" i="35" s="1"/>
  <c r="F22" i="35"/>
  <c r="AA22" i="35" s="1"/>
  <c r="H10" i="35"/>
  <c r="U10" i="35" s="1"/>
  <c r="W30" i="36"/>
  <c r="H16" i="36"/>
  <c r="AB16" i="36" s="1"/>
  <c r="E85" i="36"/>
  <c r="F85" i="36" s="1"/>
  <c r="G85" i="36" s="1"/>
  <c r="H85" i="36" s="1"/>
  <c r="I85" i="36" s="1"/>
  <c r="J85" i="36" s="1"/>
  <c r="K85" i="36" s="1"/>
  <c r="L85" i="36" s="1"/>
  <c r="M85" i="36" s="1"/>
  <c r="J29" i="36"/>
  <c r="AC29" i="36" s="1"/>
  <c r="F12" i="36"/>
  <c r="S12" i="36" s="1"/>
  <c r="F24" i="36"/>
  <c r="AA24" i="36" s="1"/>
  <c r="F34" i="36"/>
  <c r="S34" i="36" s="1"/>
  <c r="F14" i="35"/>
  <c r="F23" i="35"/>
  <c r="AA23" i="35" s="1"/>
  <c r="J32" i="35"/>
  <c r="AC32" i="35" s="1"/>
  <c r="J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F28" i="34"/>
  <c r="AA28" i="34" s="1"/>
  <c r="F25" i="34"/>
  <c r="S25" i="34" s="1"/>
  <c r="F19" i="34"/>
  <c r="AA19" i="34" s="1"/>
  <c r="H17" i="34"/>
  <c r="F15" i="34"/>
  <c r="AA15" i="34" s="1"/>
  <c r="J15" i="34"/>
  <c r="AC15" i="34" s="1"/>
  <c r="H15" i="34"/>
  <c r="AB15" i="34" s="1"/>
  <c r="J28" i="34"/>
  <c r="F41" i="33"/>
  <c r="AA41" i="33" s="1"/>
  <c r="S38" i="33"/>
  <c r="E113" i="33"/>
  <c r="F113" i="33" s="1"/>
  <c r="G113" i="33" s="1"/>
  <c r="H113" i="33" s="1"/>
  <c r="I113" i="33" s="1"/>
  <c r="J113" i="33" s="1"/>
  <c r="K113" i="33" s="1"/>
  <c r="F32" i="33"/>
  <c r="AA32" i="33" s="1"/>
  <c r="J19" i="33"/>
  <c r="AC19" i="33" s="1"/>
  <c r="J15" i="33"/>
  <c r="F11" i="33"/>
  <c r="AA11" i="33" s="1"/>
  <c r="S26" i="33"/>
  <c r="U40" i="33"/>
  <c r="F37" i="40"/>
  <c r="AA37" i="40" s="1"/>
  <c r="F36" i="40"/>
  <c r="AA36" i="40" s="1"/>
  <c r="H28" i="40"/>
  <c r="U28" i="40"/>
  <c r="F23" i="40"/>
  <c r="AA23" i="40" s="1"/>
  <c r="F17" i="40"/>
  <c r="AA17" i="40" s="1"/>
  <c r="J17" i="40"/>
  <c r="W17" i="40"/>
  <c r="F15" i="40"/>
  <c r="S15" i="40" s="1"/>
  <c r="H15" i="40"/>
  <c r="AB15" i="40" s="1"/>
  <c r="AC11" i="40"/>
  <c r="AA12" i="36"/>
  <c r="AB30" i="36"/>
  <c r="F29" i="35"/>
  <c r="H29" i="35"/>
  <c r="AB29" i="35" s="1"/>
  <c r="H33" i="37"/>
  <c r="F33" i="37"/>
  <c r="AA33" i="37" s="1"/>
  <c r="U34" i="37"/>
  <c r="AA34" i="37"/>
  <c r="J43" i="34"/>
  <c r="AC43" i="34" s="1"/>
  <c r="AB42" i="34"/>
  <c r="J40" i="34"/>
  <c r="W40" i="34" s="1"/>
  <c r="H38" i="34"/>
  <c r="AB38" i="34" s="1"/>
  <c r="J36" i="34"/>
  <c r="W36" i="34" s="1"/>
  <c r="H37" i="34"/>
  <c r="U37" i="34" s="1"/>
  <c r="H25" i="34"/>
  <c r="AB25" i="34" s="1"/>
  <c r="J25" i="34"/>
  <c r="AC25" i="34" s="1"/>
  <c r="J19" i="34"/>
  <c r="AC19" i="34" s="1"/>
  <c r="F17" i="34"/>
  <c r="AA17" i="34" s="1"/>
  <c r="J17" i="34"/>
  <c r="L113" i="33"/>
  <c r="M113" i="33" s="1"/>
  <c r="H37" i="33"/>
  <c r="AB37" i="33"/>
  <c r="H15" i="33"/>
  <c r="AB15" i="33" s="1"/>
  <c r="H11" i="33"/>
  <c r="F28" i="40"/>
  <c r="AA28" i="40"/>
  <c r="S42" i="34"/>
  <c r="J37" i="34"/>
  <c r="AC37" i="34" s="1"/>
  <c r="J11" i="33"/>
  <c r="W11" i="33" s="1"/>
  <c r="J42" i="21"/>
  <c r="AC42" i="21" s="1"/>
  <c r="H42" i="21"/>
  <c r="U42" i="21"/>
  <c r="J44" i="34"/>
  <c r="W44" i="34" s="1"/>
  <c r="F44" i="34"/>
  <c r="AA44" i="34" s="1"/>
  <c r="J10" i="35"/>
  <c r="AC10" i="35" s="1"/>
  <c r="J14" i="21"/>
  <c r="W14" i="21"/>
  <c r="F14" i="21"/>
  <c r="S14" i="21" s="1"/>
  <c r="H14" i="21"/>
  <c r="U14" i="21" s="1"/>
  <c r="H28" i="21"/>
  <c r="AB28" i="21" s="1"/>
  <c r="F28" i="21"/>
  <c r="AA28" i="21"/>
  <c r="J28" i="21"/>
  <c r="W28" i="21" s="1"/>
  <c r="H30" i="21"/>
  <c r="U30" i="21" s="1"/>
  <c r="F30" i="21"/>
  <c r="S30" i="21" s="1"/>
  <c r="J30" i="21"/>
  <c r="AC30" i="21" s="1"/>
  <c r="F44" i="21"/>
  <c r="AA44" i="21" s="1"/>
  <c r="U46" i="21"/>
  <c r="J46" i="21"/>
  <c r="F46" i="21"/>
  <c r="AA46" i="21" s="1"/>
  <c r="E119" i="21"/>
  <c r="F119" i="21" s="1"/>
  <c r="G119" i="21" s="1"/>
  <c r="H119" i="21" s="1"/>
  <c r="I119" i="21" s="1"/>
  <c r="J119" i="21" s="1"/>
  <c r="K119" i="21" s="1"/>
  <c r="L119" i="21" s="1"/>
  <c r="M119" i="21" s="1"/>
  <c r="H26" i="33"/>
  <c r="AB26" i="33" s="1"/>
  <c r="U26" i="33"/>
  <c r="F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AB27" i="21"/>
  <c r="F27" i="21"/>
  <c r="AA27" i="21" s="1"/>
  <c r="H29" i="21"/>
  <c r="U29" i="21" s="1"/>
  <c r="J31" i="21"/>
  <c r="AC31" i="21" s="1"/>
  <c r="F31" i="21"/>
  <c r="S31" i="21"/>
  <c r="F45" i="21"/>
  <c r="AA45" i="21" s="1"/>
  <c r="F27" i="33"/>
  <c r="AA27" i="33" s="1"/>
  <c r="J13" i="33"/>
  <c r="F13" i="33"/>
  <c r="S13" i="33"/>
  <c r="J29" i="33"/>
  <c r="H29" i="33"/>
  <c r="U29" i="33"/>
  <c r="F29" i="33"/>
  <c r="S29" i="33" s="1"/>
  <c r="J31" i="33"/>
  <c r="W31" i="33" s="1"/>
  <c r="H31" i="33"/>
  <c r="F31" i="33"/>
  <c r="H45" i="33"/>
  <c r="J45" i="33"/>
  <c r="W45" i="33" s="1"/>
  <c r="F45" i="33"/>
  <c r="J14" i="34"/>
  <c r="W14" i="34" s="1"/>
  <c r="F30" i="34"/>
  <c r="S30" i="34" s="1"/>
  <c r="J30" i="34"/>
  <c r="H32" i="34"/>
  <c r="U32" i="34" s="1"/>
  <c r="F32" i="34"/>
  <c r="J32" i="34"/>
  <c r="W32" i="34" s="1"/>
  <c r="H46" i="34"/>
  <c r="F46" i="34"/>
  <c r="AA46" i="34" s="1"/>
  <c r="J46" i="34"/>
  <c r="W46" i="34" s="1"/>
  <c r="H11" i="35"/>
  <c r="AB11" i="35" s="1"/>
  <c r="AC11" i="35"/>
  <c r="F11" i="35"/>
  <c r="S11" i="35" s="1"/>
  <c r="J26" i="36"/>
  <c r="W26" i="36" s="1"/>
  <c r="H28" i="36"/>
  <c r="U28" i="36" s="1"/>
  <c r="H32" i="36"/>
  <c r="J32" i="36"/>
  <c r="W32" i="36" s="1"/>
  <c r="H11" i="36"/>
  <c r="U11" i="36" s="1"/>
  <c r="F11" i="36"/>
  <c r="H13" i="36"/>
  <c r="AB13" i="36" s="1"/>
  <c r="J13" i="36"/>
  <c r="F13" i="36"/>
  <c r="S13" i="36" s="1"/>
  <c r="F89" i="37"/>
  <c r="G89" i="37" s="1"/>
  <c r="H89" i="37" s="1"/>
  <c r="I89" i="37" s="1"/>
  <c r="J89" i="37" s="1"/>
  <c r="K89" i="37" s="1"/>
  <c r="L89" i="37" s="1"/>
  <c r="M89" i="37" s="1"/>
  <c r="J29" i="37"/>
  <c r="W29" i="37" s="1"/>
  <c r="F29" i="37"/>
  <c r="S29" i="37"/>
  <c r="H36" i="37"/>
  <c r="AB36" i="37" s="1"/>
  <c r="F107" i="37"/>
  <c r="J37" i="37"/>
  <c r="H37" i="37"/>
  <c r="U37" i="37" s="1"/>
  <c r="H40" i="37"/>
  <c r="U40" i="37" s="1"/>
  <c r="J40" i="37"/>
  <c r="AC40" i="37"/>
  <c r="AC12" i="40"/>
  <c r="W12" i="40"/>
  <c r="H14" i="33"/>
  <c r="U14" i="33" s="1"/>
  <c r="F14" i="33"/>
  <c r="S14" i="33"/>
  <c r="J14" i="33"/>
  <c r="F30" i="33"/>
  <c r="H44" i="33"/>
  <c r="J44" i="33"/>
  <c r="AC44" i="33"/>
  <c r="F44" i="33"/>
  <c r="S44" i="33" s="1"/>
  <c r="H46" i="33"/>
  <c r="H13" i="34"/>
  <c r="U13" i="34" s="1"/>
  <c r="J13" i="34"/>
  <c r="W13" i="34" s="1"/>
  <c r="F13" i="34"/>
  <c r="AA13" i="34" s="1"/>
  <c r="J31" i="34"/>
  <c r="AC31" i="34"/>
  <c r="H31" i="34"/>
  <c r="F31" i="34"/>
  <c r="H47" i="34"/>
  <c r="U47" i="34" s="1"/>
  <c r="F47" i="34"/>
  <c r="S47" i="34" s="1"/>
  <c r="J47" i="34"/>
  <c r="AC47" i="34"/>
  <c r="J25" i="35"/>
  <c r="F25" i="35"/>
  <c r="S25" i="35" s="1"/>
  <c r="H25" i="35"/>
  <c r="AB25" i="35"/>
  <c r="J25" i="36"/>
  <c r="W25" i="36" s="1"/>
  <c r="F25" i="36"/>
  <c r="S25" i="36" s="1"/>
  <c r="H25" i="36"/>
  <c r="AB25" i="36" s="1"/>
  <c r="H13" i="37"/>
  <c r="AB13" i="37" s="1"/>
  <c r="F13" i="37"/>
  <c r="S13" i="37"/>
  <c r="J13" i="37"/>
  <c r="W13" i="37" s="1"/>
  <c r="J28" i="37"/>
  <c r="H28" i="37"/>
  <c r="J38" i="37"/>
  <c r="AC38" i="37" s="1"/>
  <c r="F43" i="39"/>
  <c r="AA43" i="39" s="1"/>
  <c r="H43" i="39"/>
  <c r="J14" i="39"/>
  <c r="AC14" i="39" s="1"/>
  <c r="F14" i="39"/>
  <c r="H14" i="39"/>
  <c r="AB14" i="39" s="1"/>
  <c r="F12" i="40"/>
  <c r="S12" i="40" s="1"/>
  <c r="H12" i="40"/>
  <c r="AB12" i="40"/>
  <c r="H30" i="40"/>
  <c r="AB30" i="40" s="1"/>
  <c r="F33" i="40"/>
  <c r="AA33" i="40" s="1"/>
  <c r="H33" i="40"/>
  <c r="U33" i="40" s="1"/>
  <c r="J35" i="40"/>
  <c r="AC35" i="40"/>
  <c r="J37" i="40"/>
  <c r="AC37" i="40" s="1"/>
  <c r="H13" i="40"/>
  <c r="U13" i="40" s="1"/>
  <c r="J13" i="40"/>
  <c r="F13" i="40"/>
  <c r="AA13" i="40"/>
  <c r="F27" i="37"/>
  <c r="AA27" i="37" s="1"/>
  <c r="F13" i="39"/>
  <c r="J13" i="39"/>
  <c r="W13" i="39" s="1"/>
  <c r="H13" i="39"/>
  <c r="U13" i="39" s="1"/>
  <c r="H14" i="40"/>
  <c r="AB14" i="40"/>
  <c r="F14" i="40"/>
  <c r="AA14" i="40"/>
  <c r="J27" i="37"/>
  <c r="AC27" i="37"/>
  <c r="AA44" i="33"/>
  <c r="AA14" i="33"/>
  <c r="J36" i="37"/>
  <c r="AC36" i="37"/>
  <c r="J10" i="36"/>
  <c r="AC10" i="36" s="1"/>
  <c r="AB30" i="21"/>
  <c r="W31" i="34"/>
  <c r="AC28" i="21"/>
  <c r="BA586" i="3"/>
  <c r="F17" i="21"/>
  <c r="AA17" i="21" s="1"/>
  <c r="H17" i="21"/>
  <c r="AB17" i="21" s="1"/>
  <c r="F15" i="21"/>
  <c r="S15" i="21" s="1"/>
  <c r="J41" i="39"/>
  <c r="W41" i="39" s="1"/>
  <c r="W44" i="39"/>
  <c r="U36" i="39"/>
  <c r="S35" i="39"/>
  <c r="G544" i="3"/>
  <c r="G540" i="3"/>
  <c r="G536" i="3"/>
  <c r="G535" i="3"/>
  <c r="G531" i="3"/>
  <c r="G528" i="3"/>
  <c r="G527" i="3"/>
  <c r="G518" i="3"/>
  <c r="G514" i="3"/>
  <c r="G510" i="3"/>
  <c r="G508" i="3"/>
  <c r="G504" i="3"/>
  <c r="G500" i="3"/>
  <c r="G496" i="3"/>
  <c r="G584" i="3"/>
  <c r="G576" i="3"/>
  <c r="G564" i="3"/>
  <c r="G560" i="3"/>
  <c r="G554" i="3"/>
  <c r="BL580" i="3"/>
  <c r="BL564" i="3"/>
  <c r="BL560" i="3"/>
  <c r="AZ560" i="3" s="1"/>
  <c r="BL546" i="3"/>
  <c r="BL542" i="3"/>
  <c r="BL538" i="3"/>
  <c r="BL530" i="3"/>
  <c r="BL526" i="3"/>
  <c r="BL522" i="3"/>
  <c r="BL512" i="3"/>
  <c r="BL506" i="3"/>
  <c r="BL502" i="3"/>
  <c r="BL494" i="3"/>
  <c r="BL578" i="3"/>
  <c r="BL562" i="3"/>
  <c r="BL552" i="3"/>
  <c r="AZ552" i="3" s="1"/>
  <c r="BL544" i="3"/>
  <c r="BL540" i="3"/>
  <c r="AZ540" i="3" s="1"/>
  <c r="G533" i="3"/>
  <c r="BL532" i="3"/>
  <c r="G529" i="3"/>
  <c r="G525" i="3"/>
  <c r="BL524" i="3"/>
  <c r="BL518" i="3"/>
  <c r="BL510" i="3"/>
  <c r="BL504" i="3"/>
  <c r="BL500" i="3"/>
  <c r="G493" i="3"/>
  <c r="BA576" i="3"/>
  <c r="AZ576" i="3" s="1"/>
  <c r="BA566" i="3"/>
  <c r="AZ566" i="3" s="1"/>
  <c r="BA562" i="3"/>
  <c r="BA560" i="3"/>
  <c r="BA558" i="3"/>
  <c r="BA556" i="3"/>
  <c r="BA554" i="3"/>
  <c r="BA552" i="3"/>
  <c r="BA548" i="3"/>
  <c r="BA544" i="3"/>
  <c r="AZ544" i="3" s="1"/>
  <c r="BA542" i="3"/>
  <c r="AZ542" i="3" s="1"/>
  <c r="BA540" i="3"/>
  <c r="BA538" i="3"/>
  <c r="AZ538" i="3" s="1"/>
  <c r="BA534" i="3"/>
  <c r="BA530" i="3"/>
  <c r="AZ530" i="3" s="1"/>
  <c r="BA528" i="3"/>
  <c r="BA524" i="3"/>
  <c r="AZ524" i="3" s="1"/>
  <c r="BA522" i="3"/>
  <c r="BA520" i="3"/>
  <c r="BA516" i="3"/>
  <c r="BA514" i="3"/>
  <c r="BA512" i="3"/>
  <c r="AZ512" i="3" s="1"/>
  <c r="BA510" i="3"/>
  <c r="AZ510" i="3" s="1"/>
  <c r="BA508" i="3"/>
  <c r="BA504" i="3"/>
  <c r="AZ504" i="3"/>
  <c r="BA502" i="3"/>
  <c r="BA498" i="3"/>
  <c r="BA496" i="3"/>
  <c r="BA587" i="3"/>
  <c r="BA579" i="3"/>
  <c r="AZ579" i="3" s="1"/>
  <c r="BA569" i="3"/>
  <c r="BA563" i="3"/>
  <c r="BA561" i="3"/>
  <c r="BA559" i="3"/>
  <c r="AZ559" i="3" s="1"/>
  <c r="BA553" i="3"/>
  <c r="BA549" i="3"/>
  <c r="BA547" i="3"/>
  <c r="BA543" i="3"/>
  <c r="AZ543" i="3" s="1"/>
  <c r="BA541" i="3"/>
  <c r="BA539" i="3"/>
  <c r="BA535" i="3"/>
  <c r="BA533" i="3"/>
  <c r="BA531" i="3"/>
  <c r="BA527" i="3"/>
  <c r="BA525" i="3"/>
  <c r="BA523" i="3"/>
  <c r="BA517" i="3"/>
  <c r="BA515" i="3"/>
  <c r="BA513" i="3"/>
  <c r="BA507" i="3"/>
  <c r="BA505" i="3"/>
  <c r="BA503" i="3"/>
  <c r="BA499" i="3"/>
  <c r="BA497" i="3"/>
  <c r="BA495" i="3"/>
  <c r="G581" i="3"/>
  <c r="G577" i="3"/>
  <c r="G575" i="3"/>
  <c r="G571" i="3"/>
  <c r="G567" i="3"/>
  <c r="G565" i="3"/>
  <c r="G563" i="3"/>
  <c r="G561" i="3"/>
  <c r="BL558" i="3"/>
  <c r="BA557" i="3"/>
  <c r="AC557" i="3"/>
  <c r="BQ557" i="3"/>
  <c r="BL557" i="3" s="1"/>
  <c r="BQ583" i="3"/>
  <c r="BQ581" i="3"/>
  <c r="BL581" i="3"/>
  <c r="BQ579" i="3"/>
  <c r="BQ577" i="3"/>
  <c r="BQ575" i="3"/>
  <c r="BQ573" i="3"/>
  <c r="BQ571" i="3"/>
  <c r="BL571" i="3"/>
  <c r="BQ569" i="3"/>
  <c r="BQ567" i="3"/>
  <c r="BQ565" i="3"/>
  <c r="BL565" i="3" s="1"/>
  <c r="BQ563" i="3"/>
  <c r="BL563" i="3" s="1"/>
  <c r="BQ561" i="3"/>
  <c r="BL561" i="3" s="1"/>
  <c r="AZ561" i="3" s="1"/>
  <c r="BQ559" i="3"/>
  <c r="BL559" i="3" s="1"/>
  <c r="G559" i="3"/>
  <c r="G555" i="3"/>
  <c r="G553" i="3"/>
  <c r="G549" i="3"/>
  <c r="G547" i="3"/>
  <c r="G545" i="3"/>
  <c r="G543" i="3"/>
  <c r="G541" i="3"/>
  <c r="G539" i="3"/>
  <c r="G537" i="3"/>
  <c r="BQ555" i="3"/>
  <c r="BL555" i="3" s="1"/>
  <c r="BQ553" i="3"/>
  <c r="BL553" i="3" s="1"/>
  <c r="AZ553" i="3" s="1"/>
  <c r="BQ551" i="3"/>
  <c r="BL551" i="3" s="1"/>
  <c r="BQ549" i="3"/>
  <c r="BL549" i="3" s="1"/>
  <c r="AZ549" i="3" s="1"/>
  <c r="BQ547" i="3"/>
  <c r="BL547" i="3" s="1"/>
  <c r="AZ547" i="3" s="1"/>
  <c r="BQ545" i="3"/>
  <c r="BL545" i="3" s="1"/>
  <c r="BQ543" i="3"/>
  <c r="BL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s="1"/>
  <c r="BQ511" i="3"/>
  <c r="BL511" i="3" s="1"/>
  <c r="BA509" i="3"/>
  <c r="AC509" i="3"/>
  <c r="BQ509" i="3"/>
  <c r="BL509" i="3"/>
  <c r="AZ509" i="3" s="1"/>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AB27" i="37"/>
  <c r="U32" i="33"/>
  <c r="AA36" i="39"/>
  <c r="F39" i="33"/>
  <c r="AA39" i="33"/>
  <c r="E123" i="33"/>
  <c r="F42" i="33"/>
  <c r="H28" i="34"/>
  <c r="AB28" i="34" s="1"/>
  <c r="F14" i="36"/>
  <c r="AA14" i="36" s="1"/>
  <c r="F22" i="36"/>
  <c r="S22" i="36" s="1"/>
  <c r="F26" i="36"/>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S28" i="31"/>
  <c r="S27" i="31"/>
  <c r="S26" i="31"/>
  <c r="U14" i="40"/>
  <c r="W23" i="35"/>
  <c r="U39" i="37"/>
  <c r="U26" i="37"/>
  <c r="W47" i="34"/>
  <c r="AA13" i="33"/>
  <c r="AC31" i="33"/>
  <c r="AC45" i="33"/>
  <c r="W44" i="33"/>
  <c r="U19" i="21"/>
  <c r="F43" i="33"/>
  <c r="AA43" i="33"/>
  <c r="W40" i="37"/>
  <c r="G107" i="37"/>
  <c r="H107" i="37"/>
  <c r="I107" i="37" s="1"/>
  <c r="J107" i="37" s="1"/>
  <c r="K107" i="37" s="1"/>
  <c r="L107" i="37" s="1"/>
  <c r="M107" i="37" s="1"/>
  <c r="H37" i="21"/>
  <c r="U37" i="21" s="1"/>
  <c r="S42" i="21"/>
  <c r="H19" i="34"/>
  <c r="AB19" i="34" s="1"/>
  <c r="F36" i="35"/>
  <c r="S36" i="35" s="1"/>
  <c r="H9" i="37"/>
  <c r="U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U19" i="40" s="1"/>
  <c r="F88" i="40"/>
  <c r="G88" i="40" s="1"/>
  <c r="F19" i="40"/>
  <c r="S19" i="40" s="1"/>
  <c r="S14" i="40"/>
  <c r="AB33" i="40"/>
  <c r="W23" i="39"/>
  <c r="AC43" i="39"/>
  <c r="W43" i="39"/>
  <c r="U45" i="39"/>
  <c r="AB45" i="39"/>
  <c r="AB44" i="39"/>
  <c r="U44" i="39"/>
  <c r="G100" i="39"/>
  <c r="H37" i="39"/>
  <c r="AB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G4" i="4"/>
  <c r="I4" i="4"/>
  <c r="A2" i="9"/>
  <c r="F61" i="43"/>
  <c r="H64" i="43" s="1"/>
  <c r="AZ497" i="3"/>
  <c r="AZ522"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BL160" i="3"/>
  <c r="G161" i="3"/>
  <c r="BA163" i="3"/>
  <c r="BL164" i="3"/>
  <c r="AZ164" i="3" s="1"/>
  <c r="G165" i="3"/>
  <c r="BA167" i="3"/>
  <c r="BL168" i="3"/>
  <c r="AZ168" i="3" s="1"/>
  <c r="G169" i="3"/>
  <c r="BA171" i="3"/>
  <c r="AZ171" i="3" s="1"/>
  <c r="BL172" i="3"/>
  <c r="G173" i="3"/>
  <c r="BA175" i="3"/>
  <c r="BL176" i="3"/>
  <c r="G177" i="3"/>
  <c r="BA179" i="3"/>
  <c r="BL180" i="3"/>
  <c r="G181" i="3"/>
  <c r="BA183" i="3"/>
  <c r="BL184" i="3"/>
  <c r="AZ184" i="3" s="1"/>
  <c r="G185" i="3"/>
  <c r="BA187" i="3"/>
  <c r="AZ187" i="3" s="1"/>
  <c r="BL188" i="3"/>
  <c r="AZ188" i="3" s="1"/>
  <c r="G189" i="3"/>
  <c r="BA191" i="3"/>
  <c r="BL192" i="3"/>
  <c r="AZ192" i="3" s="1"/>
  <c r="G193" i="3"/>
  <c r="BA195" i="3"/>
  <c r="AZ195" i="3"/>
  <c r="BL196" i="3"/>
  <c r="G197" i="3"/>
  <c r="BA199" i="3"/>
  <c r="AZ199" i="3" s="1"/>
  <c r="BL200" i="3"/>
  <c r="AZ200" i="3" s="1"/>
  <c r="G201" i="3"/>
  <c r="BA203" i="3"/>
  <c r="BL204" i="3"/>
  <c r="AZ176"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AZ342" i="3" s="1"/>
  <c r="BL342" i="3"/>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6" i="3"/>
  <c r="BA16" i="3"/>
  <c r="BL303" i="3"/>
  <c r="G304" i="3"/>
  <c r="BA306" i="3"/>
  <c r="BL307" i="3"/>
  <c r="G308" i="3"/>
  <c r="BA310" i="3"/>
  <c r="AZ310" i="3" s="1"/>
  <c r="BL311" i="3"/>
  <c r="G312" i="3"/>
  <c r="BA314" i="3"/>
  <c r="BL315" i="3"/>
  <c r="G316" i="3"/>
  <c r="BA318" i="3"/>
  <c r="BL319" i="3"/>
  <c r="AZ319" i="3" s="1"/>
  <c r="G320" i="3"/>
  <c r="BA322" i="3"/>
  <c r="BL323" i="3"/>
  <c r="G324" i="3"/>
  <c r="BA326" i="3"/>
  <c r="AZ326" i="3"/>
  <c r="BL327" i="3"/>
  <c r="AZ327" i="3"/>
  <c r="G328" i="3"/>
  <c r="BA330" i="3"/>
  <c r="BL331" i="3"/>
  <c r="AZ331" i="3" s="1"/>
  <c r="G332" i="3"/>
  <c r="BA334" i="3"/>
  <c r="AZ334" i="3" s="1"/>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G375" i="3"/>
  <c r="BA377" i="3"/>
  <c r="AZ377" i="3" s="1"/>
  <c r="AZ237" i="3"/>
  <c r="AZ269" i="3"/>
  <c r="BA379" i="3"/>
  <c r="AZ379" i="3" s="1"/>
  <c r="BL380" i="3"/>
  <c r="G381" i="3"/>
  <c r="BA383" i="3"/>
  <c r="AZ383" i="3" s="1"/>
  <c r="BL384" i="3"/>
  <c r="G385" i="3"/>
  <c r="BA387" i="3"/>
  <c r="AZ387" i="3" s="1"/>
  <c r="BL388" i="3"/>
  <c r="G389" i="3"/>
  <c r="BA391" i="3"/>
  <c r="BL392" i="3"/>
  <c r="AZ392" i="3" s="1"/>
  <c r="G393" i="3"/>
  <c r="BO5" i="3"/>
  <c r="BJ5" i="3"/>
  <c r="BH5" i="3"/>
  <c r="BF5" i="3"/>
  <c r="AZ325" i="3"/>
  <c r="G548" i="3"/>
  <c r="G538" i="3"/>
  <c r="G520" i="3"/>
  <c r="G502" i="3"/>
  <c r="BS5" i="3"/>
  <c r="BP5" i="3"/>
  <c r="BK5" i="3"/>
  <c r="BI5" i="3"/>
  <c r="BG5" i="3"/>
  <c r="BC5" i="3"/>
  <c r="G17" i="3"/>
  <c r="BA17" i="3"/>
  <c r="AZ350" i="3"/>
  <c r="BA15" i="3"/>
  <c r="AZ15" i="3" s="1"/>
  <c r="BR5" i="3"/>
  <c r="AZ499" i="3"/>
  <c r="G509" i="3"/>
  <c r="BL493" i="3"/>
  <c r="U36" i="40"/>
  <c r="F83" i="43"/>
  <c r="H85" i="43" s="1"/>
  <c r="F50" i="43"/>
  <c r="H54" i="43" s="1"/>
  <c r="F72" i="43"/>
  <c r="H75" i="43" s="1"/>
  <c r="U17" i="39"/>
  <c r="U43" i="21"/>
  <c r="AC35" i="21"/>
  <c r="AZ563" i="3"/>
  <c r="S15" i="37"/>
  <c r="U13" i="37"/>
  <c r="U12" i="40"/>
  <c r="AA12" i="40"/>
  <c r="J37" i="33"/>
  <c r="W37" i="33"/>
  <c r="F106" i="33"/>
  <c r="G106" i="33" s="1"/>
  <c r="H106" i="33" s="1"/>
  <c r="I106" i="33" s="1"/>
  <c r="J106" i="33" s="1"/>
  <c r="K106" i="33" s="1"/>
  <c r="L106" i="33" s="1"/>
  <c r="M106" i="33" s="1"/>
  <c r="J34" i="33"/>
  <c r="W34" i="33" s="1"/>
  <c r="F33" i="34"/>
  <c r="S33" i="34" s="1"/>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F96" i="37"/>
  <c r="G96" i="37" s="1"/>
  <c r="H27" i="40"/>
  <c r="U27" i="40" s="1"/>
  <c r="J27" i="40"/>
  <c r="F27" i="40"/>
  <c r="S27" i="40" s="1"/>
  <c r="J30" i="40"/>
  <c r="AC30" i="40" s="1"/>
  <c r="F30" i="40"/>
  <c r="AC21" i="40"/>
  <c r="S31" i="39"/>
  <c r="S11" i="40"/>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C40" i="11"/>
  <c r="AZ240" i="3"/>
  <c r="AZ248" i="3"/>
  <c r="AZ259" i="3"/>
  <c r="AZ271" i="3"/>
  <c r="AZ133" i="3"/>
  <c r="AZ77" i="3"/>
  <c r="F23" i="39"/>
  <c r="AA23" i="39"/>
  <c r="H27" i="36"/>
  <c r="U27" i="36" s="1"/>
  <c r="F27" i="36"/>
  <c r="AA27" i="36" s="1"/>
  <c r="H33" i="34"/>
  <c r="AB33" i="34" s="1"/>
  <c r="F32" i="37"/>
  <c r="AA32" i="37"/>
  <c r="H96" i="37"/>
  <c r="I96" i="37" s="1"/>
  <c r="J96" i="37" s="1"/>
  <c r="K96" i="37" s="1"/>
  <c r="L96" i="37" s="1"/>
  <c r="M96" i="37" s="1"/>
  <c r="F20" i="36"/>
  <c r="AA20" i="36" s="1"/>
  <c r="J33" i="34"/>
  <c r="H23" i="39"/>
  <c r="U23" i="39" s="1"/>
  <c r="D48" i="9"/>
  <c r="M52" i="9" s="1"/>
  <c r="K9" i="1"/>
  <c r="M9" i="1" s="1"/>
  <c r="D93" i="9"/>
  <c r="K6" i="1"/>
  <c r="AP6" i="1" s="1"/>
  <c r="G29" i="6"/>
  <c r="AC26" i="33"/>
  <c r="W26" i="33"/>
  <c r="AB34" i="36"/>
  <c r="U34" i="36"/>
  <c r="U33" i="36"/>
  <c r="AC12" i="39"/>
  <c r="W12" i="39"/>
  <c r="AZ465" i="3"/>
  <c r="W12" i="33"/>
  <c r="AC12" i="33"/>
  <c r="AA32" i="36"/>
  <c r="S32" i="36"/>
  <c r="BL14" i="3"/>
  <c r="AC13" i="34"/>
  <c r="AA47" i="34"/>
  <c r="S19" i="39"/>
  <c r="F12" i="33"/>
  <c r="H12" i="39"/>
  <c r="AB12" i="39" s="1"/>
  <c r="F39" i="40"/>
  <c r="BA14" i="3"/>
  <c r="AZ14" i="3" s="1"/>
  <c r="AZ250" i="3"/>
  <c r="AZ286" i="3"/>
  <c r="B12" i="1"/>
  <c r="E12" i="1" s="1"/>
  <c r="B10" i="1"/>
  <c r="E10" i="1" s="1"/>
  <c r="K12" i="1"/>
  <c r="M12" i="1" s="1"/>
  <c r="S13" i="1"/>
  <c r="AR13" i="1" s="1"/>
  <c r="R13" i="1"/>
  <c r="J51" i="67"/>
  <c r="C42" i="1"/>
  <c r="C24" i="12" s="1"/>
  <c r="AC34" i="33"/>
  <c r="AA34" i="33"/>
  <c r="B41" i="1"/>
  <c r="F48" i="9" s="1"/>
  <c r="O52" i="9" s="1"/>
  <c r="AB37" i="40"/>
  <c r="U35" i="40"/>
  <c r="AC36" i="40"/>
  <c r="W38" i="40"/>
  <c r="AA32" i="40"/>
  <c r="S17" i="40"/>
  <c r="S23" i="40"/>
  <c r="AC17" i="40"/>
  <c r="AC15" i="40"/>
  <c r="AB27" i="40"/>
  <c r="AA19" i="40"/>
  <c r="S28" i="40"/>
  <c r="AA27" i="40"/>
  <c r="AB19" i="40"/>
  <c r="U37" i="39"/>
  <c r="S43"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U14" i="39"/>
  <c r="AC13" i="39"/>
  <c r="S23" i="36"/>
  <c r="U13" i="36"/>
  <c r="U26" i="36"/>
  <c r="AA34" i="36"/>
  <c r="AC26" i="36"/>
  <c r="AA22" i="36"/>
  <c r="W14" i="36"/>
  <c r="AB14" i="36"/>
  <c r="U22" i="36"/>
  <c r="S16" i="36"/>
  <c r="AA25" i="36"/>
  <c r="S24" i="36"/>
  <c r="U24" i="36"/>
  <c r="AB20" i="36"/>
  <c r="U16" i="36"/>
  <c r="S14" i="36"/>
  <c r="AA25" i="35"/>
  <c r="S23" i="35"/>
  <c r="W24" i="35"/>
  <c r="U29" i="35"/>
  <c r="U28" i="35"/>
  <c r="AB27" i="35"/>
  <c r="U36" i="35"/>
  <c r="U32" i="35"/>
  <c r="AA33" i="35"/>
  <c r="AC30" i="35"/>
  <c r="S32" i="35"/>
  <c r="AA36" i="35"/>
  <c r="S28" i="35"/>
  <c r="AB16" i="35"/>
  <c r="U22" i="35"/>
  <c r="S20" i="35"/>
  <c r="AC20" i="35"/>
  <c r="S22" i="35"/>
  <c r="U14" i="35"/>
  <c r="AA11" i="35"/>
  <c r="W9" i="35"/>
  <c r="AC12" i="35"/>
  <c r="F9" i="35"/>
  <c r="S9" i="35" s="1"/>
  <c r="H9" i="35"/>
  <c r="U9" i="35" s="1"/>
  <c r="AB40" i="37"/>
  <c r="S25" i="37"/>
  <c r="W27" i="37"/>
  <c r="AC29" i="37"/>
  <c r="U29" i="37"/>
  <c r="S32" i="37"/>
  <c r="W30" i="37"/>
  <c r="S36"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W25" i="34"/>
  <c r="AC42" i="34"/>
  <c r="AA2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F36" i="33"/>
  <c r="AA36" i="33" s="1"/>
  <c r="G108" i="33"/>
  <c r="H108" i="33" s="1"/>
  <c r="I108" i="33" s="1"/>
  <c r="J108" i="33" s="1"/>
  <c r="K108" i="33" s="1"/>
  <c r="L108" i="33" s="1"/>
  <c r="M108" i="33" s="1"/>
  <c r="J35" i="33"/>
  <c r="S37" i="33"/>
  <c r="AA37" i="33"/>
  <c r="S39" i="33"/>
  <c r="F101" i="33"/>
  <c r="G101" i="33"/>
  <c r="H101" i="33" s="1"/>
  <c r="I101" i="33" s="1"/>
  <c r="J101" i="33" s="1"/>
  <c r="K101" i="33" s="1"/>
  <c r="L101" i="33" s="1"/>
  <c r="M101" i="33" s="1"/>
  <c r="J32" i="33"/>
  <c r="S43" i="33"/>
  <c r="F91" i="33"/>
  <c r="H27" i="33"/>
  <c r="F87" i="33"/>
  <c r="H25" i="33"/>
  <c r="F25" i="33"/>
  <c r="J23" i="33"/>
  <c r="AC23" i="33" s="1"/>
  <c r="F85" i="33"/>
  <c r="H23" i="33"/>
  <c r="F81" i="33"/>
  <c r="F19" i="33"/>
  <c r="S19" i="33" s="1"/>
  <c r="W19" i="33"/>
  <c r="J17" i="33"/>
  <c r="F79" i="33"/>
  <c r="G79" i="33" s="1"/>
  <c r="S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L17" i="3"/>
  <c r="AZ17" i="3"/>
  <c r="BL13" i="3"/>
  <c r="J56" i="9"/>
  <c r="J57" i="9" s="1"/>
  <c r="J59" i="9" s="1"/>
  <c r="J61" i="9" s="1"/>
  <c r="A24" i="51"/>
  <c r="B18" i="72" s="1"/>
  <c r="E5" i="6"/>
  <c r="E32" i="6"/>
  <c r="G1" i="68"/>
  <c r="K1" i="12"/>
  <c r="E19" i="69"/>
  <c r="E19" i="68"/>
  <c r="E19" i="11"/>
  <c r="G26" i="12"/>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S36" i="40"/>
  <c r="W37" i="40"/>
  <c r="AC14" i="40"/>
  <c r="S13" i="40"/>
  <c r="S33" i="40"/>
  <c r="AA15" i="40"/>
  <c r="U11" i="40"/>
  <c r="S31" i="40"/>
  <c r="AB13" i="40"/>
  <c r="U15" i="40"/>
  <c r="AB17" i="40"/>
  <c r="U8" i="40"/>
  <c r="S8" i="40"/>
  <c r="AC41" i="39"/>
  <c r="U42" i="39"/>
  <c r="U41" i="39"/>
  <c r="W25" i="39"/>
  <c r="AC25" i="39"/>
  <c r="AB13" i="39"/>
  <c r="AA13" i="39"/>
  <c r="S13" i="39"/>
  <c r="S14" i="39"/>
  <c r="AA14" i="39"/>
  <c r="U43" i="39"/>
  <c r="AB43" i="39"/>
  <c r="AB11" i="39"/>
  <c r="U11" i="39"/>
  <c r="AA27" i="39"/>
  <c r="S27" i="39"/>
  <c r="W17" i="39"/>
  <c r="AC17" i="39"/>
  <c r="S23" i="39"/>
  <c r="AA45" i="39"/>
  <c r="AB39" i="39"/>
  <c r="W34" i="39"/>
  <c r="U38" i="39"/>
  <c r="S8" i="39"/>
  <c r="S20" i="36"/>
  <c r="AC25" i="36"/>
  <c r="W29" i="36"/>
  <c r="AC20" i="36"/>
  <c r="U25" i="36"/>
  <c r="AB28" i="36"/>
  <c r="AA13" i="36"/>
  <c r="W9" i="36"/>
  <c r="W22" i="36"/>
  <c r="AB20" i="35"/>
  <c r="U25" i="35"/>
  <c r="S24" i="35"/>
  <c r="U24" i="35"/>
  <c r="S35" i="35"/>
  <c r="AA16" i="35"/>
  <c r="AA35" i="37"/>
  <c r="W36" i="37"/>
  <c r="S27" i="37"/>
  <c r="S28" i="37"/>
  <c r="W32" i="37"/>
  <c r="U36" i="37"/>
  <c r="S40" i="37"/>
  <c r="U38" i="37"/>
  <c r="AB37" i="37"/>
  <c r="AC34" i="37"/>
  <c r="AB35" i="37"/>
  <c r="AA31" i="37"/>
  <c r="U19" i="37"/>
  <c r="AA29" i="37"/>
  <c r="U8" i="37"/>
  <c r="AA30" i="34"/>
  <c r="AB47" i="34"/>
  <c r="AC32" i="34"/>
  <c r="S32" i="34"/>
  <c r="AA32" i="34"/>
  <c r="U30" i="34"/>
  <c r="AB30" i="34"/>
  <c r="S36" i="34"/>
  <c r="AB32" i="34"/>
  <c r="W43" i="34"/>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W29" i="21"/>
  <c r="S19" i="21"/>
  <c r="S9" i="21"/>
  <c r="AA9" i="21"/>
  <c r="K141" i="21"/>
  <c r="K144" i="21"/>
  <c r="K143" i="21"/>
  <c r="U27" i="21"/>
  <c r="AB25" i="21"/>
  <c r="AA30" i="21"/>
  <c r="W13" i="21"/>
  <c r="W42" i="21"/>
  <c r="AC45" i="21"/>
  <c r="F10" i="21"/>
  <c r="AA10" i="21" s="1"/>
  <c r="K145" i="21"/>
  <c r="W17" i="21"/>
  <c r="W25" i="21"/>
  <c r="W31" i="21"/>
  <c r="S27" i="21"/>
  <c r="S17" i="21"/>
  <c r="AA15" i="21"/>
  <c r="AC26" i="21"/>
  <c r="AB29" i="21"/>
  <c r="S28" i="21"/>
  <c r="AC34" i="21"/>
  <c r="AB36" i="21"/>
  <c r="W30" i="40"/>
  <c r="C15" i="40"/>
  <c r="C17" i="40"/>
  <c r="C23" i="40"/>
  <c r="U30" i="40"/>
  <c r="B56"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s="1"/>
  <c r="J91" i="33" s="1"/>
  <c r="K91" i="33" s="1"/>
  <c r="L91" i="33" s="1"/>
  <c r="M91" i="33" s="1"/>
  <c r="J27" i="33"/>
  <c r="AC27" i="33" s="1"/>
  <c r="U25" i="33"/>
  <c r="AB25" i="33"/>
  <c r="S25" i="33"/>
  <c r="AA25" i="33"/>
  <c r="G87" i="33"/>
  <c r="H87" i="33" s="1"/>
  <c r="I87" i="33" s="1"/>
  <c r="J87" i="33" s="1"/>
  <c r="K87" i="33" s="1"/>
  <c r="L87" i="33" s="1"/>
  <c r="M87" i="33" s="1"/>
  <c r="J25" i="33"/>
  <c r="AB23" i="33"/>
  <c r="U23" i="33"/>
  <c r="F23" i="33"/>
  <c r="G85" i="33"/>
  <c r="AA19" i="33"/>
  <c r="H19" i="33"/>
  <c r="U19" i="33" s="1"/>
  <c r="G81" i="33"/>
  <c r="H17" i="33"/>
  <c r="U17" i="33" s="1"/>
  <c r="F17" i="33"/>
  <c r="S17" i="33" s="1"/>
  <c r="W17" i="33"/>
  <c r="AC17" i="33"/>
  <c r="S37" i="21"/>
  <c r="AA23" i="21"/>
  <c r="AB15" i="21"/>
  <c r="J23" i="21"/>
  <c r="F85" i="21"/>
  <c r="G85" i="21" s="1"/>
  <c r="H23" i="21"/>
  <c r="U23" i="21" s="1"/>
  <c r="D6" i="52"/>
  <c r="AP7" i="1"/>
  <c r="AB45" i="21"/>
  <c r="AB9" i="21"/>
  <c r="U9" i="21"/>
  <c r="AA32" i="21"/>
  <c r="S32" i="21"/>
  <c r="AB32" i="21"/>
  <c r="U32" i="21"/>
  <c r="U32" i="39"/>
  <c r="AC32" i="39"/>
  <c r="W32" i="39"/>
  <c r="W23" i="37"/>
  <c r="AC23" i="37"/>
  <c r="J63" i="37"/>
  <c r="K63" i="37" s="1"/>
  <c r="L63" i="37" s="1"/>
  <c r="M63" i="37" s="1"/>
  <c r="J11" i="37"/>
  <c r="AC11" i="37" s="1"/>
  <c r="J11" i="34"/>
  <c r="W11" i="34" s="1"/>
  <c r="AB36" i="33"/>
  <c r="W27" i="33"/>
  <c r="W25" i="33"/>
  <c r="AC25" i="33"/>
  <c r="AB19" i="33"/>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8" i="67"/>
  <c r="M26" i="67"/>
  <c r="L47" i="67"/>
  <c r="J15" i="67"/>
  <c r="E10" i="76"/>
  <c r="M23" i="67"/>
  <c r="F42" i="67"/>
  <c r="F6" i="67"/>
  <c r="E12" i="76"/>
  <c r="E8" i="76"/>
  <c r="F36" i="67"/>
  <c r="B9" i="76"/>
  <c r="E2" i="69"/>
  <c r="F20" i="31"/>
  <c r="F36" i="15"/>
  <c r="B11" i="76"/>
  <c r="M6" i="67"/>
  <c r="E2" i="68"/>
  <c r="L48" i="67"/>
  <c r="M24" i="67"/>
  <c r="F3" i="73"/>
  <c r="E9" i="76"/>
  <c r="M9" i="15"/>
  <c r="AO13" i="1"/>
  <c r="M28" i="67"/>
  <c r="F16" i="67"/>
  <c r="M8" i="67"/>
  <c r="B10" i="76"/>
  <c r="F6" i="73"/>
  <c r="F38" i="67"/>
  <c r="D34" i="9"/>
  <c r="C76" i="67"/>
  <c r="E13" i="76"/>
  <c r="F26" i="67"/>
  <c r="F37" i="67"/>
  <c r="F7" i="67"/>
  <c r="F43" i="67"/>
  <c r="M22" i="67"/>
  <c r="B13" i="76"/>
  <c r="F5" i="73"/>
  <c r="M26" i="15"/>
  <c r="F13" i="67"/>
  <c r="M29" i="67"/>
  <c r="E11" i="76"/>
  <c r="B7" i="76"/>
  <c r="D35" i="9"/>
  <c r="M9" i="67"/>
  <c r="M28" i="15"/>
  <c r="F7" i="15"/>
  <c r="F7" i="73"/>
  <c r="E7" i="76"/>
  <c r="B8" i="76"/>
  <c r="F4" i="73"/>
  <c r="D6" i="73"/>
  <c r="F13" i="15"/>
  <c r="F40" i="67"/>
  <c r="B12" i="76"/>
  <c r="F9" i="67"/>
  <c r="S46" i="34" l="1"/>
  <c r="AC46" i="34"/>
  <c r="AB14" i="34"/>
  <c r="U14" i="34"/>
  <c r="F14" i="34"/>
  <c r="AC14" i="34"/>
  <c r="H27" i="34"/>
  <c r="AB27" i="34" s="1"/>
  <c r="AA45" i="34"/>
  <c r="AC44" i="34"/>
  <c r="AB41" i="34"/>
  <c r="W35" i="34"/>
  <c r="F86" i="34"/>
  <c r="G86" i="34" s="1"/>
  <c r="J23" i="34"/>
  <c r="W23" i="34" s="1"/>
  <c r="F23" i="34"/>
  <c r="AA23" i="34" s="1"/>
  <c r="H23" i="34"/>
  <c r="U23" i="34" s="1"/>
  <c r="S37" i="34"/>
  <c r="S44" i="34"/>
  <c r="S43" i="34"/>
  <c r="AC40" i="34"/>
  <c r="AB40" i="34"/>
  <c r="S28" i="34"/>
  <c r="W29" i="34"/>
  <c r="U28" i="34"/>
  <c r="H29" i="34"/>
  <c r="AB29" i="34" s="1"/>
  <c r="U25" i="34"/>
  <c r="AC27" i="34"/>
  <c r="U27" i="34"/>
  <c r="AC38" i="34"/>
  <c r="AC36" i="34"/>
  <c r="AB23" i="34"/>
  <c r="U21" i="34"/>
  <c r="S19" i="34"/>
  <c r="W19" i="34"/>
  <c r="U19" i="34"/>
  <c r="S17" i="34"/>
  <c r="W15" i="34"/>
  <c r="U15" i="34"/>
  <c r="AB8" i="34"/>
  <c r="S8" i="34"/>
  <c r="U43" i="34"/>
  <c r="W41" i="34"/>
  <c r="AC39" i="34"/>
  <c r="U39" i="34"/>
  <c r="U38" i="34"/>
  <c r="AB36" i="34"/>
  <c r="AB35" i="34"/>
  <c r="S35" i="34"/>
  <c r="U33" i="34"/>
  <c r="AA33" i="34"/>
  <c r="C21" i="40"/>
  <c r="C19" i="39"/>
  <c r="B67" i="43"/>
  <c r="C29" i="39"/>
  <c r="B75" i="43"/>
  <c r="B68" i="43"/>
  <c r="C21" i="68"/>
  <c r="C40" i="69"/>
  <c r="G22" i="68"/>
  <c r="G22" i="69"/>
  <c r="G22" i="11"/>
  <c r="E1" i="73"/>
  <c r="BA13" i="3"/>
  <c r="AB23" i="21"/>
  <c r="W9" i="21"/>
  <c r="S13" i="21"/>
  <c r="U12" i="39"/>
  <c r="S30" i="40"/>
  <c r="AA30" i="40"/>
  <c r="U31" i="37"/>
  <c r="AB31" i="37"/>
  <c r="G557" i="3"/>
  <c r="AC5" i="3"/>
  <c r="AC28" i="37"/>
  <c r="W28" i="37"/>
  <c r="S31" i="34"/>
  <c r="AA31" i="34"/>
  <c r="U29" i="34"/>
  <c r="AA45" i="33"/>
  <c r="S45" i="33"/>
  <c r="AA28" i="33"/>
  <c r="S28" i="33"/>
  <c r="AB11" i="33"/>
  <c r="U11" i="33"/>
  <c r="W28" i="34"/>
  <c r="AC28" i="34"/>
  <c r="U17" i="34"/>
  <c r="AB17" i="34"/>
  <c r="AZ582" i="3"/>
  <c r="BL575" i="3"/>
  <c r="AZ575" i="3" s="1"/>
  <c r="AZ571" i="3"/>
  <c r="AZ570" i="3"/>
  <c r="AB21" i="40"/>
  <c r="U21" i="40"/>
  <c r="AC43" i="33"/>
  <c r="W43" i="33"/>
  <c r="S26" i="36"/>
  <c r="AA26" i="36"/>
  <c r="AA42" i="33"/>
  <c r="S42" i="33"/>
  <c r="AB46" i="33"/>
  <c r="U46" i="33"/>
  <c r="AC37" i="37"/>
  <c r="W37" i="37"/>
  <c r="W17" i="34"/>
  <c r="AC17" i="34"/>
  <c r="AA14" i="35"/>
  <c r="S14" i="35"/>
  <c r="S39" i="39"/>
  <c r="AA39" i="39"/>
  <c r="S40" i="34"/>
  <c r="AA40" i="34"/>
  <c r="AB32" i="37"/>
  <c r="U32" i="37"/>
  <c r="AZ311" i="3"/>
  <c r="S11" i="39"/>
  <c r="AA11" i="39"/>
  <c r="W13" i="40"/>
  <c r="AC13" i="40"/>
  <c r="AB32" i="36"/>
  <c r="U32" i="36"/>
  <c r="U46" i="34"/>
  <c r="AB46" i="34"/>
  <c r="AC15" i="33"/>
  <c r="W15" i="33"/>
  <c r="AC16" i="35"/>
  <c r="W16" i="35"/>
  <c r="AA17" i="33"/>
  <c r="W19" i="40"/>
  <c r="AC33" i="34"/>
  <c r="W33" i="34"/>
  <c r="AC27" i="40"/>
  <c r="W27" i="40"/>
  <c r="W25" i="35"/>
  <c r="AC25" i="35"/>
  <c r="AZ568" i="3"/>
  <c r="S35" i="40"/>
  <c r="AC11" i="39"/>
  <c r="BD5" i="3"/>
  <c r="BM5" i="3"/>
  <c r="F29" i="6" s="1"/>
  <c r="AZ391" i="3"/>
  <c r="AZ318" i="3"/>
  <c r="AZ364" i="3"/>
  <c r="AZ329" i="3"/>
  <c r="AZ304" i="3"/>
  <c r="AZ306" i="3"/>
  <c r="J9" i="37"/>
  <c r="W9" i="37" s="1"/>
  <c r="S21" i="40"/>
  <c r="BL577" i="3"/>
  <c r="AZ577" i="3" s="1"/>
  <c r="AZ557" i="3"/>
  <c r="AZ513" i="3"/>
  <c r="AZ558" i="3"/>
  <c r="F14" i="37"/>
  <c r="H35" i="35"/>
  <c r="H13" i="35"/>
  <c r="F46" i="33"/>
  <c r="H30" i="33"/>
  <c r="AA11" i="36"/>
  <c r="S11" i="36"/>
  <c r="S29" i="35"/>
  <c r="AA29" i="35"/>
  <c r="J27" i="21"/>
  <c r="F9" i="34"/>
  <c r="AA9" i="34" s="1"/>
  <c r="J9" i="34"/>
  <c r="H9" i="34"/>
  <c r="J12" i="34"/>
  <c r="H12" i="34"/>
  <c r="F12" i="34"/>
  <c r="S12" i="34" s="1"/>
  <c r="BA551" i="3"/>
  <c r="AZ551" i="3" s="1"/>
  <c r="BA550" i="3"/>
  <c r="BL548" i="3"/>
  <c r="BA526" i="3"/>
  <c r="AZ526" i="3" s="1"/>
  <c r="BL516" i="3"/>
  <c r="BA506" i="3"/>
  <c r="AZ506" i="3" s="1"/>
  <c r="BA493" i="3"/>
  <c r="AZ493" i="3" s="1"/>
  <c r="AZ322" i="3"/>
  <c r="AB38" i="21"/>
  <c r="BL573" i="3"/>
  <c r="BL583" i="3"/>
  <c r="AZ583" i="3" s="1"/>
  <c r="J13" i="35"/>
  <c r="J45" i="34"/>
  <c r="F29" i="34"/>
  <c r="U45" i="33"/>
  <c r="AB45" i="33"/>
  <c r="H44" i="21"/>
  <c r="AC40" i="33"/>
  <c r="W40" i="33"/>
  <c r="H23" i="36"/>
  <c r="J23" i="36"/>
  <c r="J33" i="36"/>
  <c r="AC33" i="36" s="1"/>
  <c r="F33" i="36"/>
  <c r="AB9" i="39"/>
  <c r="U9" i="39"/>
  <c r="AA34" i="40"/>
  <c r="S34" i="40"/>
  <c r="J39" i="40"/>
  <c r="H39" i="40"/>
  <c r="BA555" i="3"/>
  <c r="BL554" i="3"/>
  <c r="AZ554" i="3" s="1"/>
  <c r="BA546" i="3"/>
  <c r="AZ546" i="3" s="1"/>
  <c r="BA545" i="3"/>
  <c r="BA537" i="3"/>
  <c r="AZ537" i="3" s="1"/>
  <c r="BL536" i="3"/>
  <c r="BA536" i="3"/>
  <c r="BL534" i="3"/>
  <c r="AZ534" i="3" s="1"/>
  <c r="BA532" i="3"/>
  <c r="AZ532" i="3" s="1"/>
  <c r="G532" i="3"/>
  <c r="BA529" i="3"/>
  <c r="AZ529" i="3" s="1"/>
  <c r="BL528" i="3"/>
  <c r="BA519" i="3"/>
  <c r="AZ519" i="3" s="1"/>
  <c r="BA518" i="3"/>
  <c r="AZ518" i="3" s="1"/>
  <c r="BL514" i="3"/>
  <c r="AZ514" i="3" s="1"/>
  <c r="BA511" i="3"/>
  <c r="AZ511" i="3" s="1"/>
  <c r="BA501" i="3"/>
  <c r="AZ501" i="3" s="1"/>
  <c r="BA500" i="3"/>
  <c r="AZ500" i="3" s="1"/>
  <c r="BL498" i="3"/>
  <c r="AZ498" i="3" s="1"/>
  <c r="BL496" i="3"/>
  <c r="AZ496" i="3" s="1"/>
  <c r="BA494" i="3"/>
  <c r="AZ494" i="3" s="1"/>
  <c r="U35" i="21"/>
  <c r="AZ345" i="3"/>
  <c r="AZ372" i="3"/>
  <c r="AZ347" i="3"/>
  <c r="AZ337" i="3"/>
  <c r="AZ376" i="3"/>
  <c r="AZ309" i="3"/>
  <c r="H5" i="3"/>
  <c r="AC12" i="37"/>
  <c r="W44" i="21"/>
  <c r="AZ515" i="3"/>
  <c r="AZ523" i="3"/>
  <c r="BL569" i="3"/>
  <c r="AZ569" i="3" s="1"/>
  <c r="AZ516" i="3"/>
  <c r="AZ528" i="3"/>
  <c r="AZ548" i="3"/>
  <c r="AZ502" i="3"/>
  <c r="J14" i="37"/>
  <c r="F38" i="37"/>
  <c r="J35" i="35"/>
  <c r="H45" i="34"/>
  <c r="S41" i="33"/>
  <c r="J36" i="39"/>
  <c r="AC36" i="39" s="1"/>
  <c r="BL585" i="3"/>
  <c r="BA585" i="3"/>
  <c r="H12" i="33"/>
  <c r="U12" i="33" s="1"/>
  <c r="AC8" i="34"/>
  <c r="W8" i="34"/>
  <c r="AC40" i="39"/>
  <c r="W40" i="39"/>
  <c r="H31" i="39"/>
  <c r="J31" i="39"/>
  <c r="J37" i="39"/>
  <c r="F37" i="39"/>
  <c r="AB34" i="40"/>
  <c r="U34" i="40"/>
  <c r="BA581" i="3"/>
  <c r="BA580" i="3"/>
  <c r="AZ580" i="3" s="1"/>
  <c r="BA573" i="3"/>
  <c r="BA572" i="3"/>
  <c r="AZ572" i="3" s="1"/>
  <c r="G566" i="3"/>
  <c r="BA565" i="3"/>
  <c r="AZ565" i="3" s="1"/>
  <c r="BA564" i="3"/>
  <c r="AZ564" i="3" s="1"/>
  <c r="G558" i="3"/>
  <c r="BL556" i="3"/>
  <c r="AZ556" i="3" s="1"/>
  <c r="AC33" i="33"/>
  <c r="W33" i="33"/>
  <c r="H28" i="33"/>
  <c r="J28" i="33"/>
  <c r="AA27" i="35"/>
  <c r="S27" i="35"/>
  <c r="S38" i="34"/>
  <c r="AA38" i="34"/>
  <c r="BL574" i="3"/>
  <c r="AZ574" i="3" s="1"/>
  <c r="BL572" i="3"/>
  <c r="AZ444" i="3"/>
  <c r="AZ402" i="3"/>
  <c r="AZ406" i="3"/>
  <c r="AZ411" i="3"/>
  <c r="G551" i="3"/>
  <c r="BL550" i="3"/>
  <c r="G542"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42" i="3"/>
  <c r="BL453" i="3"/>
  <c r="BL454" i="3"/>
  <c r="G585" i="3"/>
  <c r="BL587" i="3"/>
  <c r="AZ587" i="3" s="1"/>
  <c r="BL586" i="3"/>
  <c r="AZ586" i="3" s="1"/>
  <c r="G574" i="3"/>
  <c r="BL16" i="3"/>
  <c r="AZ16" i="3" s="1"/>
  <c r="BA401" i="3"/>
  <c r="BA403" i="3"/>
  <c r="AZ403" i="3" s="1"/>
  <c r="BA404" i="3"/>
  <c r="AZ404" i="3" s="1"/>
  <c r="BA405" i="3"/>
  <c r="AZ405" i="3" s="1"/>
  <c r="G409" i="3"/>
  <c r="BL410" i="3"/>
  <c r="G412" i="3"/>
  <c r="G418" i="3"/>
  <c r="G419" i="3"/>
  <c r="BA422" i="3"/>
  <c r="AZ422" i="3" s="1"/>
  <c r="BL428" i="3"/>
  <c r="BL429" i="3"/>
  <c r="BL433" i="3"/>
  <c r="BL434" i="3"/>
  <c r="G436" i="3"/>
  <c r="BA439" i="3"/>
  <c r="BA440" i="3"/>
  <c r="AZ440" i="3" s="1"/>
  <c r="BA443" i="3"/>
  <c r="AZ443" i="3" s="1"/>
  <c r="BA445" i="3"/>
  <c r="BA447" i="3"/>
  <c r="AZ447" i="3" s="1"/>
  <c r="BA451" i="3"/>
  <c r="AZ451" i="3" s="1"/>
  <c r="G456" i="3"/>
  <c r="BL456" i="3"/>
  <c r="BL469" i="3"/>
  <c r="AZ476" i="3"/>
  <c r="AZ228" i="3"/>
  <c r="G398" i="3"/>
  <c r="BL400" i="3"/>
  <c r="AZ400" i="3" s="1"/>
  <c r="BL408" i="3"/>
  <c r="AZ408" i="3" s="1"/>
  <c r="BL411" i="3"/>
  <c r="BL413" i="3"/>
  <c r="AZ413" i="3" s="1"/>
  <c r="G415" i="3"/>
  <c r="BL417" i="3"/>
  <c r="AZ417" i="3" s="1"/>
  <c r="BL418" i="3"/>
  <c r="BL420" i="3"/>
  <c r="G422" i="3"/>
  <c r="BL424" i="3"/>
  <c r="BL430" i="3"/>
  <c r="G431" i="3"/>
  <c r="BL431" i="3"/>
  <c r="G433" i="3"/>
  <c r="G441" i="3"/>
  <c r="G448" i="3"/>
  <c r="G449" i="3"/>
  <c r="BL449" i="3"/>
  <c r="BL450" i="3"/>
  <c r="BL455" i="3"/>
  <c r="AZ458" i="3"/>
  <c r="BA469" i="3"/>
  <c r="BL472" i="3"/>
  <c r="G478" i="3"/>
  <c r="BL31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G234" i="3"/>
  <c r="BA236" i="3"/>
  <c r="BA255" i="3"/>
  <c r="G263" i="3"/>
  <c r="BL272" i="3"/>
  <c r="AZ301" i="3"/>
  <c r="AZ125" i="3"/>
  <c r="BL425" i="3"/>
  <c r="BL426" i="3"/>
  <c r="BA428" i="3"/>
  <c r="AZ428" i="3" s="1"/>
  <c r="BA429" i="3"/>
  <c r="AZ429" i="3" s="1"/>
  <c r="BA430" i="3"/>
  <c r="BA432" i="3"/>
  <c r="AZ432" i="3" s="1"/>
  <c r="BA434" i="3"/>
  <c r="BA436" i="3"/>
  <c r="BA438" i="3"/>
  <c r="G442" i="3"/>
  <c r="G443" i="3"/>
  <c r="BA446" i="3"/>
  <c r="BA450" i="3"/>
  <c r="BA453" i="3"/>
  <c r="BA455" i="3"/>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BA230" i="3"/>
  <c r="AZ230" i="3" s="1"/>
  <c r="BL232" i="3"/>
  <c r="G238" i="3"/>
  <c r="BA239" i="3"/>
  <c r="G243" i="3"/>
  <c r="BA257" i="3"/>
  <c r="G261" i="3"/>
  <c r="G271" i="3"/>
  <c r="BA425" i="3"/>
  <c r="BA426" i="3"/>
  <c r="BA427" i="3"/>
  <c r="AZ427" i="3" s="1"/>
  <c r="BA433" i="3"/>
  <c r="BA435" i="3"/>
  <c r="AZ435" i="3" s="1"/>
  <c r="BL437" i="3"/>
  <c r="AZ437" i="3" s="1"/>
  <c r="G439" i="3"/>
  <c r="BL441" i="3"/>
  <c r="AZ441" i="3" s="1"/>
  <c r="BL442" i="3"/>
  <c r="BL444" i="3"/>
  <c r="G446" i="3"/>
  <c r="BL448" i="3"/>
  <c r="AZ448" i="3" s="1"/>
  <c r="G450" i="3"/>
  <c r="G451" i="3"/>
  <c r="BA454" i="3"/>
  <c r="AZ454" i="3" s="1"/>
  <c r="BA457" i="3"/>
  <c r="BA459" i="3"/>
  <c r="AZ459" i="3" s="1"/>
  <c r="BA460" i="3"/>
  <c r="AZ460" i="3" s="1"/>
  <c r="BA461" i="3"/>
  <c r="AZ461" i="3" s="1"/>
  <c r="BL464" i="3"/>
  <c r="BL466" i="3"/>
  <c r="AZ466" i="3" s="1"/>
  <c r="G468" i="3"/>
  <c r="G469" i="3"/>
  <c r="BL476" i="3"/>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65" i="3"/>
  <c r="AZ265" i="3" s="1"/>
  <c r="G178" i="3"/>
  <c r="AZ201" i="3"/>
  <c r="G51" i="3"/>
  <c r="BL64" i="3"/>
  <c r="BA242" i="3"/>
  <c r="AZ242" i="3" s="1"/>
  <c r="BL245" i="3"/>
  <c r="AZ245" i="3" s="1"/>
  <c r="BL255" i="3"/>
  <c r="BL257" i="3"/>
  <c r="BL258" i="3"/>
  <c r="BA262" i="3"/>
  <c r="AZ262" i="3" s="1"/>
  <c r="BL265" i="3"/>
  <c r="BA273" i="3"/>
  <c r="BA278" i="3"/>
  <c r="AZ278" i="3" s="1"/>
  <c r="BA280" i="3"/>
  <c r="AZ280" i="3" s="1"/>
  <c r="BL283" i="3"/>
  <c r="AZ283" i="3" s="1"/>
  <c r="BL284" i="3"/>
  <c r="G288" i="3"/>
  <c r="BL292" i="3"/>
  <c r="BA294" i="3"/>
  <c r="BL295" i="3"/>
  <c r="BA298" i="3"/>
  <c r="AZ298" i="3" s="1"/>
  <c r="BL301" i="3"/>
  <c r="BL302" i="3"/>
  <c r="BA114" i="3"/>
  <c r="BL123" i="3"/>
  <c r="AZ123" i="3" s="1"/>
  <c r="BA128" i="3"/>
  <c r="AZ128" i="3" s="1"/>
  <c r="BL134" i="3"/>
  <c r="BL137" i="3"/>
  <c r="BA146" i="3"/>
  <c r="AZ146" i="3" s="1"/>
  <c r="BL233" i="3"/>
  <c r="AZ233" i="3" s="1"/>
  <c r="G235" i="3"/>
  <c r="BL235" i="3"/>
  <c r="AZ235" i="3" s="1"/>
  <c r="BL236" i="3"/>
  <c r="G237" i="3"/>
  <c r="BL238" i="3"/>
  <c r="AZ238" i="3" s="1"/>
  <c r="G239" i="3"/>
  <c r="BL243" i="3"/>
  <c r="AZ243" i="3" s="1"/>
  <c r="G244" i="3"/>
  <c r="BA247" i="3"/>
  <c r="BL247" i="3"/>
  <c r="BA249" i="3"/>
  <c r="AZ249" i="3" s="1"/>
  <c r="BL249" i="3"/>
  <c r="BA251" i="3"/>
  <c r="BL251" i="3"/>
  <c r="BA253" i="3"/>
  <c r="BL260" i="3"/>
  <c r="G262" i="3"/>
  <c r="BL263" i="3"/>
  <c r="AZ263" i="3" s="1"/>
  <c r="G264" i="3"/>
  <c r="BL270" i="3"/>
  <c r="AZ270" i="3" s="1"/>
  <c r="BA272" i="3"/>
  <c r="AZ272" i="3" s="1"/>
  <c r="BL275" i="3"/>
  <c r="AZ275" i="3" s="1"/>
  <c r="G277" i="3"/>
  <c r="G280" i="3"/>
  <c r="G282" i="3"/>
  <c r="BL285" i="3"/>
  <c r="BL287" i="3"/>
  <c r="BA290" i="3"/>
  <c r="G297" i="3"/>
  <c r="BL299" i="3"/>
  <c r="G300" i="3"/>
  <c r="BL113" i="3"/>
  <c r="BL115" i="3"/>
  <c r="AZ115" i="3" s="1"/>
  <c r="BA118" i="3"/>
  <c r="AZ118" i="3" s="1"/>
  <c r="BL118" i="3"/>
  <c r="BA122" i="3"/>
  <c r="AZ122" i="3" s="1"/>
  <c r="BL125" i="3"/>
  <c r="BL126" i="3"/>
  <c r="AZ126" i="3" s="1"/>
  <c r="G130" i="3"/>
  <c r="BA144" i="3"/>
  <c r="AZ144" i="3" s="1"/>
  <c r="G150" i="3"/>
  <c r="BL155" i="3"/>
  <c r="AZ155" i="3" s="1"/>
  <c r="BA162" i="3"/>
  <c r="BL167" i="3"/>
  <c r="AZ167" i="3" s="1"/>
  <c r="BA169" i="3"/>
  <c r="AZ169" i="3" s="1"/>
  <c r="BL175" i="3"/>
  <c r="AZ175" i="3" s="1"/>
  <c r="G184" i="3"/>
  <c r="G202" i="3"/>
  <c r="BA30" i="3"/>
  <c r="BA40" i="3"/>
  <c r="BA55" i="3"/>
  <c r="AZ55" i="3" s="1"/>
  <c r="AZ64" i="3"/>
  <c r="BL239" i="3"/>
  <c r="BA241" i="3"/>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BL290" i="3"/>
  <c r="BL291" i="3"/>
  <c r="AZ291" i="3" s="1"/>
  <c r="BL293" i="3"/>
  <c r="BL294" i="3"/>
  <c r="BA297" i="3"/>
  <c r="BL297" i="3"/>
  <c r="BL300" i="3"/>
  <c r="BA302" i="3"/>
  <c r="AZ302" i="3" s="1"/>
  <c r="G115" i="3"/>
  <c r="BA117" i="3"/>
  <c r="BA130" i="3"/>
  <c r="AZ130" i="3" s="1"/>
  <c r="BL130" i="3"/>
  <c r="BL146" i="3"/>
  <c r="G147" i="3"/>
  <c r="BA150" i="3"/>
  <c r="AZ150" i="3" s="1"/>
  <c r="BL158" i="3"/>
  <c r="G159" i="3"/>
  <c r="BL163" i="3"/>
  <c r="AZ163" i="3" s="1"/>
  <c r="G164" i="3"/>
  <c r="BA189" i="3"/>
  <c r="AZ189" i="3" s="1"/>
  <c r="BA194" i="3"/>
  <c r="BA22" i="3"/>
  <c r="BA33" i="3"/>
  <c r="BL82" i="3"/>
  <c r="AZ82" i="3" s="1"/>
  <c r="C44" i="71"/>
  <c r="D43" i="71"/>
  <c r="C55" i="71"/>
  <c r="D54" i="71"/>
  <c r="V24" i="71"/>
  <c r="E23" i="71"/>
  <c r="E22" i="71" s="1"/>
  <c r="E21" i="71" s="1"/>
  <c r="E20" i="71" s="1"/>
  <c r="BA137" i="3"/>
  <c r="BL138" i="3"/>
  <c r="BA140" i="3"/>
  <c r="AZ140" i="3" s="1"/>
  <c r="BA142" i="3"/>
  <c r="BL149" i="3"/>
  <c r="AZ149" i="3" s="1"/>
  <c r="BL150" i="3"/>
  <c r="G151" i="3"/>
  <c r="BA152" i="3"/>
  <c r="AZ152" i="3" s="1"/>
  <c r="BA154" i="3"/>
  <c r="AZ154" i="3" s="1"/>
  <c r="BA160" i="3"/>
  <c r="AZ160" i="3" s="1"/>
  <c r="G162" i="3"/>
  <c r="BL162" i="3"/>
  <c r="BL165" i="3"/>
  <c r="G166" i="3"/>
  <c r="BL170" i="3"/>
  <c r="G171" i="3"/>
  <c r="BA173" i="3"/>
  <c r="AZ173" i="3" s="1"/>
  <c r="BA174" i="3"/>
  <c r="BL179" i="3"/>
  <c r="AZ179" i="3" s="1"/>
  <c r="G180" i="3"/>
  <c r="BA181" i="3"/>
  <c r="AZ181" i="3" s="1"/>
  <c r="BA182" i="3"/>
  <c r="BL185" i="3"/>
  <c r="G186" i="3"/>
  <c r="G187" i="3"/>
  <c r="BL193" i="3"/>
  <c r="G194" i="3"/>
  <c r="BL194" i="3"/>
  <c r="BA198" i="3"/>
  <c r="AZ198" i="3" s="1"/>
  <c r="G199" i="3"/>
  <c r="G204" i="3"/>
  <c r="G205" i="3"/>
  <c r="BL206" i="3"/>
  <c r="BA19" i="3"/>
  <c r="AZ19" i="3" s="1"/>
  <c r="G22" i="3"/>
  <c r="G24" i="3"/>
  <c r="G25" i="3"/>
  <c r="G27" i="3"/>
  <c r="BA27" i="3"/>
  <c r="AZ27" i="3" s="1"/>
  <c r="G30" i="3"/>
  <c r="BL30" i="3"/>
  <c r="BL31" i="3"/>
  <c r="AZ31" i="3" s="1"/>
  <c r="G35" i="3"/>
  <c r="G36" i="3"/>
  <c r="G37" i="3"/>
  <c r="G40" i="3"/>
  <c r="BL40" i="3"/>
  <c r="BL41" i="3"/>
  <c r="AZ41" i="3" s="1"/>
  <c r="BL45" i="3"/>
  <c r="BA48" i="3"/>
  <c r="BA49" i="3"/>
  <c r="BA51" i="3"/>
  <c r="AZ51" i="3" s="1"/>
  <c r="G55" i="3"/>
  <c r="BL56" i="3"/>
  <c r="BA58" i="3"/>
  <c r="BL59" i="3"/>
  <c r="AZ59" i="3" s="1"/>
  <c r="BL60" i="3"/>
  <c r="BA61" i="3"/>
  <c r="AZ61" i="3" s="1"/>
  <c r="BA68" i="3"/>
  <c r="BA71" i="3"/>
  <c r="AZ71" i="3" s="1"/>
  <c r="BL72" i="3"/>
  <c r="BL75" i="3"/>
  <c r="BL91" i="3"/>
  <c r="T32" i="71"/>
  <c r="D32" i="71"/>
  <c r="T28" i="71"/>
  <c r="D28" i="71"/>
  <c r="U28" i="71" s="1"/>
  <c r="C27" i="71"/>
  <c r="C47" i="71"/>
  <c r="D47" i="71" s="1"/>
  <c r="D46" i="71"/>
  <c r="C52" i="71"/>
  <c r="D51" i="71"/>
  <c r="G154" i="3"/>
  <c r="G156" i="3"/>
  <c r="BL157" i="3"/>
  <c r="AZ157" i="3" s="1"/>
  <c r="BL159" i="3"/>
  <c r="AZ159" i="3" s="1"/>
  <c r="G160" i="3"/>
  <c r="BL177" i="3"/>
  <c r="AZ177" i="3" s="1"/>
  <c r="G179" i="3"/>
  <c r="BL183" i="3"/>
  <c r="AZ183" i="3" s="1"/>
  <c r="BA186" i="3"/>
  <c r="AZ186" i="3" s="1"/>
  <c r="BA190" i="3"/>
  <c r="AZ190" i="3" s="1"/>
  <c r="G196" i="3"/>
  <c r="BA197" i="3"/>
  <c r="AZ197" i="3" s="1"/>
  <c r="BL201" i="3"/>
  <c r="BL203" i="3"/>
  <c r="AZ203" i="3" s="1"/>
  <c r="BA204" i="3"/>
  <c r="AZ204" i="3" s="1"/>
  <c r="BA18" i="3"/>
  <c r="G21" i="3"/>
  <c r="BL21" i="3"/>
  <c r="G29" i="3"/>
  <c r="BL29" i="3"/>
  <c r="BA37" i="3"/>
  <c r="G39" i="3"/>
  <c r="BL39" i="3"/>
  <c r="G43" i="3"/>
  <c r="G44" i="3"/>
  <c r="BA45" i="3"/>
  <c r="AZ45" i="3" s="1"/>
  <c r="BA46" i="3"/>
  <c r="BL49" i="3"/>
  <c r="BL50" i="3"/>
  <c r="AZ50" i="3" s="1"/>
  <c r="BL51" i="3"/>
  <c r="G53" i="3"/>
  <c r="BL53" i="3"/>
  <c r="BA56" i="3"/>
  <c r="BA57" i="3"/>
  <c r="BL58" i="3"/>
  <c r="G60" i="3"/>
  <c r="BA60" i="3"/>
  <c r="BA63" i="3"/>
  <c r="BA66" i="3"/>
  <c r="BL70" i="3"/>
  <c r="AZ70" i="3" s="1"/>
  <c r="BL71" i="3"/>
  <c r="BA78" i="3"/>
  <c r="BA80" i="3"/>
  <c r="G84" i="3"/>
  <c r="BL84" i="3"/>
  <c r="BA89" i="3"/>
  <c r="BL92" i="3"/>
  <c r="BL94" i="3"/>
  <c r="AZ94" i="3" s="1"/>
  <c r="G98" i="3"/>
  <c r="BA105" i="3"/>
  <c r="AZ105" i="3" s="1"/>
  <c r="C60" i="71"/>
  <c r="D59" i="71"/>
  <c r="G175" i="3"/>
  <c r="G176" i="3"/>
  <c r="BL178" i="3"/>
  <c r="AZ178" i="3" s="1"/>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BA54" i="3"/>
  <c r="BL57" i="3"/>
  <c r="G62" i="3"/>
  <c r="BL62" i="3"/>
  <c r="AZ62" i="3" s="1"/>
  <c r="BL63" i="3"/>
  <c r="G65" i="3"/>
  <c r="BL65" i="3"/>
  <c r="AZ65" i="3" s="1"/>
  <c r="BL66" i="3"/>
  <c r="BL67" i="3"/>
  <c r="AZ67" i="3" s="1"/>
  <c r="BA72" i="3"/>
  <c r="AZ72" i="3" s="1"/>
  <c r="BA73" i="3"/>
  <c r="BA79" i="3"/>
  <c r="AZ79" i="3" s="1"/>
  <c r="G82" i="3"/>
  <c r="G83" i="3"/>
  <c r="BA84" i="3"/>
  <c r="AZ84" i="3" s="1"/>
  <c r="BL88" i="3"/>
  <c r="AZ88" i="3" s="1"/>
  <c r="G90" i="3"/>
  <c r="BL90" i="3"/>
  <c r="AZ100" i="3"/>
  <c r="BL68" i="3"/>
  <c r="BA69" i="3"/>
  <c r="AZ69" i="3" s="1"/>
  <c r="G72" i="3"/>
  <c r="BL73" i="3"/>
  <c r="BA74" i="3"/>
  <c r="AZ74" i="3" s="1"/>
  <c r="BA75" i="3"/>
  <c r="AZ75" i="3" s="1"/>
  <c r="G81" i="3"/>
  <c r="G85" i="3"/>
  <c r="BL85" i="3"/>
  <c r="BA86" i="3"/>
  <c r="AZ86" i="3" s="1"/>
  <c r="BA87" i="3"/>
  <c r="BA91" i="3"/>
  <c r="G96" i="3"/>
  <c r="BL97" i="3"/>
  <c r="AZ97" i="3" s="1"/>
  <c r="BL101" i="3"/>
  <c r="BL102" i="3"/>
  <c r="AZ102" i="3" s="1"/>
  <c r="G104" i="3"/>
  <c r="G105" i="3"/>
  <c r="BL106" i="3"/>
  <c r="BA108" i="3"/>
  <c r="BA110" i="3"/>
  <c r="AZ110" i="3" s="1"/>
  <c r="F3" i="35"/>
  <c r="S21" i="33"/>
  <c r="S21" i="37"/>
  <c r="S25" i="40"/>
  <c r="B77" i="43"/>
  <c r="AA18" i="35"/>
  <c r="O67" i="71"/>
  <c r="AA28" i="71"/>
  <c r="AB27" i="71"/>
  <c r="E79" i="71"/>
  <c r="E78" i="71" s="1"/>
  <c r="E75" i="71"/>
  <c r="E74" i="71" s="1"/>
  <c r="AB25" i="71"/>
  <c r="X26" i="71"/>
  <c r="Y25" i="71"/>
  <c r="Z25" i="71" s="1"/>
  <c r="X38" i="71"/>
  <c r="C35" i="71"/>
  <c r="N68" i="71"/>
  <c r="E38" i="71"/>
  <c r="E39" i="71" s="1"/>
  <c r="E40" i="71" s="1"/>
  <c r="U40" i="71" s="1"/>
  <c r="B34" i="71"/>
  <c r="B35" i="71" s="1"/>
  <c r="B36" i="71" s="1"/>
  <c r="S36" i="71" s="1"/>
  <c r="AB32" i="71"/>
  <c r="X33" i="71"/>
  <c r="AB37" i="71"/>
  <c r="B67" i="71"/>
  <c r="B75" i="71"/>
  <c r="B74" i="71" s="1"/>
  <c r="G99" i="3"/>
  <c r="BA103" i="3"/>
  <c r="AZ103" i="3" s="1"/>
  <c r="BA104" i="3"/>
  <c r="BA106" i="3"/>
  <c r="BL108" i="3"/>
  <c r="G110" i="3"/>
  <c r="BL111" i="3"/>
  <c r="AZ111" i="3" s="1"/>
  <c r="U29" i="39"/>
  <c r="C66" i="71"/>
  <c r="AA27" i="71"/>
  <c r="AB26" i="71"/>
  <c r="S28" i="71"/>
  <c r="C83" i="71"/>
  <c r="C79" i="71"/>
  <c r="C71" i="71"/>
  <c r="C39" i="71"/>
  <c r="X25" i="71"/>
  <c r="Y28" i="71"/>
  <c r="Z28" i="71" s="1"/>
  <c r="AA37" i="71"/>
  <c r="X28" i="71"/>
  <c r="X32" i="71"/>
  <c r="F40" i="71"/>
  <c r="V40" i="71" s="1"/>
  <c r="AB38" i="71"/>
  <c r="F67" i="71"/>
  <c r="F75" i="71"/>
  <c r="F74" i="71" s="1"/>
  <c r="B79" i="71"/>
  <c r="B78" i="71" s="1"/>
  <c r="BA101" i="3"/>
  <c r="AZ101" i="3" s="1"/>
  <c r="G108" i="3"/>
  <c r="BL112" i="3"/>
  <c r="AB21" i="33"/>
  <c r="S21" i="34"/>
  <c r="B88" i="43"/>
  <c r="Y27" i="71"/>
  <c r="Z27" i="71" s="1"/>
  <c r="X34" i="71"/>
  <c r="AA34" i="71"/>
  <c r="AB35" i="71"/>
  <c r="E51" i="71"/>
  <c r="E52" i="71" s="1"/>
  <c r="U52"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F30" i="6"/>
  <c r="G30" i="6"/>
  <c r="G31" i="6" s="1"/>
  <c r="E28" i="6"/>
  <c r="K14" i="1" s="1"/>
  <c r="K16" i="1"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M7" i="15"/>
  <c r="F50" i="15"/>
  <c r="F66" i="67"/>
  <c r="Q71" i="67"/>
  <c r="F64" i="15"/>
  <c r="C27" i="67"/>
  <c r="F71" i="67"/>
  <c r="N59" i="67"/>
  <c r="L59" i="67"/>
  <c r="L58" i="67"/>
  <c r="M59" i="67"/>
  <c r="B13" i="70"/>
  <c r="M7" i="67"/>
  <c r="J6" i="67" s="1"/>
  <c r="F50" i="67"/>
  <c r="F68" i="67"/>
  <c r="F64" i="67"/>
  <c r="C36" i="68"/>
  <c r="D9" i="69"/>
  <c r="C36" i="69"/>
  <c r="D9" i="68"/>
  <c r="F38" i="15"/>
  <c r="F16" i="15"/>
  <c r="F26" i="15"/>
  <c r="D4" i="73"/>
  <c r="F43" i="15"/>
  <c r="F9" i="15"/>
  <c r="F37" i="15"/>
  <c r="C76" i="15"/>
  <c r="F6" i="15"/>
  <c r="J15" i="15"/>
  <c r="M29" i="15"/>
  <c r="F40" i="15"/>
  <c r="L47" i="15"/>
  <c r="D5" i="73"/>
  <c r="M23" i="15"/>
  <c r="D7" i="73"/>
  <c r="L48" i="15"/>
  <c r="F42" i="15"/>
  <c r="M22" i="15"/>
  <c r="M6" i="15"/>
  <c r="M8" i="15"/>
  <c r="D3" i="73"/>
  <c r="M24" i="15"/>
  <c r="C16" i="67"/>
  <c r="F8" i="15"/>
  <c r="S14" i="34" l="1"/>
  <c r="AA14" i="34"/>
  <c r="S23" i="34"/>
  <c r="AC23" i="34"/>
  <c r="P6" i="1"/>
  <c r="C13" i="12" s="1"/>
  <c r="E59" i="40"/>
  <c r="N370" i="46"/>
  <c r="F26" i="43"/>
  <c r="D26" i="43" s="1"/>
  <c r="C25" i="43" s="1"/>
  <c r="J7" i="36"/>
  <c r="F51" i="15"/>
  <c r="C49" i="15" s="1"/>
  <c r="F71" i="15"/>
  <c r="M59" i="15"/>
  <c r="L59" i="15"/>
  <c r="Q74" i="15" s="1"/>
  <c r="N59" i="15"/>
  <c r="L58" i="15"/>
  <c r="Q60" i="15" s="1"/>
  <c r="F31" i="15"/>
  <c r="C6" i="15"/>
  <c r="C32" i="15" s="1"/>
  <c r="Q71" i="15"/>
  <c r="J53" i="15"/>
  <c r="L56" i="15" s="1"/>
  <c r="J57" i="15"/>
  <c r="J55" i="15" s="1"/>
  <c r="J58" i="15" s="1"/>
  <c r="Q50" i="15" s="1"/>
  <c r="I54" i="15"/>
  <c r="C27" i="15"/>
  <c r="F68" i="15"/>
  <c r="F65" i="15"/>
  <c r="F66" i="15"/>
  <c r="C70" i="71"/>
  <c r="D70" i="71" s="1"/>
  <c r="D71" i="71"/>
  <c r="N67" i="71"/>
  <c r="B66" i="71"/>
  <c r="AZ108" i="3"/>
  <c r="AZ91" i="3"/>
  <c r="AZ63" i="3"/>
  <c r="AZ5" i="3" s="1"/>
  <c r="AZ57" i="3"/>
  <c r="AZ182" i="3"/>
  <c r="AZ194" i="3"/>
  <c r="AZ297" i="3"/>
  <c r="AZ241" i="3"/>
  <c r="AZ294" i="3"/>
  <c r="AZ425" i="3"/>
  <c r="AZ453" i="3"/>
  <c r="AZ464" i="3"/>
  <c r="AZ469" i="3"/>
  <c r="AA37" i="39"/>
  <c r="S37" i="39"/>
  <c r="AZ536" i="3"/>
  <c r="AC39" i="40"/>
  <c r="W39" i="40"/>
  <c r="AB23" i="36"/>
  <c r="U23" i="36"/>
  <c r="AC13" i="35"/>
  <c r="W13" i="35"/>
  <c r="U9" i="34"/>
  <c r="AB9" i="34"/>
  <c r="AB30" i="33"/>
  <c r="U30" i="33"/>
  <c r="S14" i="37"/>
  <c r="AA14" i="37"/>
  <c r="J6" i="15"/>
  <c r="J18" i="15" s="1"/>
  <c r="E26" i="43"/>
  <c r="H26" i="43"/>
  <c r="D79" i="71"/>
  <c r="C78" i="71"/>
  <c r="D78" i="71" s="1"/>
  <c r="AZ137" i="3"/>
  <c r="C56" i="71"/>
  <c r="D55" i="71"/>
  <c r="AZ284" i="3"/>
  <c r="AZ162" i="3"/>
  <c r="AZ483" i="3"/>
  <c r="AZ457" i="3"/>
  <c r="AZ433" i="3"/>
  <c r="AZ239" i="3"/>
  <c r="AZ430" i="3"/>
  <c r="W28" i="33"/>
  <c r="AC28" i="33"/>
  <c r="AC37" i="39"/>
  <c r="W37" i="39"/>
  <c r="AZ585" i="3"/>
  <c r="U45" i="34"/>
  <c r="AB45" i="34"/>
  <c r="AA33" i="36"/>
  <c r="S33" i="36"/>
  <c r="AC9" i="34"/>
  <c r="W9" i="34"/>
  <c r="AA46" i="33"/>
  <c r="S46" i="33"/>
  <c r="G26" i="43"/>
  <c r="G5" i="3"/>
  <c r="B3" i="3" s="1"/>
  <c r="D83" i="71"/>
  <c r="C82" i="71"/>
  <c r="D82" i="71" s="1"/>
  <c r="O65" i="71"/>
  <c r="D66" i="71"/>
  <c r="O66" i="71"/>
  <c r="C26" i="71"/>
  <c r="D26" i="71" s="1"/>
  <c r="D27" i="71"/>
  <c r="U28" i="33"/>
  <c r="AB28" i="33"/>
  <c r="W31" i="39"/>
  <c r="AC31" i="39"/>
  <c r="AC35" i="35"/>
  <c r="W35" i="35"/>
  <c r="S29" i="34"/>
  <c r="AA29" i="34"/>
  <c r="AB12" i="34"/>
  <c r="U12" i="34"/>
  <c r="U13" i="35"/>
  <c r="AB13" i="35"/>
  <c r="N94" i="46"/>
  <c r="G16" i="1"/>
  <c r="F10" i="39" s="1"/>
  <c r="AA10" i="39" s="1"/>
  <c r="F66" i="71"/>
  <c r="Q67" i="71"/>
  <c r="C40" i="71"/>
  <c r="D39" i="71"/>
  <c r="C36" i="71"/>
  <c r="D35" i="71"/>
  <c r="AZ53" i="3"/>
  <c r="D60" i="71"/>
  <c r="T60" i="71"/>
  <c r="AZ66" i="3"/>
  <c r="T52" i="71"/>
  <c r="D52" i="71"/>
  <c r="AZ58" i="3"/>
  <c r="AZ49" i="3"/>
  <c r="D44" i="71"/>
  <c r="T44" i="71"/>
  <c r="AZ282" i="3"/>
  <c r="AZ251" i="3"/>
  <c r="AZ247" i="3"/>
  <c r="AZ273" i="3"/>
  <c r="AZ257" i="3"/>
  <c r="AZ368" i="3"/>
  <c r="AZ353" i="3"/>
  <c r="AZ455" i="3"/>
  <c r="AZ332" i="3"/>
  <c r="AZ401" i="3"/>
  <c r="AB31" i="39"/>
  <c r="U31" i="39"/>
  <c r="S38" i="37"/>
  <c r="AA38" i="37"/>
  <c r="AB39" i="40"/>
  <c r="U39" i="40"/>
  <c r="AC23" i="36"/>
  <c r="W23" i="36"/>
  <c r="U44" i="21"/>
  <c r="AB44" i="21"/>
  <c r="W45" i="34"/>
  <c r="AC45" i="34"/>
  <c r="AZ573" i="3"/>
  <c r="AZ550" i="3"/>
  <c r="W12" i="34"/>
  <c r="AC12" i="34"/>
  <c r="W27" i="21"/>
  <c r="AC27" i="21"/>
  <c r="J7" i="37"/>
  <c r="K1" i="73"/>
  <c r="E510" i="3"/>
  <c r="E539" i="3"/>
  <c r="R6" i="3"/>
  <c r="E56" i="3"/>
  <c r="E363" i="3"/>
  <c r="E425" i="3"/>
  <c r="E300" i="3"/>
  <c r="E371" i="3"/>
  <c r="E264" i="3"/>
  <c r="E283" i="3"/>
  <c r="E494" i="3"/>
  <c r="E75" i="3"/>
  <c r="E129" i="3"/>
  <c r="E522" i="3"/>
  <c r="E251" i="3"/>
  <c r="E287" i="3"/>
  <c r="E308" i="3"/>
  <c r="E534" i="3"/>
  <c r="T6" i="3"/>
  <c r="E469" i="3"/>
  <c r="E556" i="3"/>
  <c r="E452" i="3"/>
  <c r="E104" i="3"/>
  <c r="E243" i="3"/>
  <c r="E78" i="3"/>
  <c r="E190" i="3"/>
  <c r="E370" i="3"/>
  <c r="E80" i="3"/>
  <c r="E83" i="3"/>
  <c r="E116" i="3"/>
  <c r="E493" i="3"/>
  <c r="E486" i="3"/>
  <c r="E490" i="3"/>
  <c r="E498" i="3"/>
  <c r="E419" i="3"/>
  <c r="E202" i="3"/>
  <c r="E226" i="3"/>
  <c r="E333" i="3"/>
  <c r="E540" i="3"/>
  <c r="E455" i="3"/>
  <c r="E137" i="3"/>
  <c r="E339" i="3"/>
  <c r="E52" i="3"/>
  <c r="E36" i="3"/>
  <c r="E50" i="3"/>
  <c r="E20" i="3"/>
  <c r="E218" i="3"/>
  <c r="E165" i="3"/>
  <c r="E398" i="3"/>
  <c r="E155" i="3"/>
  <c r="E65" i="3"/>
  <c r="E51" i="3"/>
  <c r="E222" i="3"/>
  <c r="E57" i="3"/>
  <c r="E110" i="3"/>
  <c r="E209" i="3"/>
  <c r="E323" i="3"/>
  <c r="E582" i="3"/>
  <c r="E47" i="3"/>
  <c r="E373" i="3"/>
  <c r="E259" i="3"/>
  <c r="E462" i="3"/>
  <c r="E488" i="3"/>
  <c r="E195" i="3"/>
  <c r="E167" i="3"/>
  <c r="E307" i="3"/>
  <c r="E122" i="3"/>
  <c r="E306" i="3"/>
  <c r="E532" i="3"/>
  <c r="E288" i="3"/>
  <c r="W6" i="3"/>
  <c r="E257" i="3"/>
  <c r="E357" i="3"/>
  <c r="E397" i="3"/>
  <c r="E379" i="3"/>
  <c r="U6" i="3"/>
  <c r="E432" i="3"/>
  <c r="E546" i="3"/>
  <c r="E71" i="3"/>
  <c r="E272" i="3"/>
  <c r="E29" i="3"/>
  <c r="E53" i="3"/>
  <c r="E153" i="3"/>
  <c r="E574" i="3"/>
  <c r="E359" i="3"/>
  <c r="E390" i="3"/>
  <c r="E418" i="3"/>
  <c r="E338" i="3"/>
  <c r="E169" i="3"/>
  <c r="E213" i="3"/>
  <c r="E17" i="3"/>
  <c r="E254" i="3"/>
  <c r="AN6" i="3"/>
  <c r="E353" i="3"/>
  <c r="E156" i="3"/>
  <c r="E262" i="3"/>
  <c r="E120" i="3"/>
  <c r="Q6" i="3"/>
  <c r="E344" i="3"/>
  <c r="AE6" i="3"/>
  <c r="E55" i="3"/>
  <c r="E274" i="3"/>
  <c r="E394" i="3"/>
  <c r="I6" i="3"/>
  <c r="E252" i="3"/>
  <c r="E164" i="3"/>
  <c r="E576" i="3"/>
  <c r="E448" i="3"/>
  <c r="P6" i="3"/>
  <c r="E443" i="3"/>
  <c r="E581" i="3"/>
  <c r="E444" i="3"/>
  <c r="E404" i="3"/>
  <c r="E121" i="3"/>
  <c r="E166" i="3"/>
  <c r="E295" i="3"/>
  <c r="E334" i="3"/>
  <c r="E30" i="3"/>
  <c r="E480" i="3"/>
  <c r="E366" i="3"/>
  <c r="E553" i="3"/>
  <c r="E282" i="3"/>
  <c r="E239" i="3"/>
  <c r="E516" i="3"/>
  <c r="E569" i="3"/>
  <c r="E229" i="3"/>
  <c r="E151" i="3"/>
  <c r="E358" i="3"/>
  <c r="E551" i="3"/>
  <c r="V6" i="3"/>
  <c r="E407" i="3"/>
  <c r="E294" i="3"/>
  <c r="E230" i="3"/>
  <c r="E130" i="3"/>
  <c r="E415" i="3"/>
  <c r="E395" i="3"/>
  <c r="E260" i="3"/>
  <c r="E117" i="3"/>
  <c r="E290" i="3"/>
  <c r="E61" i="3"/>
  <c r="E382" i="3"/>
  <c r="E578" i="3"/>
  <c r="E518" i="3"/>
  <c r="E336" i="3"/>
  <c r="E583" i="3"/>
  <c r="E253" i="3"/>
  <c r="E85" i="3"/>
  <c r="E314" i="3"/>
  <c r="E511" i="3"/>
  <c r="E45" i="3"/>
  <c r="E193" i="3"/>
  <c r="E519" i="3"/>
  <c r="E458" i="3"/>
  <c r="E527" i="3"/>
  <c r="E457" i="3"/>
  <c r="E571" i="3"/>
  <c r="E450" i="3"/>
  <c r="E433" i="3"/>
  <c r="E111" i="3"/>
  <c r="E150" i="3"/>
  <c r="E279" i="3"/>
  <c r="E318" i="3"/>
  <c r="E31" i="3"/>
  <c r="E567" i="3"/>
  <c r="E269" i="3"/>
  <c r="E271" i="3"/>
  <c r="E107" i="3"/>
  <c r="E515" i="3"/>
  <c r="E478" i="3"/>
  <c r="E414" i="3"/>
  <c r="E505" i="3"/>
  <c r="AS6" i="3"/>
  <c r="E476" i="3"/>
  <c r="E27" i="3"/>
  <c r="E162" i="3"/>
  <c r="E186" i="3"/>
  <c r="E331" i="3"/>
  <c r="E384" i="3"/>
  <c r="E44" i="3"/>
  <c r="E175" i="3"/>
  <c r="E530" i="3"/>
  <c r="E343" i="3"/>
  <c r="E508" i="3"/>
  <c r="E388" i="3"/>
  <c r="E555" i="3"/>
  <c r="E337" i="3"/>
  <c r="E143" i="3"/>
  <c r="E270" i="3"/>
  <c r="AR6" i="3"/>
  <c r="E561" i="3"/>
  <c r="E538" i="3"/>
  <c r="E380" i="3"/>
  <c r="E231" i="3"/>
  <c r="E216" i="3"/>
  <c r="E261" i="3"/>
  <c r="E528" i="3"/>
  <c r="E183" i="3"/>
  <c r="E503" i="3"/>
  <c r="E180" i="3"/>
  <c r="E91" i="3"/>
  <c r="E301" i="3"/>
  <c r="E350" i="3"/>
  <c r="E586" i="3"/>
  <c r="E124" i="3"/>
  <c r="E399" i="3"/>
  <c r="E347" i="3"/>
  <c r="E568" i="3"/>
  <c r="E181" i="3"/>
  <c r="E545" i="3"/>
  <c r="E228" i="3"/>
  <c r="E277" i="3"/>
  <c r="E133" i="3"/>
  <c r="E560" i="3"/>
  <c r="E472" i="3"/>
  <c r="E406" i="3"/>
  <c r="E587" i="3"/>
  <c r="E577" i="3"/>
  <c r="E468" i="3"/>
  <c r="E106" i="3"/>
  <c r="E146" i="3"/>
  <c r="E171" i="3"/>
  <c r="E315" i="3"/>
  <c r="E362" i="3"/>
  <c r="E74" i="3"/>
  <c r="E368" i="3"/>
  <c r="E89" i="3"/>
  <c r="E204" i="3"/>
  <c r="Z6" i="3"/>
  <c r="AO6" i="3"/>
  <c r="E485" i="3"/>
  <c r="E345" i="3"/>
  <c r="E557" i="3"/>
  <c r="E531" i="3"/>
  <c r="E28" i="3"/>
  <c r="E70" i="3"/>
  <c r="E182" i="3"/>
  <c r="E273" i="3"/>
  <c r="E377" i="3"/>
  <c r="E572" i="3"/>
  <c r="E217" i="3"/>
  <c r="E526" i="3"/>
  <c r="E268" i="3"/>
  <c r="AJ6" i="3"/>
  <c r="E509" i="3"/>
  <c r="E579" i="3"/>
  <c r="E247" i="3"/>
  <c r="E201" i="3"/>
  <c r="E311" i="3"/>
  <c r="E570" i="3"/>
  <c r="M6" i="3"/>
  <c r="AB6" i="3"/>
  <c r="E335" i="3"/>
  <c r="E215" i="3"/>
  <c r="E18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AC7" i="37"/>
  <c r="W7" i="37"/>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F27" i="68"/>
  <c r="AE7" i="1"/>
  <c r="AE8" i="1"/>
  <c r="AE12" i="1"/>
  <c r="AE10" i="1"/>
  <c r="C16" i="15"/>
  <c r="G1" i="73"/>
  <c r="AE6" i="1"/>
  <c r="F41" i="67" s="1"/>
  <c r="T49" i="34" l="1"/>
  <c r="G49" i="34" s="1"/>
  <c r="J5" i="15"/>
  <c r="J24" i="15" s="1"/>
  <c r="Q73" i="15"/>
  <c r="H10" i="39"/>
  <c r="U10" i="39" s="1"/>
  <c r="E502" i="3"/>
  <c r="I3" i="6"/>
  <c r="E349" i="3"/>
  <c r="E144" i="3"/>
  <c r="AL6" i="3"/>
  <c r="E86" i="3"/>
  <c r="E140" i="3"/>
  <c r="E360" i="3"/>
  <c r="E41" i="3"/>
  <c r="E342" i="3"/>
  <c r="E223" i="3"/>
  <c r="E507" i="3"/>
  <c r="E40" i="3"/>
  <c r="E43" i="3"/>
  <c r="E194" i="3"/>
  <c r="E147" i="3"/>
  <c r="E101" i="3"/>
  <c r="E348" i="3"/>
  <c r="E421" i="3"/>
  <c r="E19" i="3"/>
  <c r="E266" i="3"/>
  <c r="Y6" i="3"/>
  <c r="E98" i="3"/>
  <c r="E157" i="3"/>
  <c r="E475" i="3"/>
  <c r="E196" i="3"/>
  <c r="E367" i="3"/>
  <c r="E291" i="3"/>
  <c r="E426" i="3"/>
  <c r="S6" i="3"/>
  <c r="E237" i="3"/>
  <c r="E159" i="3"/>
  <c r="E238" i="3"/>
  <c r="E437" i="3"/>
  <c r="E73"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H6" i="3" s="1"/>
  <c r="E6" i="3" s="1"/>
  <c r="E465" i="3"/>
  <c r="E454" i="3"/>
  <c r="E214" i="3"/>
  <c r="E227" i="3"/>
  <c r="E327" i="3"/>
  <c r="E400" i="3"/>
  <c r="E489" i="3"/>
  <c r="E211" i="3"/>
  <c r="E109" i="3"/>
  <c r="E322" i="3"/>
  <c r="E431" i="3"/>
  <c r="E514" i="3"/>
  <c r="E387" i="3"/>
  <c r="E69" i="3"/>
  <c r="AP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198" i="3"/>
  <c r="E184" i="3"/>
  <c r="E467" i="3"/>
  <c r="E37" i="3"/>
  <c r="E536" i="3"/>
  <c r="E199" i="3"/>
  <c r="E541" i="3"/>
  <c r="E435" i="3"/>
  <c r="E192" i="3"/>
  <c r="E76" i="3"/>
  <c r="E103" i="3"/>
  <c r="E23" i="3"/>
  <c r="E381" i="3"/>
  <c r="E309" i="3"/>
  <c r="E332" i="3"/>
  <c r="E482"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AC6" i="3" s="1"/>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86" i="3"/>
  <c r="E430" i="3"/>
  <c r="E491" i="3"/>
  <c r="E258" i="3"/>
  <c r="E59" i="3"/>
  <c r="E160" i="3"/>
  <c r="E84" i="3"/>
  <c r="E68" i="3"/>
  <c r="E21" i="3"/>
  <c r="E391" i="3"/>
  <c r="E18"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Q52" i="15"/>
  <c r="F1" i="15"/>
  <c r="F67" i="39"/>
  <c r="S10" i="39"/>
  <c r="AY6" i="3"/>
  <c r="AY366" i="3" s="1"/>
  <c r="E3" i="6"/>
  <c r="E6" i="6" s="1"/>
  <c r="T40" i="71"/>
  <c r="D40" i="71"/>
  <c r="Q61" i="15"/>
  <c r="H10" i="40"/>
  <c r="AB10" i="40" s="1"/>
  <c r="J10" i="40"/>
  <c r="AC10" i="40" s="1"/>
  <c r="J10" i="39"/>
  <c r="W10" i="39" s="1"/>
  <c r="E96" i="3"/>
  <c r="E42" i="3"/>
  <c r="E281" i="3"/>
  <c r="E513" i="3"/>
  <c r="E81" i="3"/>
  <c r="E355" i="3"/>
  <c r="E33" i="3"/>
  <c r="E492" i="3"/>
  <c r="E249" i="3"/>
  <c r="E46" i="3"/>
  <c r="E484" i="3"/>
  <c r="E544" i="3"/>
  <c r="E292" i="3"/>
  <c r="E152" i="3"/>
  <c r="E479" i="3"/>
  <c r="E517" i="3"/>
  <c r="E255" i="3"/>
  <c r="E466" i="3"/>
  <c r="E499" i="3"/>
  <c r="E212" i="3"/>
  <c r="D56" i="71"/>
  <c r="T56" i="71"/>
  <c r="F10" i="40"/>
  <c r="S10" i="40" s="1"/>
  <c r="E63" i="3"/>
  <c r="E233" i="3"/>
  <c r="E67" i="3"/>
  <c r="E310" i="3"/>
  <c r="E267" i="3"/>
  <c r="E64" i="3"/>
  <c r="E409" i="3"/>
  <c r="E389" i="3"/>
  <c r="E241" i="3"/>
  <c r="E95" i="3"/>
  <c r="E417" i="3"/>
  <c r="E554" i="3"/>
  <c r="E449" i="3"/>
  <c r="E442" i="3"/>
  <c r="E575" i="3"/>
  <c r="D36" i="71"/>
  <c r="T36" i="71"/>
  <c r="Q66" i="71"/>
  <c r="Q65" i="71"/>
  <c r="N65" i="71"/>
  <c r="N66" i="7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168" i="3"/>
  <c r="AY428" i="3"/>
  <c r="AY513" i="3"/>
  <c r="AY190" i="3"/>
  <c r="AY219" i="3"/>
  <c r="AY114" i="3"/>
  <c r="AY462" i="3"/>
  <c r="AY18" i="3"/>
  <c r="AY535" i="3"/>
  <c r="AY222" i="3"/>
  <c r="AY454" i="3"/>
  <c r="AY132" i="3"/>
  <c r="AY573" i="3"/>
  <c r="AY373" i="3"/>
  <c r="AY406" i="3"/>
  <c r="AY80" i="3"/>
  <c r="AY369" i="3"/>
  <c r="AY410" i="3"/>
  <c r="AY531" i="3"/>
  <c r="AY280" i="3"/>
  <c r="AY405" i="3"/>
  <c r="AY27" i="3"/>
  <c r="AY277" i="3"/>
  <c r="AY213" i="3"/>
  <c r="AY338" i="3"/>
  <c r="AY429" i="3"/>
  <c r="AY504" i="3"/>
  <c r="AY142" i="3"/>
  <c r="AY352" i="3"/>
  <c r="AY492" i="3"/>
  <c r="AY431" i="3"/>
  <c r="AY575" i="3"/>
  <c r="AY563" i="3"/>
  <c r="AY203" i="3"/>
  <c r="AY233" i="3"/>
  <c r="AY330" i="3"/>
  <c r="AY13" i="3"/>
  <c r="AY39" i="3"/>
  <c r="AY195" i="3"/>
  <c r="AY136" i="3"/>
  <c r="AY272" i="3"/>
  <c r="AY208" i="3"/>
  <c r="AY375" i="3"/>
  <c r="AY322" i="3"/>
  <c r="AY474" i="3"/>
  <c r="AY432" i="3"/>
  <c r="AY15" i="3"/>
  <c r="AY583" i="3"/>
  <c r="AY567" i="3"/>
  <c r="AY21" i="3"/>
  <c r="AY174" i="3"/>
  <c r="AY153" i="3"/>
  <c r="AY267" i="3"/>
  <c r="AY250" i="3"/>
  <c r="AY396" i="3"/>
  <c r="AY337" i="3"/>
  <c r="AY305" i="3"/>
  <c r="AY320" i="3"/>
  <c r="AY476" i="3"/>
  <c r="AY445" i="3"/>
  <c r="AY434" i="3"/>
  <c r="AY415" i="3"/>
  <c r="AY505" i="3"/>
  <c r="AY538" i="3"/>
  <c r="AY515" i="3"/>
  <c r="AY551" i="3"/>
  <c r="AY545" i="3"/>
  <c r="AY493" i="3"/>
  <c r="AY79" i="3"/>
  <c r="AY62" i="3"/>
  <c r="AY172" i="3"/>
  <c r="AY151" i="3"/>
  <c r="AY301" i="3"/>
  <c r="AY248" i="3"/>
  <c r="AY394" i="3"/>
  <c r="AY359" i="3"/>
  <c r="AY485" i="3"/>
  <c r="AY451" i="3"/>
  <c r="AY408"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AB10" i="39"/>
  <c r="W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F41" i="15"/>
  <c r="M27" i="15"/>
  <c r="M27" i="67"/>
  <c r="R50" i="34" l="1"/>
  <c r="G54" i="34"/>
  <c r="H54" i="34" s="1"/>
  <c r="F22" i="11"/>
  <c r="C23" i="11" s="1"/>
  <c r="F24" i="67"/>
  <c r="C24" i="67" s="1"/>
  <c r="F24" i="15"/>
  <c r="C24" i="15" s="1"/>
  <c r="F22" i="69"/>
  <c r="F41" i="69" s="1"/>
  <c r="F22" i="68"/>
  <c r="C26" i="68" s="1"/>
  <c r="D22" i="68" s="1"/>
  <c r="F25" i="12"/>
  <c r="C26" i="12" s="1"/>
  <c r="D25" i="12" s="1"/>
  <c r="L18" i="9"/>
  <c r="D14" i="12"/>
  <c r="D17" i="12" s="1"/>
  <c r="C17" i="12" s="1"/>
  <c r="D3" i="37"/>
  <c r="D37" i="11"/>
  <c r="D19" i="11"/>
  <c r="C19" i="11" s="1"/>
  <c r="D3" i="33"/>
  <c r="D3" i="34"/>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98" i="3"/>
  <c r="AY586" i="3"/>
  <c r="AY550" i="3"/>
  <c r="AY490" i="3"/>
  <c r="AY391" i="3"/>
  <c r="AY273" i="3"/>
  <c r="AY148" i="3"/>
  <c r="AY512" i="3"/>
  <c r="AY221" i="3"/>
  <c r="AY94" i="3"/>
  <c r="AY579" i="3"/>
  <c r="AY313" i="3"/>
  <c r="AY189" i="3"/>
  <c r="AY536" i="3"/>
  <c r="AY72" i="3"/>
  <c r="AY84" i="3"/>
  <c r="AY350" i="3"/>
  <c r="AY516" i="3"/>
  <c r="AY93" i="3"/>
  <c r="AY89" i="3"/>
  <c r="AY237" i="3"/>
  <c r="AY411" i="3"/>
  <c r="AY242" i="3"/>
  <c r="AY357" i="3"/>
  <c r="AY165" i="3"/>
  <c r="AY533" i="3"/>
  <c r="AY245"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83" i="3"/>
  <c r="AY23" i="3"/>
  <c r="AY155" i="3"/>
  <c r="AY59" i="3"/>
  <c r="AY131" i="3"/>
  <c r="AY58" i="3"/>
  <c r="AY268" i="3"/>
  <c r="AY371" i="3"/>
  <c r="AY103" i="3"/>
  <c r="AY160" i="3"/>
  <c r="AY183" i="3"/>
  <c r="AY284" i="3"/>
  <c r="AY319" i="3"/>
  <c r="AY460" i="3"/>
  <c r="AY529" i="3"/>
  <c r="AY300" i="3"/>
  <c r="AY51" i="3"/>
  <c r="AY124" i="3"/>
  <c r="AY281" i="3"/>
  <c r="AY236" i="3"/>
  <c r="AY67" i="3"/>
  <c r="AY123" i="3"/>
  <c r="AY318" i="3"/>
  <c r="AY106" i="3"/>
  <c r="AY217" i="3"/>
  <c r="AY342" i="3"/>
  <c r="AY420" i="3"/>
  <c r="AY544" i="3"/>
  <c r="AY553" i="3"/>
  <c r="AY61" i="3"/>
  <c r="AY33" i="3"/>
  <c r="AY170" i="3"/>
  <c r="AY133" i="3"/>
  <c r="AY278" i="3"/>
  <c r="AY246" i="3"/>
  <c r="AY397" i="3"/>
  <c r="BH6" i="3"/>
  <c r="AY41" i="3"/>
  <c r="AY166" i="3"/>
  <c r="AY259" i="3"/>
  <c r="AY377" i="3"/>
  <c r="AY348" i="3"/>
  <c r="AY472" i="3"/>
  <c r="AY414" i="3"/>
  <c r="BQ6" i="3"/>
  <c r="AY571" i="3"/>
  <c r="AY16" i="3"/>
  <c r="AY90" i="3"/>
  <c r="AY486" i="3"/>
  <c r="AY269" i="3"/>
  <c r="AY481" i="3"/>
  <c r="BO6" i="3"/>
  <c r="AY68" i="3"/>
  <c r="AY146" i="3"/>
  <c r="AY239" i="3"/>
  <c r="AY365" i="3"/>
  <c r="AY40" i="3"/>
  <c r="AY226" i="3"/>
  <c r="AY308" i="3"/>
  <c r="AY435" i="3"/>
  <c r="AY518" i="3"/>
  <c r="AY496" i="3"/>
  <c r="AY49"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66" i="3"/>
  <c r="AY115" i="3"/>
  <c r="AY276" i="3"/>
  <c r="AY225" i="3"/>
  <c r="AY50" i="3"/>
  <c r="AY261" i="3"/>
  <c r="AY473" i="3"/>
  <c r="AY26" i="3"/>
  <c r="AY395" i="3"/>
  <c r="AY310" i="3"/>
  <c r="AY401" i="3"/>
  <c r="AY569" i="3"/>
  <c r="AY97" i="3"/>
  <c r="AY76" i="3"/>
  <c r="AY206" i="3"/>
  <c r="AY154" i="3"/>
  <c r="AY125" i="3"/>
  <c r="AY263" i="3"/>
  <c r="AY230" i="3"/>
  <c r="AY374" i="3"/>
  <c r="BJ6" i="3"/>
  <c r="AY56" i="3"/>
  <c r="AY145" i="3"/>
  <c r="AY274" i="3"/>
  <c r="AY353" i="3"/>
  <c r="AY316" i="3"/>
  <c r="AY457" i="3"/>
  <c r="AY398" i="3"/>
  <c r="AY585" i="3"/>
  <c r="AY546" i="3"/>
  <c r="AY501" i="3"/>
  <c r="AY75" i="3"/>
  <c r="AY444" i="3"/>
  <c r="AY244" i="3"/>
  <c r="AY404" i="3"/>
  <c r="AY555" i="3"/>
  <c r="AY36" i="3"/>
  <c r="AY126" i="3"/>
  <c r="AY254" i="3"/>
  <c r="BS6" i="3"/>
  <c r="AY150" i="3"/>
  <c r="AY393" i="3"/>
  <c r="AY467" i="3"/>
  <c r="AY525" i="3"/>
  <c r="AY559" i="3"/>
  <c r="AY577" i="3"/>
  <c r="AY191" i="3"/>
  <c r="AY220" i="3"/>
  <c r="AY497" i="3"/>
  <c r="AY343" i="3"/>
  <c r="AY557" i="3"/>
  <c r="AY100" i="3"/>
  <c r="AY193" i="3"/>
  <c r="AY291" i="3"/>
  <c r="AY227" i="3"/>
  <c r="AY88" i="3"/>
  <c r="AY121" i="3"/>
  <c r="AY341" i="3"/>
  <c r="AY438"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176" i="3"/>
  <c r="AY188" i="3"/>
  <c r="AY297" i="3"/>
  <c r="AY335" i="3"/>
  <c r="AY289" i="3"/>
  <c r="AY209" i="3"/>
  <c r="AY441"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75" i="3"/>
  <c r="AY102" i="3"/>
  <c r="AY421" i="3"/>
  <c r="AY347" i="3"/>
  <c r="AY296" i="3"/>
  <c r="AY30" i="3"/>
  <c r="AY548" i="3"/>
  <c r="AY564" i="3"/>
  <c r="AY418" i="3"/>
  <c r="AY304" i="3"/>
  <c r="AY218" i="3"/>
  <c r="AY205" i="3"/>
  <c r="AY511" i="3"/>
  <c r="AY448" i="3"/>
  <c r="AY323" i="3"/>
  <c r="AY224" i="3"/>
  <c r="AY128" i="3"/>
  <c r="AY38" i="3"/>
  <c r="AY466" i="3"/>
  <c r="AY167" i="3"/>
  <c r="AY509" i="3"/>
  <c r="AY453" i="3"/>
  <c r="AY266" i="3"/>
  <c r="AY519" i="3"/>
  <c r="AY324" i="3"/>
  <c r="AY286" i="3"/>
  <c r="AY326" i="3"/>
  <c r="AY112" i="3"/>
  <c r="AY356" i="3"/>
  <c r="AY117" i="3"/>
  <c r="AY355" i="3"/>
  <c r="AY495" i="3"/>
  <c r="AY491" i="3"/>
  <c r="AY202" i="3"/>
  <c r="AY247" i="3"/>
  <c r="AY60" i="3"/>
  <c r="AY463" i="3"/>
  <c r="AY252" i="3"/>
  <c r="AY42" i="3"/>
  <c r="AY576" i="3"/>
  <c r="AY440" i="3"/>
  <c r="AY383" i="3"/>
  <c r="AY120" i="3"/>
  <c r="AY47" i="3"/>
  <c r="AY530" i="3"/>
  <c r="AY17" i="3"/>
  <c r="AY450" i="3"/>
  <c r="AY336" i="3"/>
  <c r="AY235" i="3"/>
  <c r="AY32" i="3"/>
  <c r="BD6" i="3"/>
  <c r="AY459" i="3"/>
  <c r="AY354" i="3"/>
  <c r="AY241" i="3"/>
  <c r="AY159" i="3"/>
  <c r="AY86" i="3"/>
  <c r="AY331" i="3"/>
  <c r="AY35" i="3"/>
  <c r="D3" i="6"/>
  <c r="D25" i="6" s="1"/>
  <c r="AY487" i="3"/>
  <c r="AY129" i="3"/>
  <c r="AY584" i="3"/>
  <c r="AY275" i="3"/>
  <c r="AY162" i="3"/>
  <c r="AY116" i="3"/>
  <c r="AY508" i="3"/>
  <c r="AY130" i="3"/>
  <c r="AY182" i="3"/>
  <c r="AY425" i="3"/>
  <c r="AY561" i="3"/>
  <c r="AY333" i="3"/>
  <c r="AY109" i="3"/>
  <c r="AY299" i="3"/>
  <c r="AY92" i="3"/>
  <c r="AY372" i="3"/>
  <c r="AY139" i="3"/>
  <c r="AY207" i="3"/>
  <c r="AA10" i="40"/>
  <c r="U10" i="40"/>
  <c r="D116" i="43"/>
  <c r="AC10" i="39"/>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15" i="6"/>
  <c r="D22" i="6"/>
  <c r="D21" i="6"/>
  <c r="D20" i="6"/>
  <c r="M19" i="9"/>
  <c r="C118" i="9" s="1"/>
  <c r="B2" i="74" s="1"/>
  <c r="D26" i="6"/>
  <c r="D14" i="6"/>
  <c r="D6" i="6"/>
  <c r="D9" i="6"/>
  <c r="L19" i="9"/>
  <c r="D29" i="6"/>
  <c r="H21" i="6"/>
  <c r="D19" i="6"/>
  <c r="D23" i="6"/>
  <c r="D5" i="6"/>
  <c r="D12" i="6"/>
  <c r="D13" i="6"/>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7" i="15"/>
  <c r="C14" i="67"/>
  <c r="C17" i="67"/>
  <c r="C26" i="11" l="1"/>
  <c r="D22" i="11" s="1"/>
  <c r="C24" i="11"/>
  <c r="C44" i="11"/>
  <c r="D41" i="11" s="1"/>
  <c r="I54" i="34"/>
  <c r="J54" i="34" s="1"/>
  <c r="C44" i="69"/>
  <c r="D41" i="69" s="1"/>
  <c r="C26" i="69"/>
  <c r="D22" i="69" s="1"/>
  <c r="C44" i="68"/>
  <c r="D41" i="68" s="1"/>
  <c r="F41" i="68"/>
  <c r="C25" i="11"/>
  <c r="D30" i="6"/>
  <c r="H25" i="6"/>
  <c r="H24" i="6"/>
  <c r="R24" i="6" s="1"/>
  <c r="R11" i="1" s="1"/>
  <c r="H26" i="6"/>
  <c r="D11" i="6"/>
  <c r="C18" i="4"/>
  <c r="H22" i="6"/>
  <c r="R22" i="6" s="1"/>
  <c r="R9" i="1" s="1"/>
  <c r="D10" i="6"/>
  <c r="D8" i="6"/>
  <c r="D24" i="6"/>
  <c r="E53" i="34"/>
  <c r="F53" i="34" s="1"/>
  <c r="C16" i="71"/>
  <c r="D17"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R23" i="6"/>
  <c r="R10" i="1" s="1"/>
  <c r="D27" i="6"/>
  <c r="D31" i="6" s="1"/>
  <c r="D8" i="74"/>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8" i="69"/>
  <c r="C5" i="69" s="1"/>
  <c r="C23" i="69" s="1"/>
  <c r="B29" i="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2" i="12"/>
  <c r="C27" i="12" s="1"/>
  <c r="C25" i="12"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G52" i="21"/>
  <c r="H52" i="21" s="1"/>
  <c r="G53" i="21"/>
  <c r="H53" i="21" s="1"/>
  <c r="F7" i="35"/>
  <c r="M21" i="67"/>
  <c r="F35" i="15"/>
  <c r="M21" i="15"/>
  <c r="F35" i="67"/>
  <c r="C25" i="68" l="1"/>
  <c r="C22" i="68" s="1"/>
  <c r="C31" i="68" s="1"/>
  <c r="C30" i="12"/>
  <c r="C28" i="12" s="1"/>
  <c r="C32" i="12" s="1"/>
  <c r="B2" i="12" s="1"/>
  <c r="B3" i="12" s="1"/>
  <c r="E48" i="2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2" i="35"/>
  <c r="L51" i="15"/>
  <c r="D19" i="9"/>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0" i="1"/>
  <c r="AO8" i="1"/>
  <c r="AO9" i="1"/>
  <c r="AO12" i="1"/>
  <c r="D20" i="9"/>
  <c r="AO11" i="1"/>
  <c r="AO7" i="1"/>
  <c r="AO6" i="1"/>
  <c r="C102" i="9" l="1"/>
  <c r="C21" i="9"/>
  <c r="G19" i="9"/>
  <c r="G21" i="9" s="1"/>
  <c r="D22"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I20" i="9" s="1"/>
  <c r="D14" i="74" s="1"/>
  <c r="G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B21" i="72"/>
  <c r="D7" i="53"/>
  <c r="M55" i="9"/>
  <c r="D59" i="9"/>
  <c r="M68" i="9"/>
  <c r="L68" i="9"/>
  <c r="B32" i="72"/>
  <c r="D14" i="53"/>
  <c r="B31" i="72"/>
  <c r="D15" i="53"/>
  <c r="N58" i="9"/>
  <c r="D55" i="9"/>
  <c r="M53" i="9"/>
  <c r="N57" i="9"/>
  <c r="P57" i="9"/>
  <c r="E81" i="9"/>
  <c r="E80" i="9"/>
  <c r="C80" i="9"/>
  <c r="N69" i="9"/>
  <c r="M69" i="9"/>
  <c r="M63" i="9"/>
  <c r="L63" i="9"/>
  <c r="C86" i="9"/>
  <c r="C93" i="9"/>
  <c r="B49" i="72"/>
  <c r="D5" i="52"/>
  <c r="D119" i="9"/>
  <c r="M65" i="9"/>
  <c r="L65" i="9"/>
  <c r="C64" i="9"/>
  <c r="C63" i="9"/>
  <c r="C67" i="9"/>
  <c r="C68" i="9"/>
  <c r="D54" i="9"/>
  <c r="F119" i="9"/>
  <c r="F5" i="52"/>
  <c r="B53" i="72"/>
  <c r="H102" i="9"/>
  <c r="C5" i="74"/>
  <c r="M66" i="9"/>
  <c r="L66" i="9"/>
  <c r="N60" i="9"/>
  <c r="N59" i="9"/>
  <c r="N61" i="9"/>
  <c r="D9" i="52"/>
  <c r="D123" i="9"/>
  <c r="C73" i="9"/>
  <c r="C78" i="9"/>
  <c r="M54" i="9"/>
  <c r="C97" i="9"/>
  <c r="D58" i="9"/>
  <c r="D56" i="9"/>
  <c r="M64" i="9"/>
  <c r="L64" i="9"/>
  <c r="H5" i="52"/>
  <c r="H119" i="9"/>
  <c r="B47" i="72"/>
  <c r="D118" i="9"/>
  <c r="D4" i="52"/>
  <c r="M67" i="9"/>
  <c r="M49" i="9"/>
  <c r="L67" i="9"/>
  <c r="E118" i="9"/>
  <c r="E4" i="52"/>
  <c r="B48" i="72"/>
  <c r="C104" i="9"/>
  <c r="H4" i="52"/>
  <c r="D13" i="53"/>
  <c r="B30" i="72"/>
  <c r="B51" i="72"/>
  <c r="F4" i="52"/>
  <c r="C72" i="9"/>
  <c r="C79" i="9"/>
  <c r="C81" i="9"/>
  <c r="B20" i="72"/>
  <c r="M48" i="9"/>
  <c r="D122" i="9"/>
  <c r="D8" i="52"/>
  <c r="I4" i="52"/>
  <c r="C105" i="9"/>
  <c r="D5" i="53"/>
  <c r="D6" i="53"/>
  <c r="B22" i="72"/>
  <c r="H107" i="9"/>
  <c r="H108" i="9"/>
  <c r="C6" i="74"/>
  <c r="D52" i="9"/>
  <c r="D53" i="9"/>
  <c r="I118" i="9"/>
  <c r="H118" i="9"/>
  <c r="H101" i="9"/>
  <c r="D45" i="9"/>
  <c r="C85" i="9"/>
  <c r="C95" i="9"/>
  <c r="C96" i="9"/>
  <c r="E96" i="9"/>
  <c r="E97" i="9"/>
  <c r="F118" i="9"/>
  <c r="G118" i="9"/>
  <c r="G4" i="52"/>
  <c r="B5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79385E99-3A27-41DF-9463-B54B4C77A3E0}">
      <text>
        <r>
          <rPr>
            <b/>
            <sz val="9"/>
            <color indexed="81"/>
            <rFont val="宋体"/>
            <family val="3"/>
            <charset val="134"/>
          </rPr>
          <t>权重验证</t>
        </r>
        <r>
          <rPr>
            <sz val="9"/>
            <color indexed="81"/>
            <rFont val="宋体"/>
            <family val="3"/>
            <charset val="134"/>
          </rPr>
          <t xml:space="preserve">
</t>
        </r>
      </text>
    </comment>
    <comment ref="C59" authorId="1" shapeId="0" xr:uid="{9A5FD0B5-C568-426A-9EE6-888CD71EF430}">
      <text>
        <r>
          <rPr>
            <b/>
            <sz val="12"/>
            <color indexed="81"/>
            <rFont val="宋体"/>
            <family val="3"/>
            <charset val="134"/>
          </rPr>
          <t>价值时点所在月度</t>
        </r>
        <r>
          <rPr>
            <sz val="12"/>
            <color indexed="81"/>
            <rFont val="宋体"/>
            <family val="3"/>
            <charset val="134"/>
          </rPr>
          <t xml:space="preserve">
</t>
        </r>
      </text>
    </comment>
    <comment ref="B103" authorId="1" shapeId="0" xr:uid="{0BA0726D-9C00-478B-BBFE-CB6D6050CB55}">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<sst xmlns="http://schemas.openxmlformats.org/spreadsheetml/2006/main" count="8247" uniqueCount="3459">
  <si>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</si>
  <si>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</si>
  <si>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</si>
  <si>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</si>
  <si>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</si>
  <si>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</si>
  <si>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</si>
  <si>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</si>
  <si>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</si>
  <si>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</si>
  <si>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</si>
  <si>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</si>
  <si>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</si>
  <si>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</si>
  <si>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</si>
  <si>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</si>
  <si>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</si>
  <si>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</si>
  <si>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</si>
  <si>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</si>
  <si>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</si>
  <si>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</si>
  <si>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</si>
  <si>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</si>
  <si>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</si>
  <si>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</si>
  <si>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</si>
  <si>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</si>
  <si>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</si>
  <si>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</si>
  <si>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</si>
  <si>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</si>
  <si>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</si>
  <si>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</si>
  <si>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</si>
  <si>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</si>
  <si>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</si>
  <si>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</si>
  <si>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</si>
  <si>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</si>
  <si>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</si>
  <si>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</si>
  <si>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</si>
  <si>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</si>
  <si>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</si>
  <si>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</si>
  <si>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</si>
  <si>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</si>
  <si>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</si>
  <si>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</si>
  <si>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</si>
  <si>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</si>
  <si>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</si>
  <si>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</si>
  <si>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</si>
  <si>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</si>
  <si>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</si>
  <si>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</si>
  <si>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</si>
  <si>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</si>
  <si>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</si>
  <si>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</si>
  <si>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</si>
  <si>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</si>
  <si>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</si>
  <si>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</si>
  <si>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</si>
  <si>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</si>
  <si>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</si>
  <si>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</si>
  <si>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</si>
  <si>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</si>
  <si>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</si>
  <si>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</si>
  <si>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</si>
  <si>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</si>
  <si>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</si>
  <si>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</si>
  <si>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</si>
  <si>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</si>
  <si>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</si>
  <si>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</si>
  <si>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</si>
  <si>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</si>
  <si>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</si>
  <si>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</si>
  <si>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</si>
  <si>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</si>
  <si>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</si>
  <si>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</si>
  <si>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</si>
  <si>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</si>
  <si>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</si>
  <si>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</si>
  <si>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</si>
  <si>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</si>
  <si>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</si>
  <si>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</si>
  <si>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</si>
  <si>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</si>
  <si>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</si>
  <si>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</si>
  <si>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</si>
  <si>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</si>
  <si>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</si>
  <si>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</si>
  <si>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</si>
  <si>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</si>
  <si>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</si>
  <si>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</si>
  <si>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</si>
  <si>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</si>
  <si>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</si>
  <si>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</si>
  <si>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</si>
  <si>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</si>
  <si>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</si>
  <si>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</si>
  <si>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</si>
  <si>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</si>
  <si>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</si>
  <si>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</si>
  <si>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</si>
  <si>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</si>
  <si>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</si>
  <si>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</si>
  <si>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</si>
  <si>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</si>
  <si>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</si>
  <si>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</si>
  <si>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</si>
  <si>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</si>
  <si>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</si>
  <si>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</si>
  <si>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</si>
  <si>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</si>
  <si>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</si>
  <si>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</si>
  <si>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</si>
  <si>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</si>
  <si>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</si>
  <si>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</si>
  <si>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</si>
  <si>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</si>
  <si>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</si>
  <si>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</si>
  <si>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</si>
  <si>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</si>
  <si>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</si>
  <si>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</si>
  <si>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</si>
  <si>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</si>
  <si>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</si>
  <si>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</si>
  <si>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</si>
  <si>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</si>
  <si>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</si>
  <si>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</si>
  <si>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</si>
  <si>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</si>
  <si>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</si>
  <si>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</si>
  <si>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</si>
  <si>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</si>
  <si>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</si>
  <si>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</si>
  <si>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</si>
  <si>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</si>
  <si>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</si>
  <si>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</si>
  <si>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</si>
  <si>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</si>
  <si>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</si>
  <si>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</si>
  <si>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</si>
  <si>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</si>
  <si>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</si>
  <si>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</si>
  <si>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</si>
  <si>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</si>
  <si>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</si>
  <si>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</si>
  <si>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</si>
  <si>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</si>
  <si>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</si>
  <si>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</si>
  <si>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</si>
  <si>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</si>
  <si>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</si>
  <si>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</si>
  <si>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</si>
  <si>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</si>
  <si>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</si>
  <si>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</si>
  <si>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</si>
  <si>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</si>
  <si>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</si>
  <si>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</si>
  <si>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</si>
  <si>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</si>
  <si>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</si>
  <si>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</si>
  <si>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</si>
  <si>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</si>
  <si>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</si>
  <si>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</si>
  <si>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</si>
  <si>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</si>
  <si>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</si>
  <si>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</si>
  <si>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</si>
  <si>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</si>
  <si>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</si>
  <si>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</si>
  <si>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</si>
  <si>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</si>
  <si>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</si>
  <si>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</si>
  <si>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</si>
  <si>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</si>
  <si>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</si>
  <si>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</si>
  <si>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</si>
  <si>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</si>
  <si>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</si>
  <si>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</si>
  <si>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</si>
  <si>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</si>
  <si>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</si>
  <si>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</si>
  <si>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</si>
  <si>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</si>
  <si>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</si>
  <si>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</si>
  <si>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</si>
  <si>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</si>
  <si>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</si>
  <si>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</si>
  <si>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</si>
  <si>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</si>
  <si>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</si>
  <si>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</si>
  <si>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</si>
  <si>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</si>
  <si>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</si>
  <si>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</si>
  <si>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</si>
  <si>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</si>
  <si>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</si>
  <si>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</si>
  <si>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</si>
  <si>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</si>
  <si>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</si>
  <si>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</si>
  <si>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</si>
  <si>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</si>
  <si>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</si>
  <si>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</si>
  <si>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</si>
  <si>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</si>
  <si>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</si>
  <si>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</si>
  <si>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</si>
  <si>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</si>
  <si>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</si>
  <si>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</si>
  <si>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</si>
  <si>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</si>
  <si>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</si>
  <si>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</si>
  <si>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</si>
  <si>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</si>
  <si>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</si>
  <si>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</si>
  <si>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</si>
  <si>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</si>
  <si>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</si>
  <si>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</si>
  <si>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</si>
  <si>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</si>
  <si>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</si>
  <si>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</si>
  <si>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</si>
  <si>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</si>
  <si>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</si>
  <si>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</si>
  <si>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</si>
  <si>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</si>
  <si>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</si>
  <si>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</si>
  <si>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</si>
  <si>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</si>
  <si>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</si>
  <si>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</si>
  <si>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</si>
  <si>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</si>
  <si>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</si>
  <si>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</si>
  <si>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</si>
  <si>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</si>
  <si>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</si>
  <si>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</si>
  <si>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</si>
  <si>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</si>
  <si>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</si>
  <si>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</si>
  <si>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</si>
  <si>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</si>
  <si>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</si>
  <si>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</si>
  <si>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</si>
  <si>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</si>
  <si>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</si>
  <si>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</si>
  <si>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</si>
  <si>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</si>
  <si>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</si>
  <si>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</si>
  <si>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</si>
  <si>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</si>
  <si>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</si>
  <si>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</si>
  <si>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</si>
  <si>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</si>
  <si>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</si>
  <si>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</si>
  <si>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</si>
  <si>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</si>
  <si>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</si>
  <si>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</si>
  <si>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</si>
  <si>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</si>
  <si>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</si>
  <si>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</si>
  <si>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</si>
  <si>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</si>
  <si>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</si>
  <si>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</si>
  <si>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</si>
  <si>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</si>
  <si>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</si>
  <si>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</si>
  <si>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</si>
  <si>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</si>
  <si>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</si>
  <si>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</si>
  <si>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</si>
  <si>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</si>
  <si>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</si>
  <si>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</si>
  <si>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</si>
  <si>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</si>
  <si>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</si>
  <si>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</si>
  <si>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</si>
  <si>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</si>
  <si>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</si>
  <si>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</si>
  <si>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</si>
  <si>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</si>
  <si>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</si>
  <si>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</si>
  <si>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</si>
  <si>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</si>
  <si>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</si>
  <si>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</si>
  <si>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</si>
  <si>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</si>
  <si>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</si>
  <si>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</si>
  <si>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</si>
  <si>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</si>
  <si>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</si>
  <si>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</si>
  <si>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</si>
  <si>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</si>
  <si>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</si>
  <si>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</si>
  <si>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</si>
  <si>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</si>
  <si>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</si>
  <si>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</si>
  <si>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</si>
  <si>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</si>
  <si>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</si>
  <si>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</si>
  <si>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</si>
  <si>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</si>
  <si>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</si>
  <si>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</si>
  <si>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</si>
  <si>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</si>
  <si>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</si>
  <si>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</si>
  <si>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</si>
  <si>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</si>
  <si>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</si>
  <si>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</si>
  <si>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</si>
  <si>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</si>
  <si>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</si>
  <si>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</si>
  <si>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</si>
  <si>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</si>
  <si>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</si>
  <si>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</si>
  <si>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</si>
  <si>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</si>
  <si>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</si>
  <si>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</si>
  <si>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</si>
  <si>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</si>
  <si>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</si>
  <si>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</si>
  <si>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</si>
  <si>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</si>
  <si>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</si>
  <si>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</si>
  <si>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</si>
  <si>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</si>
  <si>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</si>
  <si>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</si>
  <si>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</si>
  <si>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</si>
  <si>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</si>
  <si>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</si>
  <si>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</si>
  <si>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</si>
  <si>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</si>
  <si>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</si>
  <si>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</si>
  <si>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</si>
  <si>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</si>
  <si>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</si>
  <si>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</si>
  <si>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</si>
  <si>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</si>
  <si>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</si>
  <si>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</si>
  <si>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</si>
  <si>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</si>
  <si>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</si>
  <si>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</si>
  <si>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</si>
  <si>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</si>
  <si>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</si>
  <si>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</si>
  <si>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</si>
  <si>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</si>
  <si>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</si>
  <si>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</si>
  <si>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</si>
  <si>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</si>
  <si>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</si>
  <si>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</si>
  <si>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</si>
  <si>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</si>
  <si>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</si>
  <si>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</si>
  <si>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</si>
  <si>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</si>
  <si>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</si>
  <si>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</si>
  <si>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</si>
  <si>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</si>
  <si>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</si>
  <si>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</si>
  <si>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</si>
  <si>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</si>
  <si>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</si>
  <si>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</si>
  <si>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</si>
  <si>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</si>
  <si>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</si>
  <si>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</si>
  <si>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</si>
  <si>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</si>
  <si>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</si>
  <si>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</si>
  <si>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</si>
  <si>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</si>
  <si>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</si>
  <si>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</si>
  <si>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</si>
  <si>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</si>
  <si>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</si>
  <si>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</si>
  <si>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</si>
  <si>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</si>
  <si>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</si>
  <si>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</si>
  <si>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</si>
  <si>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</si>
  <si>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</si>
  <si>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</si>
  <si>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</si>
  <si>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</si>
  <si>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</si>
  <si>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</si>
  <si>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</si>
  <si>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</si>
  <si>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</si>
  <si>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</si>
  <si>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</si>
  <si>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</si>
  <si>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</si>
  <si>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</si>
  <si>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</si>
  <si>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</si>
  <si>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</si>
  <si>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</si>
  <si>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</si>
  <si>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</si>
  <si>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</si>
  <si>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</si>
  <si>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</si>
  <si>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</si>
  <si>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</si>
  <si>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</si>
  <si>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</si>
  <si>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</si>
  <si>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</si>
  <si>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</si>
  <si>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</si>
  <si>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</si>
  <si>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</si>
  <si>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</si>
  <si>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</si>
  <si>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</si>
  <si>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</si>
  <si>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</si>
  <si>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</si>
  <si>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</si>
  <si>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</si>
  <si>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</si>
  <si>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</si>
  <si>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</si>
  <si>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</si>
  <si>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</si>
  <si>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</si>
  <si>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</si>
  <si>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</si>
  <si>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</si>
  <si>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</si>
  <si>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</si>
  <si>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</si>
  <si>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</si>
  <si>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</si>
  <si>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</si>
  <si>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</si>
  <si>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</si>
  <si>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</si>
  <si>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</si>
  <si>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</si>
  <si>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</si>
  <si>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</si>
  <si>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</si>
  <si>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</si>
  <si>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</si>
  <si>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</si>
  <si>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</si>
  <si>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</si>
  <si>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</si>
  <si>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</si>
  <si>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</si>
  <si>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</si>
  <si>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</si>
  <si>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</si>
  <si>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</si>
  <si>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</si>
  <si>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</si>
  <si>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</si>
  <si>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</si>
  <si>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</si>
  <si>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</si>
  <si>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</si>
  <si>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</si>
  <si>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</si>
  <si>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</si>
  <si>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</si>
  <si>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</si>
  <si>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</si>
  <si>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</si>
  <si>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</si>
  <si>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</si>
  <si>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</si>
  <si>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</si>
  <si>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</si>
  <si>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</si>
  <si>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</si>
  <si>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</si>
  <si>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</si>
  <si>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</si>
  <si>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</si>
  <si>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</si>
  <si>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</si>
  <si>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</si>
  <si>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</si>
  <si>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</si>
  <si>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</si>
  <si>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</si>
  <si>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</si>
  <si>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</si>
  <si>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</si>
  <si>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</si>
  <si>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</si>
  <si>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</si>
  <si>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</si>
  <si>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</si>
  <si>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</si>
  <si>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</si>
  <si>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</si>
  <si>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</si>
  <si>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</si>
  <si>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</si>
  <si>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</si>
  <si>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</si>
  <si>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</si>
  <si>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</si>
  <si>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</si>
  <si>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</si>
  <si>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</si>
  <si>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</si>
  <si>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</si>
  <si>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</si>
  <si>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</si>
  <si>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</si>
  <si>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</si>
  <si>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</si>
  <si>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</si>
  <si>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</si>
  <si>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</si>
  <si>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</si>
  <si>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</si>
  <si>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</si>
  <si>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</si>
  <si>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</si>
  <si>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</si>
  <si>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</si>
  <si>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</si>
  <si>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</si>
  <si>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</si>
  <si>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</si>
  <si>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</si>
  <si>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</si>
  <si>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</si>
  <si>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</si>
  <si>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</si>
  <si>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</si>
  <si>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</si>
  <si>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</si>
  <si>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</si>
  <si>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</si>
  <si>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</si>
  <si>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</si>
  <si>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</si>
  <si>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</si>
  <si>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</si>
  <si>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</si>
  <si>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</si>
  <si>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</si>
  <si>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</si>
  <si>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</si>
  <si>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</si>
  <si>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</si>
  <si>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</si>
  <si>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</si>
  <si>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</si>
  <si>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</si>
  <si>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</si>
  <si>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</si>
  <si>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</si>
  <si>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</si>
  <si>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</si>
  <si>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</si>
  <si>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</si>
  <si>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</si>
  <si>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</si>
  <si>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</si>
  <si>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</si>
  <si>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</si>
  <si>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</si>
  <si>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</si>
  <si>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</si>
  <si>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</si>
  <si>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</si>
  <si>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</si>
  <si>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</si>
  <si>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</si>
  <si>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</si>
  <si>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</si>
  <si>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</si>
  <si>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</si>
  <si>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</si>
  <si>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</si>
  <si>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</si>
  <si>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</si>
  <si>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</si>
  <si>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</si>
  <si>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</si>
  <si>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</si>
  <si>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</si>
  <si>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</si>
  <si>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</si>
  <si>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</si>
  <si>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</si>
  <si>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</si>
  <si>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</si>
  <si>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</si>
  <si>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</si>
  <si>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</si>
  <si>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</si>
  <si>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</si>
  <si>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</si>
  <si>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</si>
  <si>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</si>
  <si>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</si>
  <si>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</si>
  <si>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</si>
  <si>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</si>
  <si>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</si>
  <si>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</si>
  <si>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</si>
  <si>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</si>
  <si>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</si>
  <si>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</si>
  <si>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</si>
  <si>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</si>
  <si>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</si>
  <si>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</si>
  <si>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</si>
  <si>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</si>
  <si>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</si>
  <si>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</si>
  <si>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</si>
  <si>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</si>
  <si>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</si>
  <si>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</si>
  <si>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</si>
  <si>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</si>
  <si>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</si>
  <si>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</si>
  <si>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</si>
  <si>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</si>
  <si>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</si>
  <si>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</si>
  <si>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</si>
  <si>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</si>
  <si>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</si>
  <si>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</si>
  <si>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</si>
  <si>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</si>
  <si>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</si>
  <si>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</si>
  <si>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</si>
  <si>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</si>
  <si>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</si>
  <si>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</si>
  <si>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</si>
  <si>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</si>
  <si>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</si>
  <si>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</si>
  <si>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</si>
  <si>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</si>
  <si>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</si>
  <si>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</si>
  <si>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</si>
  <si>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</si>
  <si>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</si>
  <si>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</si>
  <si>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</si>
  <si>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</si>
  <si>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</si>
  <si>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</si>
  <si>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</si>
  <si>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</si>
  <si>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</si>
  <si>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</si>
  <si>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</si>
  <si>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</si>
  <si>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</si>
  <si>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</si>
  <si>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</si>
  <si>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</si>
  <si>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</si>
  <si>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</si>
  <si>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</si>
  <si>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</si>
  <si>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</si>
  <si>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</si>
  <si>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</si>
  <si>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</si>
  <si>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</si>
  <si>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</si>
  <si>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</si>
  <si>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</si>
  <si>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</si>
  <si>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</si>
  <si>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</si>
  <si>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</si>
  <si>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</si>
  <si>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</si>
  <si>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</si>
  <si>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</si>
  <si>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</si>
  <si>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</si>
  <si>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</si>
  <si>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</si>
  <si>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</si>
  <si>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</si>
  <si>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</si>
  <si>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</si>
  <si>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</si>
  <si>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</si>
  <si>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</si>
  <si>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</si>
  <si>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</si>
  <si>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</si>
  <si>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</si>
  <si>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</si>
  <si>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</si>
  <si>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</si>
  <si>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</si>
  <si>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</si>
  <si>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</si>
  <si>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</si>
  <si>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</si>
  <si>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</si>
  <si>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</si>
  <si>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</si>
  <si>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</si>
  <si>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</si>
  <si>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</si>
  <si>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</si>
  <si>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</si>
  <si>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</si>
  <si>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</si>
  <si>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</si>
  <si>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</si>
  <si>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</si>
  <si>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</si>
  <si>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</si>
  <si>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</si>
  <si>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</si>
  <si>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</si>
  <si>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</si>
  <si>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</si>
  <si>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</si>
  <si>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</si>
  <si>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</si>
  <si>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</si>
  <si>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</si>
  <si>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</si>
  <si>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</si>
  <si>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</si>
  <si>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</si>
  <si>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</si>
  <si>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</si>
  <si>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</si>
  <si>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</si>
  <si>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</si>
  <si>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</si>
  <si>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</si>
  <si>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</si>
  <si>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</si>
  <si>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</si>
  <si>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</si>
  <si>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</si>
  <si>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</si>
  <si>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</si>
  <si>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</si>
  <si>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</si>
  <si>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</si>
  <si>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</si>
  <si>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</si>
  <si>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</si>
  <si>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</si>
  <si>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</si>
  <si>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</si>
  <si>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</si>
  <si>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</si>
  <si>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</si>
  <si>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</si>
  <si>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</si>
  <si>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</si>
  <si>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</si>
  <si>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</si>
  <si>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</si>
  <si>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</si>
  <si>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</si>
  <si>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</si>
  <si>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</si>
  <si>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</si>
  <si>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</si>
  <si>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</si>
  <si>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</si>
  <si>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</si>
  <si>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</si>
  <si>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</si>
  <si>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</si>
  <si>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</si>
  <si>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</si>
  <si>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</si>
  <si>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</si>
  <si>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</si>
  <si>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</si>
  <si>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</si>
  <si>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</si>
  <si>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</si>
  <si>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</si>
  <si>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</si>
  <si>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</si>
  <si>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</si>
  <si>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</si>
  <si>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</si>
  <si>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</si>
  <si>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</si>
  <si>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</si>
  <si>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</si>
  <si>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</si>
  <si>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</si>
  <si>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</si>
  <si>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</si>
  <si>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</si>
  <si>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</si>
  <si>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</si>
  <si>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</si>
  <si>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</si>
  <si>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</si>
  <si>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</si>
  <si>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</si>
  <si>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</si>
  <si>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</si>
  <si>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</si>
  <si>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</si>
  <si>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</si>
  <si>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</si>
  <si>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</si>
  <si>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</si>
  <si>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</si>
  <si>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</si>
  <si>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</si>
  <si>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</si>
  <si>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</si>
  <si>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</si>
  <si>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</si>
  <si>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</si>
  <si>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</si>
  <si>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</si>
  <si>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</si>
  <si>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</si>
  <si>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</si>
  <si>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</si>
  <si>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</si>
  <si>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</si>
  <si>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</si>
  <si>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</si>
  <si>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</si>
  <si>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</si>
  <si>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</si>
  <si>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</si>
  <si>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</si>
  <si>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</si>
  <si>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</si>
  <si>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</si>
  <si>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</si>
  <si>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</si>
  <si>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</si>
  <si>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</si>
  <si>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</si>
  <si>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</si>
  <si>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</si>
  <si>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</si>
  <si>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</si>
  <si>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</si>
  <si>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</si>
  <si>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</si>
  <si>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</si>
  <si>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</si>
  <si>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</si>
  <si>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</si>
  <si>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</si>
  <si>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</si>
  <si>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</si>
  <si>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</si>
  <si>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</si>
  <si>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</si>
  <si>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</si>
  <si>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</si>
  <si>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</si>
  <si>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</si>
  <si>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</si>
  <si>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</si>
  <si>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</si>
  <si>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</si>
  <si>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</si>
  <si>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</si>
  <si>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</si>
  <si>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</si>
  <si>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</si>
  <si>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</si>
  <si>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</si>
  <si>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</si>
  <si>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</si>
  <si>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</si>
  <si>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</si>
  <si>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</si>
  <si>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</si>
  <si>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</si>
  <si>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</si>
  <si>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</si>
  <si>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</si>
  <si>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</si>
  <si>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</si>
  <si>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</si>
  <si>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</si>
  <si>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</si>
  <si>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</si>
  <si>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</si>
  <si>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</si>
  <si>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</si>
  <si>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</si>
  <si>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</si>
  <si>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</si>
  <si>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</si>
  <si>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</si>
  <si>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</si>
  <si>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</si>
  <si>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</si>
  <si>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</si>
  <si>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</si>
  <si>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</si>
  <si>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</si>
  <si>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</si>
  <si>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</si>
  <si>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</si>
  <si>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</si>
  <si>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</si>
  <si>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</si>
  <si>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</si>
  <si>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</si>
  <si>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</si>
  <si>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</si>
  <si>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</si>
  <si>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</si>
  <si>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</si>
  <si>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</si>
  <si>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</si>
  <si>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</si>
  <si>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</si>
  <si>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</si>
  <si>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</si>
  <si>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</si>
  <si>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</si>
  <si>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</si>
  <si>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</si>
  <si>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</si>
  <si>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</si>
  <si>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</si>
  <si>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</si>
  <si>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</si>
  <si>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</si>
  <si>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</si>
  <si>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</si>
  <si>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</si>
  <si>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</si>
  <si>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</si>
  <si>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</si>
  <si>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</si>
  <si>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</si>
  <si>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</si>
  <si>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</si>
  <si>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</si>
  <si>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</si>
  <si>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</si>
  <si>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</si>
  <si>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</si>
  <si>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</si>
  <si>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</si>
  <si>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</si>
  <si>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</si>
  <si>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</si>
  <si>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</si>
  <si>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</si>
  <si>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</si>
  <si>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</si>
  <si>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</si>
  <si>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</si>
  <si>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</si>
  <si>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</si>
  <si>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</si>
  <si>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</si>
  <si>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</si>
  <si>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</si>
  <si>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</si>
  <si>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</si>
  <si>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</si>
  <si>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</si>
  <si>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</si>
  <si>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</si>
  <si>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</si>
  <si>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</si>
  <si>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</si>
  <si>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</si>
  <si>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</si>
  <si>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</si>
  <si>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</si>
  <si>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</si>
  <si>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</si>
  <si>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</si>
  <si>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</si>
  <si>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</si>
  <si>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</si>
  <si>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</si>
  <si>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</si>
  <si>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</si>
  <si>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</si>
  <si>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</si>
  <si>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</si>
  <si>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</si>
  <si>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</si>
  <si>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</si>
  <si>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</si>
  <si>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</si>
  <si>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</si>
  <si>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</si>
  <si>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</si>
  <si>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</si>
  <si>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</si>
  <si>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</si>
  <si>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</si>
  <si>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</si>
  <si>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</si>
  <si>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</si>
  <si>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</si>
  <si>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</si>
  <si>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</si>
  <si>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</si>
  <si>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</si>
  <si>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</si>
  <si>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</si>
  <si>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</si>
  <si>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</si>
  <si>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</si>
  <si>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</si>
  <si>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</si>
  <si>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</si>
  <si>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</si>
  <si>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</si>
  <si>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</si>
  <si>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</si>
  <si>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</si>
  <si>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</si>
  <si>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</si>
  <si>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</si>
  <si>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</si>
  <si>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</si>
  <si>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</si>
  <si>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</si>
  <si>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</si>
  <si>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</si>
  <si>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</si>
  <si>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</si>
  <si>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</si>
  <si>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</si>
  <si>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</si>
  <si>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</si>
  <si>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</si>
  <si>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</si>
  <si>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</si>
  <si>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</si>
  <si>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</si>
  <si>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</si>
  <si>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</si>
  <si>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</si>
  <si>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</si>
  <si>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</si>
  <si>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</si>
  <si>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</si>
  <si>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</si>
  <si>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</si>
  <si>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</si>
  <si>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</si>
  <si>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</si>
  <si>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</si>
  <si>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</si>
  <si>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</si>
  <si>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</si>
  <si>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</si>
  <si>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</si>
  <si>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</si>
  <si>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</si>
  <si>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</si>
  <si>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</si>
  <si>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</si>
  <si>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</si>
  <si>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</si>
  <si>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</si>
  <si>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</si>
  <si>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</si>
  <si>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</si>
  <si>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</si>
  <si>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</si>
  <si>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</si>
  <si>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</si>
  <si>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</si>
  <si>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</si>
  <si>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</si>
  <si>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</si>
  <si>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</si>
  <si>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</si>
  <si>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</si>
  <si>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</si>
  <si>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</si>
  <si>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</si>
  <si>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</si>
  <si>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</si>
  <si>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</si>
  <si>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</si>
  <si>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</si>
  <si>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</si>
  <si>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</si>
  <si>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</si>
  <si>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</si>
  <si>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</si>
  <si>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</si>
  <si>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</si>
  <si>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</si>
  <si>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</si>
  <si>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</si>
  <si>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</si>
  <si>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</si>
  <si>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</si>
  <si>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</si>
  <si>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</si>
  <si>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</si>
  <si>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</si>
  <si>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</si>
  <si>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</si>
  <si>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</si>
  <si>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</si>
  <si>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</si>
  <si>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</si>
  <si>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</si>
  <si>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</si>
  <si>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</si>
  <si>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</si>
  <si>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</si>
  <si>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</si>
  <si>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</si>
  <si>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</si>
  <si>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</si>
  <si>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</si>
  <si>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</si>
  <si>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</si>
  <si>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</si>
  <si>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</si>
  <si>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</si>
  <si>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</si>
  <si>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</si>
  <si>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</si>
  <si>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</si>
  <si>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</si>
  <si>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</si>
  <si>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</si>
  <si>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</si>
  <si>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</si>
  <si>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</si>
  <si>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</si>
  <si>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</si>
  <si>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</si>
  <si>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</si>
  <si>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</si>
  <si>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</si>
  <si>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</si>
  <si>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</si>
  <si>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</si>
  <si>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</si>
  <si>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</si>
  <si>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</si>
  <si>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</si>
  <si>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</si>
  <si>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</si>
  <si>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</si>
  <si>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</si>
  <si>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</si>
  <si>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</si>
  <si>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</si>
  <si>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</si>
  <si>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</si>
  <si>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</si>
  <si>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</si>
  <si>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</si>
  <si>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</si>
  <si>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</si>
  <si>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</si>
  <si>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</si>
  <si>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</si>
  <si>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</si>
  <si>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</si>
  <si>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</si>
  <si>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</si>
  <si>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</si>
  <si>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</si>
  <si>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</si>
  <si>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</si>
  <si>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</si>
  <si>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</si>
  <si>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</si>
  <si>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</si>
  <si>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</si>
  <si>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</si>
  <si>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</si>
  <si>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</si>
  <si>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</si>
  <si>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</si>
  <si>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</si>
  <si>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</si>
  <si>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</si>
  <si>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</si>
  <si>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</si>
  <si>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</si>
  <si>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</si>
  <si>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</si>
  <si>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</si>
  <si>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</si>
  <si>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</si>
  <si>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</si>
  <si>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</si>
  <si>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</si>
  <si>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</si>
  <si>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</si>
  <si>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</si>
  <si>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</si>
  <si>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</si>
  <si>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</si>
  <si>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</si>
  <si>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</si>
  <si>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</si>
  <si>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</si>
  <si>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</si>
  <si>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</si>
  <si>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</si>
  <si>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</si>
  <si>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</si>
  <si>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</si>
  <si>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</si>
  <si>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</si>
  <si>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</si>
  <si>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</si>
  <si>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</si>
  <si>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</si>
  <si>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</si>
  <si>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</si>
  <si>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</si>
  <si>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</si>
  <si>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</si>
  <si>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</si>
  <si>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</si>
  <si>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</si>
  <si>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</si>
  <si>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</si>
  <si>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</si>
  <si>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</si>
  <si>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</si>
  <si>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</si>
  <si>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</si>
  <si>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</si>
  <si>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</si>
  <si>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</si>
  <si>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</si>
  <si>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</si>
  <si>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</si>
  <si>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</si>
  <si>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</si>
  <si>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</si>
  <si>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</si>
  <si>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</si>
  <si>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</si>
  <si>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</si>
  <si>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</si>
  <si>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</si>
  <si>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</si>
  <si>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</si>
  <si>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</si>
  <si>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</si>
  <si>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</si>
  <si>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</si>
  <si>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</si>
  <si>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</si>
  <si>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</si>
  <si>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</si>
  <si>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</si>
  <si>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</si>
  <si>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</si>
  <si>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</si>
  <si>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</si>
  <si>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</si>
  <si>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</si>
  <si>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</si>
  <si>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</si>
  <si>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</si>
  <si>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</si>
  <si>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</si>
  <si>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</si>
  <si>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</si>
  <si>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</si>
  <si>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</si>
  <si>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</si>
  <si>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</si>
  <si>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</si>
  <si>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</si>
  <si>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</si>
  <si>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</si>
  <si>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</si>
  <si>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</si>
  <si>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</si>
  <si>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</si>
  <si>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</si>
  <si>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</si>
  <si>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</si>
  <si>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</si>
  <si>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</si>
  <si>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</si>
  <si>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</si>
  <si>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</si>
  <si>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</si>
  <si>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</si>
  <si>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</si>
  <si>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</si>
  <si>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</si>
  <si>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</si>
  <si>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</si>
  <si>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</si>
  <si>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</si>
  <si>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</si>
  <si>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</si>
  <si>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</si>
  <si>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</si>
  <si>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</si>
  <si>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</si>
  <si>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</si>
  <si>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</si>
  <si>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</si>
  <si>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</si>
  <si>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</si>
  <si>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</si>
  <si>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</si>
  <si>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</si>
  <si>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</si>
  <si>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</si>
  <si>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</si>
  <si>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</si>
  <si>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</si>
  <si>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</si>
  <si>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</si>
  <si>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</si>
  <si>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</si>
  <si>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</si>
  <si>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</si>
  <si>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</si>
  <si>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</si>
  <si>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</si>
  <si>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</si>
  <si>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</si>
  <si>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</si>
  <si>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</si>
  <si>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</si>
  <si>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</si>
  <si>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</si>
  <si>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</si>
  <si>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</si>
  <si>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</si>
  <si>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</si>
  <si>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</si>
  <si>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</si>
  <si>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</si>
  <si>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</si>
  <si>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</si>
  <si>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</si>
  <si>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</si>
  <si>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</si>
  <si>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</si>
  <si>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</si>
  <si>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</si>
  <si>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</si>
  <si>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</si>
  <si>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</si>
  <si>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</si>
  <si>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</si>
  <si>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</si>
  <si>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</si>
  <si>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</si>
  <si>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</si>
  <si>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</si>
  <si>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</si>
  <si>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</si>
  <si>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</si>
  <si>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</si>
  <si>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</si>
  <si>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</si>
  <si>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</si>
  <si>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</si>
  <si>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</si>
  <si>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</si>
  <si>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</si>
  <si>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</si>
  <si>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</si>
  <si>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</si>
  <si>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</si>
  <si>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</si>
  <si>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</si>
  <si>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</si>
  <si>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</si>
  <si>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</si>
  <si>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</si>
  <si>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</si>
  <si>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</si>
  <si>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</si>
  <si>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</si>
  <si>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</si>
  <si>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</si>
  <si>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</si>
  <si>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</si>
  <si>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</si>
  <si>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</si>
  <si>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</si>
  <si>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</si>
  <si>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</si>
  <si>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</si>
  <si>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</si>
  <si>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</si>
  <si>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</si>
  <si>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</si>
  <si>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</si>
  <si>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</si>
  <si>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</si>
  <si>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</si>
  <si>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</si>
  <si>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</si>
  <si>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</si>
  <si>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</si>
  <si>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</si>
  <si>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</si>
  <si>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</si>
  <si>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</si>
  <si>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</si>
  <si>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</si>
  <si>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</si>
  <si>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</si>
  <si>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</si>
  <si>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</si>
  <si>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</si>
  <si>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</si>
  <si>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</si>
  <si>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</si>
  <si>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</si>
  <si>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</si>
  <si>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</si>
  <si>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</si>
  <si>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</si>
  <si>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</si>
  <si>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</si>
  <si>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</si>
  <si>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</si>
  <si>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</si>
  <si>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</si>
  <si>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</si>
  <si>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</si>
  <si>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</si>
  <si>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</si>
  <si>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</si>
  <si>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</si>
  <si>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</si>
  <si>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</si>
  <si>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</si>
  <si>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</si>
  <si>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</si>
  <si>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</si>
  <si>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</si>
  <si>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</si>
  <si>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</si>
  <si>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</si>
  <si>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</si>
  <si>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</si>
  <si>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</si>
  <si>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</si>
  <si>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</si>
  <si>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</si>
  <si>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</si>
  <si>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</si>
  <si>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</si>
  <si>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</si>
  <si>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</si>
  <si>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</si>
  <si>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</si>
  <si>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</si>
  <si>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</si>
  <si>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</si>
  <si>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</si>
  <si>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</si>
  <si>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</si>
  <si>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</si>
  <si>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</si>
  <si>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</si>
  <si>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</si>
  <si>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</si>
  <si>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</si>
  <si>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</si>
  <si>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</si>
  <si>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</si>
  <si>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</si>
  <si>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</si>
  <si>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</si>
  <si>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</si>
  <si>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</si>
  <si>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</si>
  <si>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</si>
  <si>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</si>
  <si>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</si>
  <si>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</si>
  <si>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</si>
  <si>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</si>
  <si>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</si>
  <si>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</si>
  <si>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</si>
  <si>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</si>
  <si>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</si>
  <si>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</si>
  <si>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</si>
  <si>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</si>
  <si>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</si>
  <si>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</si>
  <si>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</si>
  <si>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</si>
  <si>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</si>
  <si>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</si>
  <si>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</si>
  <si>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</si>
  <si>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</si>
  <si>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</si>
  <si>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</si>
  <si>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</si>
  <si>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</si>
  <si>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</si>
  <si>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</si>
  <si>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</si>
  <si>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</si>
  <si>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</si>
  <si>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</si>
  <si>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</si>
  <si>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</si>
  <si>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</si>
  <si>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</si>
  <si>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</si>
  <si>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</si>
  <si>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</si>
  <si>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</si>
  <si>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</si>
  <si>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</si>
  <si>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</si>
  <si>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</si>
  <si>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</si>
  <si>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</si>
  <si>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</si>
  <si>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</si>
  <si>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</si>
  <si>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</si>
  <si>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</si>
  <si>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</si>
  <si>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</si>
  <si>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</si>
  <si>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</si>
  <si>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</si>
  <si>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</si>
  <si>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</si>
  <si>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</si>
  <si>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</si>
  <si>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</si>
  <si>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</si>
  <si>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</si>
  <si>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</si>
  <si>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</si>
  <si>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</si>
  <si>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</si>
  <si>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</si>
  <si>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</si>
  <si>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</si>
  <si>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</si>
  <si>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</si>
  <si>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</si>
  <si>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</si>
  <si>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</si>
  <si>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</si>
  <si>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</si>
  <si>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</si>
  <si>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</si>
  <si>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</si>
  <si>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</si>
  <si>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</si>
  <si>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</si>
  <si>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</si>
  <si>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</si>
  <si>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</si>
  <si>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</si>
  <si>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</si>
  <si>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</si>
  <si>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</si>
  <si>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</si>
  <si>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</si>
  <si>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</si>
  <si>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</si>
  <si>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</si>
  <si>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</si>
  <si>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</si>
  <si>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</si>
  <si>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</si>
  <si>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</si>
  <si>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</si>
  <si>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</si>
  <si>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</si>
  <si>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</si>
  <si>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</si>
  <si>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</si>
  <si>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</si>
  <si>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</si>
  <si>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</si>
  <si>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</si>
  <si>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</si>
  <si>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</si>
  <si>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</si>
  <si>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</si>
  <si>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</si>
  <si>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</si>
  <si>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</si>
  <si>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</si>
  <si>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</si>
  <si>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</si>
  <si>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</si>
  <si>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</si>
  <si>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</si>
  <si>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</si>
  <si>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</si>
  <si>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</si>
  <si>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</si>
  <si>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</si>
  <si>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</si>
  <si>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</si>
  <si>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</si>
  <si>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</si>
  <si>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</si>
  <si>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</si>
  <si>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</si>
  <si>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</si>
  <si>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</si>
  <si>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</si>
  <si>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</si>
  <si>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</si>
  <si>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</si>
  <si>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</si>
  <si>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</si>
  <si>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</si>
  <si>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</si>
  <si>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</si>
  <si>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</si>
  <si>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</si>
  <si>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</si>
  <si>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</si>
  <si>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</si>
  <si>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</si>
  <si>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</si>
  <si>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</si>
  <si>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</si>
  <si>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</si>
  <si>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</si>
  <si>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</si>
  <si>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</si>
  <si>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</si>
  <si>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</si>
  <si>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</si>
  <si>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</si>
  <si>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</si>
  <si>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</si>
  <si>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</si>
  <si>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</si>
  <si>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</si>
  <si>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</si>
  <si>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</si>
  <si>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</si>
  <si>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</si>
  <si>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</si>
  <si>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</si>
  <si>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</si>
  <si>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</si>
  <si>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</si>
  <si>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</si>
  <si>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</si>
  <si>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</si>
  <si>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</si>
  <si>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</si>
  <si>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</si>
  <si>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</si>
  <si>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</si>
  <si>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</si>
  <si>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</si>
  <si>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</si>
  <si>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</si>
  <si>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</si>
  <si>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</si>
  <si>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</si>
  <si>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</si>
  <si>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</si>
  <si>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</si>
  <si>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</si>
  <si>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</si>
  <si>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</si>
  <si>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</si>
  <si>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</si>
  <si>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</si>
  <si>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</si>
  <si>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</si>
  <si>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</si>
  <si>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</si>
  <si>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</si>
  <si>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</si>
  <si>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</si>
  <si>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</si>
  <si>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</si>
  <si>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</si>
  <si>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</si>
  <si>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</si>
  <si>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</si>
  <si>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</si>
  <si>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</si>
  <si>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</si>
  <si>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</si>
  <si>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</si>
  <si>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</si>
  <si>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</si>
  <si>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</si>
  <si>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</si>
  <si>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</si>
  <si>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</si>
  <si>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</si>
  <si>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</si>
  <si>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</si>
  <si>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</si>
  <si>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</si>
  <si>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</si>
  <si>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</si>
  <si>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</si>
  <si>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</si>
  <si>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</si>
  <si>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</si>
  <si>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</si>
  <si>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</si>
  <si>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</si>
  <si>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</si>
  <si>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</si>
  <si>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</si>
  <si>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</si>
  <si>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</si>
  <si>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</si>
  <si>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</si>
  <si>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</si>
  <si>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</si>
  <si>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</si>
  <si>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</si>
  <si>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</si>
  <si>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</si>
  <si>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</si>
  <si>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</si>
  <si>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</si>
  <si>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</si>
  <si>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</si>
  <si>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</si>
  <si>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</si>
  <si>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</si>
  <si>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</si>
  <si>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</si>
  <si>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</si>
  <si>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</si>
  <si>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</si>
  <si>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</si>
  <si>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</si>
  <si>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</si>
  <si>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</si>
  <si>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</si>
  <si>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</si>
  <si>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</si>
  <si>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</si>
  <si>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</si>
  <si>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</si>
  <si>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</si>
  <si>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</si>
  <si>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</si>
  <si>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</si>
  <si>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</si>
  <si>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</si>
  <si>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</si>
  <si>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</si>
  <si>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</si>
  <si>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</si>
  <si>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</si>
  <si>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</si>
  <si>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</si>
  <si>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</si>
  <si>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</si>
  <si>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</si>
  <si>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</si>
  <si>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</si>
  <si>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</si>
  <si>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</si>
  <si>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</si>
  <si>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</si>
  <si>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</si>
  <si>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</si>
  <si>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</si>
  <si>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</si>
  <si>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</si>
  <si>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</si>
  <si>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</si>
  <si>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</si>
  <si>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</si>
  <si>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</si>
  <si>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</si>
  <si>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</si>
  <si>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</si>
  <si>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</si>
  <si>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</si>
  <si>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</si>
  <si>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</si>
  <si>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</si>
  <si>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</si>
  <si>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</si>
  <si>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</si>
  <si>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</si>
  <si>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</si>
  <si>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</si>
  <si>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</si>
  <si>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</si>
  <si>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</si>
  <si>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</si>
  <si>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</si>
  <si>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</si>
  <si>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</si>
  <si>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</si>
  <si>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</si>
  <si>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</si>
  <si>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</si>
  <si>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</si>
  <si>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</si>
  <si>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</si>
  <si>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</si>
  <si>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</si>
  <si>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</si>
  <si>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</si>
  <si>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</si>
  <si>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</si>
  <si>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</si>
  <si>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</si>
  <si>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</si>
  <si>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</si>
  <si>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</si>
  <si>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</si>
  <si>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</si>
  <si>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</si>
  <si>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</si>
  <si>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</si>
  <si>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</si>
  <si>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</si>
  <si>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</si>
  <si>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</si>
  <si>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</si>
  <si>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</si>
  <si>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</si>
  <si>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</si>
  <si>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</si>
  <si>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</si>
  <si>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</si>
  <si>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</si>
  <si>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</si>
  <si>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</si>
  <si>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</si>
  <si>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</si>
  <si>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</si>
  <si>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</si>
  <si>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</si>
  <si>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</si>
  <si>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</si>
  <si>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</si>
  <si>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</si>
  <si>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</si>
  <si>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</si>
  <si>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</si>
  <si>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</si>
  <si>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</si>
  <si>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</si>
  <si>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</si>
  <si>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</si>
  <si>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</si>
  <si>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</si>
  <si>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</si>
  <si>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</si>
  <si>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</si>
  <si>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</si>
  <si>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</si>
  <si>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</si>
  <si>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</si>
  <si>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</si>
  <si>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</si>
  <si>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</si>
  <si>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</si>
  <si>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</si>
  <si>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</si>
  <si>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</si>
  <si>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</si>
  <si>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</si>
  <si>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</si>
  <si>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</si>
  <si>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</si>
  <si>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</si>
  <si>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</si>
  <si>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</si>
  <si>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</si>
  <si>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</si>
  <si>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</si>
  <si>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</si>
  <si>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</si>
  <si>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</si>
  <si>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</si>
  <si>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</si>
  <si>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</si>
  <si>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</si>
  <si>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</si>
  <si>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</si>
  <si>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</si>
  <si>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</si>
  <si>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</si>
  <si>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</si>
  <si>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</si>
  <si>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</si>
  <si>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</si>
  <si>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</si>
  <si>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</si>
  <si>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</si>
  <si>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</si>
  <si>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</si>
  <si>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</si>
  <si>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</si>
  <si>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</si>
  <si>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</si>
  <si>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</si>
  <si>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</si>
  <si>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</si>
  <si>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</si>
  <si>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</si>
  <si>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</si>
  <si>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</si>
  <si>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</si>
  <si>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</si>
  <si>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</si>
  <si>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</si>
  <si>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</si>
  <si>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</si>
  <si>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</si>
  <si>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</si>
  <si>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</si>
  <si>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</si>
  <si>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</si>
  <si>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</si>
  <si>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</si>
  <si>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</si>
  <si>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</si>
  <si>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</si>
  <si>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</si>
  <si>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</si>
  <si>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</si>
  <si>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</si>
  <si>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</si>
  <si>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</si>
  <si>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</si>
  <si>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</si>
  <si>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</si>
  <si>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</si>
  <si>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</si>
  <si>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</si>
  <si>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</si>
  <si>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</si>
  <si>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</si>
  <si>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</si>
  <si>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</si>
  <si>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</si>
  <si>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</si>
  <si>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</si>
  <si>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</si>
  <si>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</si>
  <si>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</si>
  <si>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</si>
  <si>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</si>
  <si>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</si>
  <si>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</si>
  <si>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</si>
  <si>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</si>
  <si>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</si>
  <si>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</si>
  <si>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</si>
  <si>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</si>
  <si>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</si>
  <si>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</si>
  <si>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</si>
  <si>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</si>
  <si>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</si>
  <si>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</si>
  <si>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</si>
  <si>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</si>
  <si>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</si>
  <si>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</si>
  <si>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</si>
  <si>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</si>
  <si>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</si>
  <si>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</si>
  <si>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</si>
  <si>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</si>
  <si>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</si>
  <si>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</si>
  <si>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</si>
  <si>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</si>
  <si>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</si>
  <si>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</si>
  <si>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</si>
  <si>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</si>
  <si>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</si>
  <si>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</si>
  <si>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</si>
  <si>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</si>
  <si>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</si>
  <si>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</si>
  <si>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</si>
  <si>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</si>
  <si>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</si>
  <si>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</si>
  <si>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</si>
  <si>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</si>
  <si>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</si>
  <si>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</si>
  <si>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</si>
  <si>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</si>
  <si>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</si>
  <si>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</si>
  <si>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</si>
  <si>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</si>
  <si>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</si>
  <si>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</si>
  <si>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</si>
  <si>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</si>
  <si>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</si>
  <si>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</si>
  <si>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</si>
  <si>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</si>
  <si>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</si>
  <si>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</si>
  <si>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</si>
  <si>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</si>
  <si>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</si>
  <si>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</si>
  <si>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</si>
  <si>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</si>
  <si>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</si>
  <si>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</si>
  <si>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</si>
  <si>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</si>
  <si>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</si>
  <si>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</si>
  <si>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</si>
  <si>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</si>
  <si>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</si>
  <si>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</si>
  <si>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</si>
  <si>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</si>
  <si>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</si>
  <si>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</si>
  <si>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</si>
  <si>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</si>
  <si>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</si>
  <si>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</si>
  <si>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</si>
  <si>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</si>
  <si>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</si>
  <si>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</si>
  <si>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</si>
  <si>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</si>
  <si>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</si>
  <si>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</si>
  <si>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</si>
  <si>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</si>
  <si>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</si>
  <si>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</si>
  <si>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</si>
  <si>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</si>
  <si>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</si>
  <si>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</si>
  <si>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</si>
  <si>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</si>
  <si>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</si>
  <si>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</si>
  <si>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</si>
  <si>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</si>
  <si>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</si>
  <si>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</si>
  <si>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</si>
  <si>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</si>
  <si>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</si>
  <si>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</si>
  <si>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</si>
  <si>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</si>
  <si>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</si>
  <si>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</si>
  <si>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</si>
  <si>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</si>
  <si>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</si>
  <si>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</si>
  <si>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</si>
  <si>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</si>
  <si>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</si>
  <si>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</si>
  <si>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</si>
  <si>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</si>
  <si>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</si>
  <si>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</si>
  <si>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</si>
  <si>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</si>
  <si>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</si>
  <si>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</si>
  <si>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</si>
  <si>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</si>
  <si>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</si>
  <si>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</si>
  <si>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</si>
  <si>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</si>
  <si>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</si>
  <si>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</si>
  <si>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</si>
  <si>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</si>
  <si>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</si>
  <si>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</si>
  <si>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</si>
  <si>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</si>
  <si>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</si>
  <si>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</si>
  <si>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</si>
  <si>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</si>
  <si>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</si>
  <si>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</si>
  <si>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</si>
  <si>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</si>
  <si>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</si>
  <si>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</si>
  <si>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</si>
  <si>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</si>
  <si>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</si>
  <si>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</si>
  <si>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</si>
  <si>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</si>
  <si>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</si>
  <si>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</si>
  <si>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</si>
  <si>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</si>
  <si>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</si>
  <si>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</si>
  <si>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</si>
  <si>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</si>
  <si>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</si>
  <si>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</si>
  <si>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</si>
  <si>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</si>
  <si>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</si>
  <si>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</si>
  <si>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</si>
  <si>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</si>
  <si>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</si>
  <si>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</si>
  <si>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</si>
  <si>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</si>
  <si>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</si>
  <si>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</si>
  <si>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</si>
  <si>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</si>
  <si>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</si>
  <si>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</si>
  <si>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</si>
  <si>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</si>
  <si>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</si>
  <si>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</si>
  <si>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</si>
  <si>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</si>
  <si>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</si>
  <si>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</si>
  <si>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</si>
  <si>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</si>
  <si>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</si>
  <si>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</si>
  <si>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</si>
  <si>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</si>
  <si>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</si>
  <si>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</si>
  <si>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</si>
  <si>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</si>
  <si>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</si>
  <si>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</si>
  <si>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</si>
  <si>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</si>
  <si>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</si>
  <si>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</si>
  <si>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</si>
  <si>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</si>
  <si>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</si>
  <si>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</si>
  <si>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</si>
  <si>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</si>
  <si>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</si>
  <si>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</si>
  <si>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</si>
  <si>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</si>
  <si>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</si>
  <si>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</si>
  <si>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</si>
  <si>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</si>
  <si>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</si>
  <si>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</si>
  <si>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</si>
  <si>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</si>
  <si>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</si>
  <si>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</si>
  <si>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</si>
  <si>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</si>
  <si>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</si>
  <si>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</si>
  <si>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</si>
  <si>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</si>
  <si>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</si>
  <si>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</si>
  <si>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</si>
  <si>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</si>
  <si>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</si>
  <si>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</si>
  <si>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</si>
  <si>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</si>
  <si>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</si>
  <si>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</si>
  <si>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</si>
  <si>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</si>
  <si>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</si>
  <si>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</si>
  <si>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</si>
  <si>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</si>
  <si>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</si>
  <si>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</si>
  <si>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</si>
  <si>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</si>
  <si>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</si>
  <si>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</si>
  <si>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</si>
  <si>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</si>
  <si>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</si>
  <si>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</si>
  <si>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</si>
  <si>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</si>
  <si>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</si>
  <si>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</si>
  <si>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</si>
  <si>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</si>
  <si>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</si>
  <si>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</si>
  <si>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</si>
  <si>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</si>
  <si>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</si>
  <si>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</si>
  <si>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</si>
  <si>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</si>
  <si>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</si>
  <si>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</si>
  <si>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</si>
  <si>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</si>
  <si>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</si>
  <si>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</si>
  <si>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</si>
  <si>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</si>
  <si>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</si>
  <si>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</si>
  <si>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</si>
  <si>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</si>
  <si>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</si>
  <si>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</si>
  <si>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</si>
  <si>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</si>
  <si>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</si>
  <si>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</si>
  <si>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</si>
  <si>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</si>
  <si>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</si>
  <si>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</si>
  <si>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</si>
  <si>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</si>
  <si>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</si>
  <si>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</si>
  <si>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</si>
  <si>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</si>
  <si>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</si>
  <si>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</si>
  <si>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</si>
  <si>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</si>
  <si>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</si>
  <si>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</si>
  <si>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</si>
  <si>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</si>
  <si>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</si>
  <si>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</si>
  <si>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</si>
  <si>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</si>
  <si>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</si>
  <si>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</si>
  <si>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</si>
  <si>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</si>
  <si>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</si>
  <si>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</si>
  <si>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</si>
  <si>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</si>
  <si>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</si>
  <si>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</si>
  <si>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</si>
  <si>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</si>
  <si>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</si>
  <si>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</si>
  <si>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</si>
  <si>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</si>
  <si>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</si>
  <si>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</si>
  <si>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</si>
  <si>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</si>
  <si>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</si>
  <si>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</si>
  <si>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</si>
  <si>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</si>
  <si>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</si>
  <si>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</si>
  <si>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</si>
  <si>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</si>
  <si>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</si>
  <si>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</si>
  <si>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</si>
  <si>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</si>
  <si>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</si>
  <si>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</si>
  <si>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</si>
  <si>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</si>
  <si>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</si>
  <si>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</si>
  <si>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</si>
  <si>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</si>
  <si>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</si>
  <si>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</si>
  <si>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</si>
  <si>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</si>
  <si>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</si>
  <si>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</si>
  <si>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</si>
  <si>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</si>
  <si>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</si>
  <si>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</si>
  <si>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</si>
  <si>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</si>
  <si>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</si>
  <si>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</si>
  <si>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</si>
  <si>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</si>
  <si>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</si>
  <si>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</si>
  <si>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</si>
  <si>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</si>
  <si>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</si>
  <si>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</si>
  <si>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</si>
  <si>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</si>
  <si>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</si>
  <si>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</si>
  <si>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</si>
  <si>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</si>
  <si>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</si>
  <si>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</si>
  <si>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</si>
  <si>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</si>
  <si>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</si>
  <si>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</si>
  <si>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</si>
  <si>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</si>
  <si>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</si>
  <si>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</si>
  <si>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</si>
  <si>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</si>
  <si>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</si>
  <si>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</si>
  <si>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</si>
  <si>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</si>
  <si>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</si>
  <si>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</si>
  <si>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</si>
  <si>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</si>
  <si>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</si>
  <si>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</si>
  <si>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</si>
  <si>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</si>
  <si>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</si>
  <si>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</si>
  <si>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</si>
  <si>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</si>
  <si>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</si>
  <si>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</si>
  <si>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</si>
  <si>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</si>
  <si>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</si>
  <si>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</si>
  <si>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</si>
  <si>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</si>
  <si>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</si>
  <si>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</si>
  <si>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</si>
  <si>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</si>
  <si>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</si>
  <si>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</si>
  <si>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</si>
  <si>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</si>
  <si>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</si>
  <si>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</si>
  <si>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</si>
  <si>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</si>
  <si>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</si>
  <si>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</si>
  <si>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</si>
  <si>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</si>
  <si>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</si>
  <si>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</si>
  <si>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</si>
  <si>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</si>
  <si>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</si>
  <si>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</si>
  <si>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</si>
  <si>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</si>
  <si>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</si>
  <si>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</si>
  <si>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</si>
  <si>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</si>
  <si>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</si>
  <si>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</si>
  <si>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</si>
  <si>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</si>
  <si>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</si>
  <si>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</si>
  <si>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</si>
  <si>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</si>
  <si>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</si>
  <si>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</si>
  <si>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</si>
  <si>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</si>
  <si>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</si>
  <si>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</si>
  <si>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</si>
  <si>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</si>
  <si>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</si>
  <si>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</si>
  <si>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</si>
  <si>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</si>
  <si>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</si>
  <si>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</si>
  <si>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</si>
  <si>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</si>
  <si>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</si>
  <si>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</si>
  <si>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</si>
  <si>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</si>
  <si>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</si>
  <si>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</si>
  <si>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</si>
  <si>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</si>
  <si>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</si>
  <si>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</si>
  <si>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</si>
  <si>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</si>
  <si>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</si>
  <si>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</si>
  <si>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</si>
  <si>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</si>
  <si>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</si>
  <si>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</si>
  <si>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</si>
  <si>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</si>
  <si>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</si>
  <si>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</si>
  <si>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</si>
  <si>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</si>
  <si>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</si>
  <si>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</si>
  <si>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</si>
  <si>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</si>
  <si>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</si>
  <si>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</si>
  <si>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</si>
  <si>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</si>
  <si>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</si>
  <si>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</si>
  <si>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</si>
  <si>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</si>
  <si>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</si>
  <si>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</si>
  <si>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</si>
  <si>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</si>
  <si>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</si>
  <si>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</si>
  <si>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</si>
  <si>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</si>
  <si>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</si>
  <si>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</si>
  <si>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</si>
  <si>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</si>
  <si>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</si>
  <si>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</si>
  <si>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</si>
  <si>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</si>
  <si>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</si>
  <si>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</si>
  <si>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</si>
  <si>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</si>
  <si>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</si>
  <si>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</si>
  <si>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</si>
  <si>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</si>
  <si>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</si>
  <si>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</si>
  <si>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</si>
  <si>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</si>
  <si>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</si>
  <si>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</si>
  <si>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</si>
  <si>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</si>
  <si>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</si>
  <si>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</si>
  <si>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</si>
  <si>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</si>
  <si>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</si>
  <si>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</si>
  <si>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</si>
  <si>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</si>
  <si>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</si>
  <si>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</si>
  <si>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</si>
  <si>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</si>
  <si>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</si>
  <si>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</si>
  <si>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</si>
  <si>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</si>
  <si>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</si>
  <si>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</si>
  <si>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</si>
  <si>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</si>
  <si>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</si>
  <si>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</si>
  <si>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</si>
  <si>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</si>
  <si>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</si>
  <si>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</si>
  <si>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</si>
  <si>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</si>
  <si>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</si>
  <si>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</si>
  <si>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</si>
  <si>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</si>
  <si>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</si>
  <si>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</si>
  <si>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</si>
  <si>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</si>
  <si>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</si>
  <si>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</si>
  <si>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</si>
  <si>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</si>
  <si>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</si>
  <si>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</si>
  <si>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</si>
  <si>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</si>
  <si>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</si>
  <si>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</si>
  <si>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</si>
  <si>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</si>
  <si>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</si>
  <si>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</si>
  <si>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</si>
  <si>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</si>
  <si>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</si>
  <si>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</si>
  <si>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</si>
  <si>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</si>
  <si>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</si>
  <si>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</si>
  <si>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</si>
  <si>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</si>
  <si>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</si>
  <si>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</si>
  <si>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</si>
  <si>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</si>
  <si>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</si>
  <si>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</si>
  <si>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</si>
  <si>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</si>
  <si>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</si>
  <si>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</si>
  <si>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</si>
  <si>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</si>
  <si>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</si>
  <si>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</si>
  <si>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</si>
  <si>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</si>
  <si>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</si>
  <si>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</si>
  <si>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</si>
  <si>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</si>
  <si>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</si>
  <si>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</si>
  <si>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</si>
  <si>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</si>
  <si>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</si>
  <si>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</si>
  <si>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</si>
  <si>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</si>
  <si>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</si>
  <si>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</si>
  <si>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</si>
  <si>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</si>
  <si>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</si>
  <si>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</si>
  <si>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</si>
  <si>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</si>
  <si>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</si>
  <si>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</si>
  <si>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</si>
  <si>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</si>
  <si>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</si>
  <si>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</si>
  <si>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</si>
  <si>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</si>
  <si>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</si>
  <si>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</si>
  <si>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</si>
  <si>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</si>
  <si>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</si>
  <si>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</si>
  <si>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</si>
  <si>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</si>
  <si>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</si>
  <si>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</si>
  <si>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</si>
  <si>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</si>
  <si>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</si>
  <si>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</si>
  <si>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</si>
  <si>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</si>
  <si>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</si>
  <si>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</si>
  <si>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</si>
  <si>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</si>
  <si>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</si>
  <si>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</si>
  <si>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</si>
  <si>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</si>
  <si>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</si>
  <si>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</si>
  <si>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</si>
  <si>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</si>
  <si>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</si>
  <si>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</si>
  <si>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</si>
  <si>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</si>
  <si>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</si>
  <si>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</si>
  <si>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</si>
  <si>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</si>
  <si>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</si>
  <si>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</si>
  <si>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</si>
  <si>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</si>
  <si>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</si>
  <si>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</si>
  <si>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</si>
  <si>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</si>
  <si>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</si>
  <si>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</si>
  <si>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</si>
  <si>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</si>
  <si>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</si>
  <si>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</si>
  <si>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</si>
  <si>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</si>
  <si>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</si>
  <si>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</si>
  <si>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</si>
  <si>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</si>
  <si>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</si>
  <si>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</si>
  <si>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</si>
  <si>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</si>
  <si>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</si>
  <si>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</si>
  <si>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</si>
  <si>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</si>
  <si>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</si>
  <si>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</si>
  <si>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</si>
  <si>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</si>
  <si>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</si>
  <si>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</si>
  <si>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</si>
  <si>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</si>
  <si>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</si>
  <si>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</si>
  <si>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</si>
  <si>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</si>
  <si>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</si>
  <si>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</si>
  <si>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</si>
  <si>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</si>
  <si>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</si>
  <si>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</si>
  <si>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</si>
  <si>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</si>
  <si>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</si>
  <si>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</si>
  <si>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</si>
  <si>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</si>
  <si>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</si>
  <si>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</si>
  <si>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</si>
  <si>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</si>
  <si>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</si>
  <si>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</si>
  <si>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</si>
  <si>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</si>
  <si>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</si>
  <si>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</si>
  <si>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</si>
  <si>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</si>
  <si>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</si>
  <si>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</si>
  <si>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</si>
  <si>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</si>
  <si>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</si>
  <si>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</si>
  <si>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</si>
  <si>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</si>
  <si>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</si>
  <si>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</si>
  <si>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</si>
  <si>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</si>
  <si>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</si>
  <si>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</si>
  <si>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</si>
  <si>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</si>
  <si>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</si>
  <si>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</si>
  <si>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</si>
  <si>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</si>
  <si>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</si>
  <si>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</si>
  <si>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</si>
  <si>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</si>
  <si>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</si>
  <si>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</si>
  <si>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</si>
  <si>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</si>
  <si>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</si>
  <si>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</si>
  <si>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</si>
  <si>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</si>
  <si>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</si>
  <si>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</si>
  <si>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</si>
  <si>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</si>
  <si>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</si>
  <si>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</si>
  <si>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</si>
  <si>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</si>
  <si>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</si>
  <si>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</si>
  <si>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</si>
  <si>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</si>
  <si>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</si>
  <si>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</si>
  <si>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</si>
  <si>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</si>
  <si>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</si>
  <si>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</si>
  <si>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</si>
  <si>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</si>
  <si>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</si>
  <si>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</si>
  <si>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</si>
  <si>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</si>
  <si>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</si>
  <si>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</si>
  <si>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</si>
  <si>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</si>
  <si>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</si>
  <si>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</si>
  <si>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</si>
  <si>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</si>
  <si>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</si>
  <si>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</si>
  <si>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</si>
  <si>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</si>
  <si>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</si>
  <si>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</si>
  <si>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</si>
  <si>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</si>
  <si>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</si>
  <si>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</si>
  <si>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</si>
  <si>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</si>
  <si>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</si>
  <si>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</si>
  <si>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</si>
  <si>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</si>
  <si>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</si>
  <si>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</si>
  <si>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</si>
  <si>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</si>
  <si>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</si>
  <si>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</si>
  <si>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</si>
  <si>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</si>
  <si>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</si>
  <si>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</si>
  <si>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</si>
  <si>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</si>
  <si>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</si>
  <si>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</si>
  <si>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</si>
  <si>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</si>
  <si>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</si>
  <si>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</si>
  <si>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</si>
  <si>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</si>
  <si>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</si>
  <si>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</si>
  <si>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</si>
  <si>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</si>
  <si>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</si>
  <si>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</si>
  <si>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</si>
  <si>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</si>
  <si>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</si>
  <si>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</si>
  <si>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</si>
  <si>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</si>
  <si>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</si>
  <si>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</si>
  <si>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</si>
  <si>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</si>
  <si>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</si>
  <si>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</si>
  <si>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</si>
  <si>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</si>
  <si>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</si>
  <si>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</si>
  <si>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</si>
  <si>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</si>
  <si>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</si>
  <si>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</si>
  <si>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</si>
  <si>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</si>
  <si>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</si>
  <si>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</si>
  <si>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</si>
  <si>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</si>
  <si>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</si>
  <si>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</si>
  <si>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</si>
  <si>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</si>
  <si>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</si>
  <si>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</si>
  <si>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</si>
  <si>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</si>
  <si>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</si>
  <si>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</si>
  <si>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</si>
  <si>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</si>
  <si>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</si>
  <si>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</si>
  <si>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</si>
  <si>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</si>
  <si>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</si>
  <si>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</si>
  <si>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</si>
  <si>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</si>
  <si>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</si>
  <si>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</si>
  <si>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</si>
  <si>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</si>
  <si>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</si>
  <si>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</si>
  <si>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</si>
  <si>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</si>
  <si>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</si>
  <si>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</si>
  <si>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</si>
  <si>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</si>
  <si>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</si>
  <si>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</si>
  <si>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</si>
  <si>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</si>
  <si>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</si>
  <si>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</si>
  <si>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</si>
  <si>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</si>
  <si>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</si>
  <si>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</si>
  <si>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</si>
  <si>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</si>
  <si>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</si>
  <si>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</si>
  <si>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</si>
  <si>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</si>
  <si>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</si>
  <si>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</si>
  <si>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</si>
  <si>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</si>
  <si>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</si>
  <si>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</si>
  <si>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</si>
  <si>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</si>
  <si>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</si>
  <si>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</si>
  <si>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</si>
  <si>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</si>
  <si>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</si>
  <si>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</si>
  <si>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</si>
  <si>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</si>
  <si>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</si>
  <si>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</si>
  <si>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</si>
  <si>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</si>
  <si>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</si>
  <si>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</si>
  <si>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</si>
  <si>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</si>
  <si>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</si>
  <si>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</si>
  <si>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</si>
  <si>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</si>
  <si>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</si>
  <si>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</si>
  <si>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</si>
  <si>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</si>
  <si>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</si>
  <si>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</si>
  <si>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</si>
  <si>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</si>
  <si>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</si>
  <si>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</si>
  <si>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</si>
  <si>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</si>
  <si>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</si>
  <si>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</si>
  <si>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</si>
  <si>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</si>
  <si>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</si>
  <si>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</si>
  <si>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</si>
  <si>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</si>
  <si>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</si>
  <si>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</si>
  <si>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</si>
  <si>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</si>
  <si>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</si>
  <si>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</si>
  <si>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</si>
  <si>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</si>
  <si>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</si>
  <si>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</si>
  <si>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</si>
  <si>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</si>
  <si>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</si>
  <si>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</si>
  <si>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</si>
  <si>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</si>
  <si>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</si>
  <si>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</si>
  <si>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</si>
  <si>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</si>
  <si>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</si>
  <si>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</si>
  <si>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</si>
  <si>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</si>
  <si>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</si>
  <si>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</si>
  <si>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</si>
  <si>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</si>
  <si>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</si>
  <si>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</si>
  <si>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</si>
  <si>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</si>
  <si>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</si>
  <si>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</si>
  <si>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</si>
  <si>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</si>
  <si>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</si>
  <si>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</si>
  <si>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</si>
  <si>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</si>
  <si>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</si>
  <si>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</si>
  <si>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</si>
  <si>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</si>
  <si>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</si>
  <si>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</si>
  <si>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</si>
  <si>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</si>
  <si>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</si>
  <si>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</si>
  <si>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</si>
  <si>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</si>
  <si>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</si>
  <si>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</si>
  <si>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</si>
  <si>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</si>
  <si>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</si>
  <si>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</si>
  <si>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</si>
  <si>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</si>
  <si>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</si>
  <si>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</si>
  <si>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</si>
  <si>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</si>
  <si>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</si>
  <si>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</si>
  <si>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</si>
  <si>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</si>
  <si>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</si>
  <si>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</si>
  <si>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</si>
  <si>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</si>
  <si>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</si>
  <si>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</si>
  <si>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</si>
  <si>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</si>
  <si>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</si>
  <si>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</si>
  <si>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</si>
  <si>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</si>
  <si>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</si>
  <si>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</si>
  <si>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</si>
  <si>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</si>
  <si>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</si>
  <si>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</si>
  <si>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</si>
  <si>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</si>
  <si>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</si>
  <si>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</si>
  <si>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</si>
  <si>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</si>
  <si>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</si>
  <si>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</si>
  <si>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</si>
  <si>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</si>
  <si>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</si>
  <si>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</si>
  <si>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</si>
  <si>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</si>
  <si>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</si>
  <si>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</si>
  <si>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</si>
  <si>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</si>
  <si>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</si>
  <si>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</si>
  <si>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</si>
  <si>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</si>
  <si>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</si>
  <si>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</si>
  <si>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</si>
  <si>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</si>
  <si>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</si>
  <si>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</si>
  <si>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</si>
  <si>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</si>
  <si>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</si>
  <si>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</si>
  <si>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</si>
  <si>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</si>
  <si>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</si>
  <si>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</si>
  <si>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</si>
  <si>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</si>
  <si>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</si>
  <si>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</si>
  <si>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</si>
  <si>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</si>
  <si>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</si>
  <si>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</si>
  <si>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</si>
  <si>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</si>
  <si>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</si>
  <si>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</si>
  <si>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</si>
  <si>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</si>
  <si>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</si>
  <si>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</si>
  <si>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</si>
  <si>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</si>
  <si>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</si>
  <si>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</si>
  <si>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</si>
  <si>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</si>
  <si>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</si>
  <si>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</si>
  <si>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</si>
  <si>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</si>
  <si>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</si>
  <si>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</si>
  <si>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</si>
  <si>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</si>
  <si>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</si>
  <si>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</si>
  <si>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</si>
  <si>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</si>
  <si>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</si>
  <si>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</si>
  <si>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</si>
  <si>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</si>
  <si>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</si>
  <si>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</si>
  <si>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</si>
  <si>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</si>
  <si>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</si>
  <si>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</si>
  <si>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</si>
  <si>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</si>
  <si>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</si>
  <si>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</si>
  <si>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</si>
  <si>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</si>
  <si>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</si>
  <si>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</si>
  <si>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</si>
  <si>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</si>
  <si>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</si>
  <si>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</si>
  <si>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</si>
  <si>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</si>
  <si>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</si>
  <si>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</si>
  <si>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</si>
  <si>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</si>
  <si>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</si>
  <si>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</si>
  <si>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</si>
  <si>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</si>
  <si>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</si>
  <si>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</si>
  <si>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</si>
  <si>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</si>
  <si>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</si>
  <si>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</si>
  <si>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</si>
  <si>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</si>
  <si>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</si>
  <si>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</si>
  <si>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</si>
  <si>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</si>
  <si>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</si>
  <si>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</si>
  <si>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</si>
  <si>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</si>
  <si>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</si>
  <si>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</si>
  <si>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</si>
  <si>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</si>
  <si>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</si>
  <si>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</si>
  <si>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</si>
  <si>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</si>
  <si>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</si>
  <si>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</si>
  <si>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</si>
  <si>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</si>
  <si>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</si>
  <si>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</si>
  <si>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</si>
  <si>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</si>
  <si>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</si>
  <si>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</si>
  <si>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</si>
  <si>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</si>
  <si>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</si>
  <si>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</si>
  <si>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</si>
  <si>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</si>
  <si>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</si>
  <si>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</si>
  <si>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</si>
  <si>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</si>
  <si>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</si>
  <si>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</si>
  <si>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</si>
  <si>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</si>
  <si>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</si>
  <si>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</si>
  <si>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</si>
  <si>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</si>
  <si>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</si>
  <si>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</si>
  <si>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</si>
  <si>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</si>
  <si>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</si>
  <si>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</si>
  <si>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</si>
  <si>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</si>
  <si>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</si>
  <si>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</si>
  <si>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</si>
  <si>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</si>
  <si>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</si>
  <si>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</si>
  <si>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</si>
  <si>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</si>
  <si>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</si>
  <si>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</si>
  <si>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</si>
  <si>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</si>
  <si>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</si>
  <si>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</si>
  <si>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</si>
  <si>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</si>
  <si>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</si>
  <si>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</si>
  <si>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</si>
  <si>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</si>
  <si>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</si>
  <si>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</si>
  <si>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</si>
  <si>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</si>
  <si>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</si>
  <si>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</si>
  <si>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</si>
  <si>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</si>
  <si>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</si>
  <si>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</si>
  <si>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</si>
  <si>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</si>
  <si>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</si>
  <si>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</si>
  <si>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</si>
  <si>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</si>
  <si>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</si>
  <si>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</si>
  <si>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</si>
  <si>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</si>
  <si>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</si>
  <si>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</si>
  <si>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</si>
  <si>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</si>
  <si>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</si>
  <si>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</si>
  <si>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</si>
  <si>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</si>
  <si>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</si>
  <si>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</si>
  <si>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</si>
  <si>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</si>
  <si>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</si>
  <si>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</si>
  <si>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</si>
  <si>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</si>
  <si>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</si>
  <si>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</si>
  <si>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</si>
  <si>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</si>
  <si>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</si>
  <si>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</si>
  <si>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</si>
  <si>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</si>
  <si>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</si>
  <si>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</si>
  <si>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</si>
  <si>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</si>
  <si>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</si>
  <si>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</si>
  <si>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</si>
  <si>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</si>
  <si>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</si>
  <si>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</si>
  <si>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</si>
  <si>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r>
      <rPr>
        <sz val="10"/>
        <color indexed="8"/>
        <rFont val="宋体"/>
        <family val="3"/>
        <charset val="134"/>
      </rPr>
      <t>昌平区七北路</t>
    </r>
    <r>
      <rPr>
        <sz val="10"/>
        <color indexed="8"/>
        <rFont val="Arial"/>
        <family val="2"/>
      </rPr>
      <t>42</t>
    </r>
    <r>
      <rPr>
        <sz val="10"/>
        <color indexed="8"/>
        <rFont val="宋体"/>
        <family val="3"/>
        <charset val="134"/>
      </rPr>
      <t>号院</t>
    </r>
    <r>
      <rPr>
        <sz val="10"/>
        <color indexed="8"/>
        <rFont val="Arial"/>
        <family val="2"/>
      </rPr>
      <t>2</t>
    </r>
    <r>
      <rPr>
        <sz val="10"/>
        <color indexed="8"/>
        <rFont val="宋体"/>
        <family val="3"/>
        <charset val="134"/>
      </rPr>
      <t>号楼</t>
    </r>
    <r>
      <rPr>
        <sz val="10"/>
        <color indexed="8"/>
        <rFont val="Arial"/>
        <family val="2"/>
      </rPr>
      <t>3</t>
    </r>
    <r>
      <rPr>
        <sz val="10"/>
        <color indexed="8"/>
        <rFont val="宋体"/>
        <family val="3"/>
        <charset val="134"/>
      </rPr>
      <t>层</t>
    </r>
    <r>
      <rPr>
        <sz val="10"/>
        <color indexed="8"/>
        <rFont val="Arial"/>
        <family val="2"/>
      </rPr>
      <t>2</t>
    </r>
    <r>
      <rPr>
        <sz val="10"/>
        <color indexed="8"/>
        <rFont val="宋体"/>
        <family val="3"/>
        <charset val="134"/>
      </rPr>
      <t>单元</t>
    </r>
    <r>
      <rPr>
        <sz val="10"/>
        <color indexed="8"/>
        <rFont val="Arial"/>
        <family val="2"/>
      </rPr>
      <t>301</t>
    </r>
    <phoneticPr fontId="3" type="noConversion"/>
  </si>
  <si>
    <t>是</t>
  </si>
  <si>
    <t>地上</t>
  </si>
  <si>
    <t>办公</t>
    <phoneticPr fontId="7" type="noConversion"/>
  </si>
  <si>
    <t>成新度</t>
  </si>
  <si>
    <t>收益法 (元)</t>
  </si>
  <si>
    <t>单套模式</t>
  </si>
  <si>
    <t>售价</t>
  </si>
  <si>
    <t>商务金融用地</t>
  </si>
  <si>
    <t>自定义容积率</t>
  </si>
  <si>
    <t>与级别开发程度一致</t>
  </si>
  <si>
    <t>中心城区以外</t>
  </si>
  <si>
    <t>较好</t>
  </si>
  <si>
    <t>一般</t>
  </si>
  <si>
    <t>好</t>
  </si>
  <si>
    <t>未包含在土地购买价格中</t>
  </si>
  <si>
    <t>已包含在土地取得成本中</t>
  </si>
  <si>
    <t>TBD云集中心</t>
    <phoneticPr fontId="3" type="noConversion"/>
  </si>
  <si>
    <t>挂牌</t>
    <phoneticPr fontId="3" type="noConversion"/>
  </si>
  <si>
    <t>高层办公楼</t>
    <phoneticPr fontId="3" type="noConversion"/>
  </si>
  <si>
    <t>钢混</t>
    <phoneticPr fontId="3" type="noConversion"/>
  </si>
  <si>
    <t>精装修</t>
    <phoneticPr fontId="3" type="noConversion"/>
  </si>
  <si>
    <t>甲级</t>
    <phoneticPr fontId="3" type="noConversion"/>
  </si>
  <si>
    <t>专业</t>
    <phoneticPr fontId="3" type="noConversion"/>
  </si>
  <si>
    <t>五通</t>
    <phoneticPr fontId="3" type="noConversion"/>
  </si>
  <si>
    <t>标准</t>
    <phoneticPr fontId="3" type="noConversion"/>
  </si>
  <si>
    <t>普通装修</t>
    <phoneticPr fontId="3" type="noConversion"/>
  </si>
  <si>
    <t>简单装修</t>
    <phoneticPr fontId="3" type="noConversion"/>
  </si>
  <si>
    <t>毛坯</t>
    <phoneticPr fontId="3" type="noConversion"/>
  </si>
  <si>
    <t>正常</t>
  </si>
  <si>
    <t>挂牌</t>
  </si>
  <si>
    <t>办公</t>
    <phoneticPr fontId="31" type="noConversion"/>
  </si>
  <si>
    <t>七通</t>
  </si>
  <si>
    <t>高层办公楼</t>
  </si>
  <si>
    <t>钢混</t>
  </si>
  <si>
    <t>精装修</t>
  </si>
  <si>
    <t>甲级</t>
  </si>
  <si>
    <t>高区</t>
  </si>
  <si>
    <t>高区</t>
    <phoneticPr fontId="31" type="noConversion"/>
  </si>
  <si>
    <t>中区</t>
  </si>
  <si>
    <t>中区</t>
    <phoneticPr fontId="31" type="noConversion"/>
  </si>
  <si>
    <t>低区</t>
  </si>
  <si>
    <t>低区</t>
    <phoneticPr fontId="31" type="noConversion"/>
  </si>
  <si>
    <t>专业</t>
  </si>
  <si>
    <t>五通</t>
  </si>
  <si>
    <t>标准</t>
  </si>
  <si>
    <t>普通装修</t>
  </si>
  <si>
    <t>押一</t>
  </si>
  <si>
    <t>非生产用房</t>
  </si>
  <si>
    <t>否</t>
  </si>
  <si>
    <t>比较法-办公</t>
  </si>
  <si>
    <t>赠送部分</t>
    <phoneticPr fontId="31" type="noConversion"/>
  </si>
  <si>
    <t>赠送露台</t>
    <phoneticPr fontId="31" type="noConversion"/>
  </si>
  <si>
    <t>无</t>
    <phoneticPr fontId="31" type="noConversion"/>
  </si>
  <si>
    <t>租金</t>
  </si>
  <si>
    <r>
      <rPr>
        <sz val="11"/>
        <color indexed="8"/>
        <rFont val="宋体"/>
        <family val="3"/>
        <charset val="134"/>
      </rPr>
      <t>办公</t>
    </r>
    <r>
      <rPr>
        <sz val="11"/>
        <color indexed="8"/>
        <rFont val="Arial"/>
        <family val="2"/>
      </rPr>
      <t>30-40</t>
    </r>
    <r>
      <rPr>
        <sz val="11"/>
        <color indexed="8"/>
        <rFont val="宋体"/>
        <family val="3"/>
        <charset val="134"/>
      </rPr>
      <t>年</t>
    </r>
    <phoneticPr fontId="134" type="noConversion"/>
  </si>
  <si>
    <r>
      <rPr>
        <sz val="11"/>
        <color indexed="8"/>
        <rFont val="宋体"/>
        <family val="3"/>
        <charset val="134"/>
      </rPr>
      <t>办公</t>
    </r>
    <r>
      <rPr>
        <sz val="11"/>
        <color indexed="8"/>
        <rFont val="Arial"/>
        <family val="2"/>
      </rPr>
      <t>30-40</t>
    </r>
    <r>
      <rPr>
        <sz val="11"/>
        <color indexed="8"/>
        <rFont val="宋体"/>
        <family val="3"/>
        <charset val="134"/>
      </rPr>
      <t>年</t>
    </r>
    <phoneticPr fontId="31" type="noConversion"/>
  </si>
  <si>
    <t>赠送部分</t>
    <phoneticPr fontId="134" type="noConversion"/>
  </si>
  <si>
    <t>赠送露台</t>
    <phoneticPr fontId="134" type="noConversion"/>
  </si>
  <si>
    <t>无</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</si>
</sst>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indexed="8"/>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271"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176" fontId="272" fillId="0" borderId="23" xfId="0" applyNumberFormat="1" applyFont="1" applyBorder="1" applyAlignment="1" applyProtection="1">
      <alignment horizontal="center" vertical="center" wrapText="1"/>
      <protection locked="0"/>
    </xf>
    <xf numFmtId="176" fontId="272" fillId="0" borderId="3"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113428</xdr:colOff>
      <xdr:row>28</xdr:row>
      <xdr:rowOff>27971</xdr:rowOff>
    </xdr:to>
    <xdr:pic>
      <xdr:nvPicPr>
        <xdr:cNvPr id="2" name="图片 1">
          <a:extLst>
            <a:ext uri="{FF2B5EF4-FFF2-40B4-BE49-F238E27FC236}">
              <a16:creationId xmlns:a16="http://schemas.microsoft.com/office/drawing/2014/main" id="{3B13FC9A-3774-05B3-48FD-6725A798E389}"/>
            </a:ext>
          </a:extLst>
        </xdr:cNvPr>
        <xdr:cNvPicPr>
          <a:picLocks noChangeAspect="1"/>
        </xdr:cNvPicPr>
      </xdr:nvPicPr>
      <xdr:blipFill>
        <a:blip xmlns:r="http://schemas.openxmlformats.org/officeDocument/2006/relationships" r:embed="rId1"/>
        <a:stretch>
          <a:fillRect/>
        </a:stretch>
      </xdr:blipFill>
      <xdr:spPr>
        <a:xfrm>
          <a:off x="0" y="0"/>
          <a:ext cx="6971428" cy="4828571"/>
        </a:xfrm>
        <a:prstGeom prst="rect">
          <a:avLst/>
        </a:prstGeom>
      </xdr:spPr>
    </xdr:pic>
    <xdr:clientData/>
  </xdr:twoCellAnchor>
  <xdr:twoCellAnchor editAs="oneCell">
    <xdr:from>
      <xdr:col>0</xdr:col>
      <xdr:colOff>0</xdr:colOff>
      <xdr:row>28</xdr:row>
      <xdr:rowOff>28255</xdr:rowOff>
    </xdr:from>
    <xdr:to>
      <xdr:col>11</xdr:col>
      <xdr:colOff>171450</xdr:colOff>
      <xdr:row>54</xdr:row>
      <xdr:rowOff>46927</xdr:rowOff>
    </xdr:to>
    <xdr:pic>
      <xdr:nvPicPr>
        <xdr:cNvPr id="3" name="图片 2">
          <a:extLst>
            <a:ext uri="{FF2B5EF4-FFF2-40B4-BE49-F238E27FC236}">
              <a16:creationId xmlns:a16="http://schemas.microsoft.com/office/drawing/2014/main" id="{BD092A9C-EC03-CBEF-EE18-D8E56C7D816B}"/>
            </a:ext>
          </a:extLst>
        </xdr:cNvPr>
        <xdr:cNvPicPr>
          <a:picLocks noChangeAspect="1"/>
        </xdr:cNvPicPr>
      </xdr:nvPicPr>
      <xdr:blipFill>
        <a:blip xmlns:r="http://schemas.openxmlformats.org/officeDocument/2006/relationships" r:embed="rId2"/>
        <a:stretch>
          <a:fillRect/>
        </a:stretch>
      </xdr:blipFill>
      <xdr:spPr>
        <a:xfrm>
          <a:off x="0" y="4828855"/>
          <a:ext cx="7715250" cy="4476372"/>
        </a:xfrm>
        <a:prstGeom prst="rect">
          <a:avLst/>
        </a:prstGeom>
      </xdr:spPr>
    </xdr:pic>
    <xdr:clientData/>
  </xdr:twoCellAnchor>
  <xdr:twoCellAnchor editAs="oneCell">
    <xdr:from>
      <xdr:col>0</xdr:col>
      <xdr:colOff>0</xdr:colOff>
      <xdr:row>53</xdr:row>
      <xdr:rowOff>161944</xdr:rowOff>
    </xdr:from>
    <xdr:to>
      <xdr:col>11</xdr:col>
      <xdr:colOff>370301</xdr:colOff>
      <xdr:row>78</xdr:row>
      <xdr:rowOff>113671</xdr:rowOff>
    </xdr:to>
    <xdr:pic>
      <xdr:nvPicPr>
        <xdr:cNvPr id="4" name="图片 3">
          <a:extLst>
            <a:ext uri="{FF2B5EF4-FFF2-40B4-BE49-F238E27FC236}">
              <a16:creationId xmlns:a16="http://schemas.microsoft.com/office/drawing/2014/main" id="{166367A8-712A-8186-9D68-1293C79216D4}"/>
            </a:ext>
          </a:extLst>
        </xdr:cNvPr>
        <xdr:cNvPicPr>
          <a:picLocks noChangeAspect="1"/>
        </xdr:cNvPicPr>
      </xdr:nvPicPr>
      <xdr:blipFill>
        <a:blip xmlns:r="http://schemas.openxmlformats.org/officeDocument/2006/relationships" r:embed="rId3"/>
        <a:stretch>
          <a:fillRect/>
        </a:stretch>
      </xdr:blipFill>
      <xdr:spPr>
        <a:xfrm>
          <a:off x="0" y="9248794"/>
          <a:ext cx="7914101" cy="4237977"/>
        </a:xfrm>
        <a:prstGeom prst="rect">
          <a:avLst/>
        </a:prstGeom>
      </xdr:spPr>
    </xdr:pic>
    <xdr:clientData/>
  </xdr:twoCellAnchor>
  <xdr:twoCellAnchor editAs="oneCell">
    <xdr:from>
      <xdr:col>10</xdr:col>
      <xdr:colOff>466725</xdr:colOff>
      <xdr:row>18</xdr:row>
      <xdr:rowOff>133350</xdr:rowOff>
    </xdr:from>
    <xdr:to>
      <xdr:col>17</xdr:col>
      <xdr:colOff>618506</xdr:colOff>
      <xdr:row>57</xdr:row>
      <xdr:rowOff>37276</xdr:rowOff>
    </xdr:to>
    <xdr:pic>
      <xdr:nvPicPr>
        <xdr:cNvPr id="5" name="图片 4">
          <a:extLst>
            <a:ext uri="{FF2B5EF4-FFF2-40B4-BE49-F238E27FC236}">
              <a16:creationId xmlns:a16="http://schemas.microsoft.com/office/drawing/2014/main" id="{1CE25077-6690-F607-7017-D684DC1CE6A6}"/>
            </a:ext>
          </a:extLst>
        </xdr:cNvPr>
        <xdr:cNvPicPr>
          <a:picLocks noChangeAspect="1"/>
        </xdr:cNvPicPr>
      </xdr:nvPicPr>
      <xdr:blipFill>
        <a:blip xmlns:r="http://schemas.openxmlformats.org/officeDocument/2006/relationships" r:embed="rId4"/>
        <a:stretch>
          <a:fillRect/>
        </a:stretch>
      </xdr:blipFill>
      <xdr:spPr>
        <a:xfrm>
          <a:off x="7324725" y="3219450"/>
          <a:ext cx="4952381" cy="6590476"/>
        </a:xfrm>
        <a:prstGeom prst="rect">
          <a:avLst/>
        </a:prstGeom>
      </xdr:spPr>
    </xdr:pic>
    <xdr:clientData/>
  </xdr:twoCellAnchor>
  <xdr:twoCellAnchor editAs="oneCell">
    <xdr:from>
      <xdr:col>10</xdr:col>
      <xdr:colOff>590550</xdr:colOff>
      <xdr:row>57</xdr:row>
      <xdr:rowOff>66675</xdr:rowOff>
    </xdr:from>
    <xdr:to>
      <xdr:col>17</xdr:col>
      <xdr:colOff>580426</xdr:colOff>
      <xdr:row>86</xdr:row>
      <xdr:rowOff>37482</xdr:rowOff>
    </xdr:to>
    <xdr:pic>
      <xdr:nvPicPr>
        <xdr:cNvPr id="6" name="图片 5">
          <a:extLst>
            <a:ext uri="{FF2B5EF4-FFF2-40B4-BE49-F238E27FC236}">
              <a16:creationId xmlns:a16="http://schemas.microsoft.com/office/drawing/2014/main" id="{294C58F6-9C9E-23CB-1157-F1812C9BB090}"/>
            </a:ext>
          </a:extLst>
        </xdr:cNvPr>
        <xdr:cNvPicPr>
          <a:picLocks noChangeAspect="1"/>
        </xdr:cNvPicPr>
      </xdr:nvPicPr>
      <xdr:blipFill>
        <a:blip xmlns:r="http://schemas.openxmlformats.org/officeDocument/2006/relationships" r:embed="rId5"/>
        <a:stretch>
          <a:fillRect/>
        </a:stretch>
      </xdr:blipFill>
      <xdr:spPr>
        <a:xfrm>
          <a:off x="7448550" y="9839325"/>
          <a:ext cx="4790476" cy="49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142173</xdr:colOff>
      <xdr:row>21</xdr:row>
      <xdr:rowOff>123105</xdr:rowOff>
    </xdr:to>
    <xdr:grpSp>
      <xdr:nvGrpSpPr>
        <xdr:cNvPr id="4" name="组合 3">
          <a:extLst>
            <a:ext uri="{FF2B5EF4-FFF2-40B4-BE49-F238E27FC236}">
              <a16:creationId xmlns:a16="http://schemas.microsoft.com/office/drawing/2014/main" id="{2911BA17-3BEF-E5E3-38D1-F09A85F528DC}"/>
            </a:ext>
          </a:extLst>
        </xdr:cNvPr>
        <xdr:cNvGrpSpPr/>
      </xdr:nvGrpSpPr>
      <xdr:grpSpPr>
        <a:xfrm>
          <a:off x="0" y="0"/>
          <a:ext cx="13172373" cy="3723555"/>
          <a:chOff x="0" y="0"/>
          <a:chExt cx="13172373" cy="3723555"/>
        </a:xfrm>
      </xdr:grpSpPr>
      <xdr:pic>
        <xdr:nvPicPr>
          <xdr:cNvPr id="2" name="图片 1">
            <a:extLst>
              <a:ext uri="{FF2B5EF4-FFF2-40B4-BE49-F238E27FC236}">
                <a16:creationId xmlns:a16="http://schemas.microsoft.com/office/drawing/2014/main" id="{8BC2FEBB-52F6-9B38-C1C6-2E834D45EA31}"/>
              </a:ext>
            </a:extLst>
          </xdr:cNvPr>
          <xdr:cNvPicPr>
            <a:picLocks noChangeAspect="1"/>
          </xdr:cNvPicPr>
        </xdr:nvPicPr>
        <xdr:blipFill>
          <a:blip xmlns:r="http://schemas.openxmlformats.org/officeDocument/2006/relationships" r:embed="rId1"/>
          <a:stretch>
            <a:fillRect/>
          </a:stretch>
        </xdr:blipFill>
        <xdr:spPr>
          <a:xfrm>
            <a:off x="0" y="0"/>
            <a:ext cx="7699450" cy="3723555"/>
          </a:xfrm>
          <a:prstGeom prst="rect">
            <a:avLst/>
          </a:prstGeom>
        </xdr:spPr>
      </xdr:pic>
      <xdr:pic>
        <xdr:nvPicPr>
          <xdr:cNvPr id="3" name="图片 2">
            <a:extLst>
              <a:ext uri="{FF2B5EF4-FFF2-40B4-BE49-F238E27FC236}">
                <a16:creationId xmlns:a16="http://schemas.microsoft.com/office/drawing/2014/main" id="{E5B9580C-A105-EB70-780D-0456B094882A}"/>
              </a:ext>
            </a:extLst>
          </xdr:cNvPr>
          <xdr:cNvPicPr>
            <a:picLocks noChangeAspect="1"/>
          </xdr:cNvPicPr>
        </xdr:nvPicPr>
        <xdr:blipFill>
          <a:blip xmlns:r="http://schemas.openxmlformats.org/officeDocument/2006/relationships" r:embed="rId2"/>
          <a:stretch>
            <a:fillRect/>
          </a:stretch>
        </xdr:blipFill>
        <xdr:spPr>
          <a:xfrm>
            <a:off x="7553325" y="0"/>
            <a:ext cx="5619048" cy="3057143"/>
          </a:xfrm>
          <a:prstGeom prst="rect">
            <a:avLst/>
          </a:prstGeom>
        </xdr:spPr>
      </xdr:pic>
    </xdr:grpSp>
    <xdr:clientData/>
  </xdr:twoCellAnchor>
  <xdr:twoCellAnchor>
    <xdr:from>
      <xdr:col>0</xdr:col>
      <xdr:colOff>0</xdr:colOff>
      <xdr:row>22</xdr:row>
      <xdr:rowOff>47625</xdr:rowOff>
    </xdr:from>
    <xdr:to>
      <xdr:col>19</xdr:col>
      <xdr:colOff>342182</xdr:colOff>
      <xdr:row>43</xdr:row>
      <xdr:rowOff>113584</xdr:rowOff>
    </xdr:to>
    <xdr:grpSp>
      <xdr:nvGrpSpPr>
        <xdr:cNvPr id="7" name="组合 6">
          <a:extLst>
            <a:ext uri="{FF2B5EF4-FFF2-40B4-BE49-F238E27FC236}">
              <a16:creationId xmlns:a16="http://schemas.microsoft.com/office/drawing/2014/main" id="{B9BCEFC9-0989-39BA-55FD-090B72B32C3C}"/>
            </a:ext>
          </a:extLst>
        </xdr:cNvPr>
        <xdr:cNvGrpSpPr/>
      </xdr:nvGrpSpPr>
      <xdr:grpSpPr>
        <a:xfrm>
          <a:off x="0" y="3819525"/>
          <a:ext cx="13372382" cy="3666409"/>
          <a:chOff x="0" y="3819525"/>
          <a:chExt cx="13372382" cy="3666409"/>
        </a:xfrm>
      </xdr:grpSpPr>
      <xdr:pic>
        <xdr:nvPicPr>
          <xdr:cNvPr id="5" name="图片 4">
            <a:extLst>
              <a:ext uri="{FF2B5EF4-FFF2-40B4-BE49-F238E27FC236}">
                <a16:creationId xmlns:a16="http://schemas.microsoft.com/office/drawing/2014/main" id="{C884C39D-D9E0-C5DB-BFD9-16603AD77075}"/>
              </a:ext>
            </a:extLst>
          </xdr:cNvPr>
          <xdr:cNvPicPr>
            <a:picLocks noChangeAspect="1"/>
          </xdr:cNvPicPr>
        </xdr:nvPicPr>
        <xdr:blipFill>
          <a:blip xmlns:r="http://schemas.openxmlformats.org/officeDocument/2006/relationships" r:embed="rId3"/>
          <a:stretch>
            <a:fillRect/>
          </a:stretch>
        </xdr:blipFill>
        <xdr:spPr>
          <a:xfrm>
            <a:off x="0" y="3819525"/>
            <a:ext cx="7704949" cy="3666409"/>
          </a:xfrm>
          <a:prstGeom prst="rect">
            <a:avLst/>
          </a:prstGeom>
        </xdr:spPr>
      </xdr:pic>
      <xdr:pic>
        <xdr:nvPicPr>
          <xdr:cNvPr id="6" name="图片 5">
            <a:extLst>
              <a:ext uri="{FF2B5EF4-FFF2-40B4-BE49-F238E27FC236}">
                <a16:creationId xmlns:a16="http://schemas.microsoft.com/office/drawing/2014/main" id="{C37D1F6A-6A8C-8732-8F96-6842D0E26153}"/>
              </a:ext>
            </a:extLst>
          </xdr:cNvPr>
          <xdr:cNvPicPr>
            <a:picLocks noChangeAspect="1"/>
          </xdr:cNvPicPr>
        </xdr:nvPicPr>
        <xdr:blipFill>
          <a:blip xmlns:r="http://schemas.openxmlformats.org/officeDocument/2006/relationships" r:embed="rId4"/>
          <a:stretch>
            <a:fillRect/>
          </a:stretch>
        </xdr:blipFill>
        <xdr:spPr>
          <a:xfrm>
            <a:off x="7629525" y="3857625"/>
            <a:ext cx="5742857" cy="2847619"/>
          </a:xfrm>
          <a:prstGeom prst="rect">
            <a:avLst/>
          </a:prstGeom>
        </xdr:spPr>
      </xdr:pic>
    </xdr:grpSp>
    <xdr:clientData/>
  </xdr:twoCellAnchor>
  <xdr:twoCellAnchor>
    <xdr:from>
      <xdr:col>0</xdr:col>
      <xdr:colOff>0</xdr:colOff>
      <xdr:row>43</xdr:row>
      <xdr:rowOff>114300</xdr:rowOff>
    </xdr:from>
    <xdr:to>
      <xdr:col>19</xdr:col>
      <xdr:colOff>180275</xdr:colOff>
      <xdr:row>64</xdr:row>
      <xdr:rowOff>132643</xdr:rowOff>
    </xdr:to>
    <xdr:grpSp>
      <xdr:nvGrpSpPr>
        <xdr:cNvPr id="10" name="组合 9">
          <a:extLst>
            <a:ext uri="{FF2B5EF4-FFF2-40B4-BE49-F238E27FC236}">
              <a16:creationId xmlns:a16="http://schemas.microsoft.com/office/drawing/2014/main" id="{AEED8BB8-D827-1098-7B55-43455810A983}"/>
            </a:ext>
          </a:extLst>
        </xdr:cNvPr>
        <xdr:cNvGrpSpPr/>
      </xdr:nvGrpSpPr>
      <xdr:grpSpPr>
        <a:xfrm>
          <a:off x="0" y="7486650"/>
          <a:ext cx="13210475" cy="3618793"/>
          <a:chOff x="0" y="7486650"/>
          <a:chExt cx="13210475" cy="3618793"/>
        </a:xfrm>
      </xdr:grpSpPr>
      <xdr:pic>
        <xdr:nvPicPr>
          <xdr:cNvPr id="8" name="图片 7">
            <a:extLst>
              <a:ext uri="{FF2B5EF4-FFF2-40B4-BE49-F238E27FC236}">
                <a16:creationId xmlns:a16="http://schemas.microsoft.com/office/drawing/2014/main" id="{A3C191E8-E511-D505-7C28-81BF4D57A371}"/>
              </a:ext>
            </a:extLst>
          </xdr:cNvPr>
          <xdr:cNvPicPr>
            <a:picLocks noChangeAspect="1"/>
          </xdr:cNvPicPr>
        </xdr:nvPicPr>
        <xdr:blipFill>
          <a:blip xmlns:r="http://schemas.openxmlformats.org/officeDocument/2006/relationships" r:embed="rId5"/>
          <a:stretch>
            <a:fillRect/>
          </a:stretch>
        </xdr:blipFill>
        <xdr:spPr>
          <a:xfrm>
            <a:off x="0" y="7515225"/>
            <a:ext cx="7663967" cy="3590218"/>
          </a:xfrm>
          <a:prstGeom prst="rect">
            <a:avLst/>
          </a:prstGeom>
        </xdr:spPr>
      </xdr:pic>
      <xdr:pic>
        <xdr:nvPicPr>
          <xdr:cNvPr id="9" name="图片 8">
            <a:extLst>
              <a:ext uri="{FF2B5EF4-FFF2-40B4-BE49-F238E27FC236}">
                <a16:creationId xmlns:a16="http://schemas.microsoft.com/office/drawing/2014/main" id="{CB70F79F-1DED-FD7E-B21E-9EA635DEF61A}"/>
              </a:ext>
            </a:extLst>
          </xdr:cNvPr>
          <xdr:cNvPicPr>
            <a:picLocks noChangeAspect="1"/>
          </xdr:cNvPicPr>
        </xdr:nvPicPr>
        <xdr:blipFill>
          <a:blip xmlns:r="http://schemas.openxmlformats.org/officeDocument/2006/relationships" r:embed="rId6"/>
          <a:stretch>
            <a:fillRect/>
          </a:stretch>
        </xdr:blipFill>
        <xdr:spPr>
          <a:xfrm>
            <a:off x="7610475" y="7486650"/>
            <a:ext cx="5600000" cy="2961905"/>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323018</xdr:colOff>
      <xdr:row>21</xdr:row>
      <xdr:rowOff>163564</xdr:rowOff>
    </xdr:to>
    <xdr:grpSp>
      <xdr:nvGrpSpPr>
        <xdr:cNvPr id="4" name="组合 3">
          <a:extLst>
            <a:ext uri="{FF2B5EF4-FFF2-40B4-BE49-F238E27FC236}">
              <a16:creationId xmlns:a16="http://schemas.microsoft.com/office/drawing/2014/main" id="{5CD8A76F-D946-6095-7D90-C6772330A7C3}"/>
            </a:ext>
          </a:extLst>
        </xdr:cNvPr>
        <xdr:cNvGrpSpPr/>
      </xdr:nvGrpSpPr>
      <xdr:grpSpPr>
        <a:xfrm>
          <a:off x="0" y="0"/>
          <a:ext cx="13353218" cy="3764014"/>
          <a:chOff x="0" y="0"/>
          <a:chExt cx="13353218" cy="3764014"/>
        </a:xfrm>
      </xdr:grpSpPr>
      <xdr:pic>
        <xdr:nvPicPr>
          <xdr:cNvPr id="2" name="图片 1">
            <a:extLst>
              <a:ext uri="{FF2B5EF4-FFF2-40B4-BE49-F238E27FC236}">
                <a16:creationId xmlns:a16="http://schemas.microsoft.com/office/drawing/2014/main" id="{896EA131-19C6-166F-2A73-A0FCC407D3C8}"/>
              </a:ext>
            </a:extLst>
          </xdr:cNvPr>
          <xdr:cNvPicPr>
            <a:picLocks noChangeAspect="1"/>
          </xdr:cNvPicPr>
        </xdr:nvPicPr>
        <xdr:blipFill>
          <a:blip xmlns:r="http://schemas.openxmlformats.org/officeDocument/2006/relationships" r:embed="rId1"/>
          <a:stretch>
            <a:fillRect/>
          </a:stretch>
        </xdr:blipFill>
        <xdr:spPr>
          <a:xfrm>
            <a:off x="0" y="0"/>
            <a:ext cx="7515225" cy="3764014"/>
          </a:xfrm>
          <a:prstGeom prst="rect">
            <a:avLst/>
          </a:prstGeom>
        </xdr:spPr>
      </xdr:pic>
      <xdr:pic>
        <xdr:nvPicPr>
          <xdr:cNvPr id="3" name="图片 2">
            <a:extLst>
              <a:ext uri="{FF2B5EF4-FFF2-40B4-BE49-F238E27FC236}">
                <a16:creationId xmlns:a16="http://schemas.microsoft.com/office/drawing/2014/main" id="{06C898AB-DA7A-8D72-A51E-97A468249A90}"/>
              </a:ext>
            </a:extLst>
          </xdr:cNvPr>
          <xdr:cNvPicPr>
            <a:picLocks noChangeAspect="1"/>
          </xdr:cNvPicPr>
        </xdr:nvPicPr>
        <xdr:blipFill>
          <a:blip xmlns:r="http://schemas.openxmlformats.org/officeDocument/2006/relationships" r:embed="rId2"/>
          <a:stretch>
            <a:fillRect/>
          </a:stretch>
        </xdr:blipFill>
        <xdr:spPr>
          <a:xfrm>
            <a:off x="7524750" y="0"/>
            <a:ext cx="5828468" cy="3752232"/>
          </a:xfrm>
          <a:prstGeom prst="rect">
            <a:avLst/>
          </a:prstGeom>
        </xdr:spPr>
      </xdr:pic>
    </xdr:grpSp>
    <xdr:clientData/>
  </xdr:twoCellAnchor>
  <xdr:twoCellAnchor>
    <xdr:from>
      <xdr:col>0</xdr:col>
      <xdr:colOff>0</xdr:colOff>
      <xdr:row>23</xdr:row>
      <xdr:rowOff>57150</xdr:rowOff>
    </xdr:from>
    <xdr:to>
      <xdr:col>20</xdr:col>
      <xdr:colOff>446848</xdr:colOff>
      <xdr:row>44</xdr:row>
      <xdr:rowOff>65999</xdr:rowOff>
    </xdr:to>
    <xdr:grpSp>
      <xdr:nvGrpSpPr>
        <xdr:cNvPr id="7" name="组合 6">
          <a:extLst>
            <a:ext uri="{FF2B5EF4-FFF2-40B4-BE49-F238E27FC236}">
              <a16:creationId xmlns:a16="http://schemas.microsoft.com/office/drawing/2014/main" id="{8358989B-537C-C94A-BF2B-4DA1EFB404C5}"/>
            </a:ext>
          </a:extLst>
        </xdr:cNvPr>
        <xdr:cNvGrpSpPr/>
      </xdr:nvGrpSpPr>
      <xdr:grpSpPr>
        <a:xfrm>
          <a:off x="0" y="4000500"/>
          <a:ext cx="14162848" cy="3609299"/>
          <a:chOff x="0" y="3733800"/>
          <a:chExt cx="14162848" cy="3609299"/>
        </a:xfrm>
      </xdr:grpSpPr>
      <xdr:pic>
        <xdr:nvPicPr>
          <xdr:cNvPr id="5" name="图片 4">
            <a:extLst>
              <a:ext uri="{FF2B5EF4-FFF2-40B4-BE49-F238E27FC236}">
                <a16:creationId xmlns:a16="http://schemas.microsoft.com/office/drawing/2014/main" id="{C4F86289-E977-203D-0FB3-14A76A144449}"/>
              </a:ext>
            </a:extLst>
          </xdr:cNvPr>
          <xdr:cNvPicPr>
            <a:picLocks noChangeAspect="1"/>
          </xdr:cNvPicPr>
        </xdr:nvPicPr>
        <xdr:blipFill>
          <a:blip xmlns:r="http://schemas.openxmlformats.org/officeDocument/2006/relationships" r:embed="rId3"/>
          <a:stretch>
            <a:fillRect/>
          </a:stretch>
        </xdr:blipFill>
        <xdr:spPr>
          <a:xfrm>
            <a:off x="0" y="3743325"/>
            <a:ext cx="7662195" cy="3599774"/>
          </a:xfrm>
          <a:prstGeom prst="rect">
            <a:avLst/>
          </a:prstGeom>
        </xdr:spPr>
      </xdr:pic>
      <xdr:pic>
        <xdr:nvPicPr>
          <xdr:cNvPr id="6" name="图片 5">
            <a:extLst>
              <a:ext uri="{FF2B5EF4-FFF2-40B4-BE49-F238E27FC236}">
                <a16:creationId xmlns:a16="http://schemas.microsoft.com/office/drawing/2014/main" id="{4563B64D-B8AC-0751-DE59-59EDB14421FE}"/>
              </a:ext>
            </a:extLst>
          </xdr:cNvPr>
          <xdr:cNvPicPr>
            <a:picLocks noChangeAspect="1"/>
          </xdr:cNvPicPr>
        </xdr:nvPicPr>
        <xdr:blipFill>
          <a:blip xmlns:r="http://schemas.openxmlformats.org/officeDocument/2006/relationships" r:embed="rId4"/>
          <a:stretch>
            <a:fillRect/>
          </a:stretch>
        </xdr:blipFill>
        <xdr:spPr>
          <a:xfrm>
            <a:off x="7543800" y="3733800"/>
            <a:ext cx="6619048" cy="3504762"/>
          </a:xfrm>
          <a:prstGeom prst="rect">
            <a:avLst/>
          </a:prstGeom>
        </xdr:spPr>
      </xdr:pic>
    </xdr:grpSp>
    <xdr:clientData/>
  </xdr:twoCellAnchor>
  <xdr:twoCellAnchor>
    <xdr:from>
      <xdr:col>0</xdr:col>
      <xdr:colOff>0</xdr:colOff>
      <xdr:row>45</xdr:row>
      <xdr:rowOff>19050</xdr:rowOff>
    </xdr:from>
    <xdr:to>
      <xdr:col>20</xdr:col>
      <xdr:colOff>551608</xdr:colOff>
      <xdr:row>67</xdr:row>
      <xdr:rowOff>27879</xdr:rowOff>
    </xdr:to>
    <xdr:grpSp>
      <xdr:nvGrpSpPr>
        <xdr:cNvPr id="10" name="组合 9">
          <a:extLst>
            <a:ext uri="{FF2B5EF4-FFF2-40B4-BE49-F238E27FC236}">
              <a16:creationId xmlns:a16="http://schemas.microsoft.com/office/drawing/2014/main" id="{B5AEF1B7-8057-E599-ED5F-218222BA9CDE}"/>
            </a:ext>
          </a:extLst>
        </xdr:cNvPr>
        <xdr:cNvGrpSpPr/>
      </xdr:nvGrpSpPr>
      <xdr:grpSpPr>
        <a:xfrm>
          <a:off x="0" y="7734300"/>
          <a:ext cx="14267608" cy="3780729"/>
          <a:chOff x="0" y="7353300"/>
          <a:chExt cx="14267608" cy="3780729"/>
        </a:xfrm>
      </xdr:grpSpPr>
      <xdr:pic>
        <xdr:nvPicPr>
          <xdr:cNvPr id="8" name="图片 7">
            <a:extLst>
              <a:ext uri="{FF2B5EF4-FFF2-40B4-BE49-F238E27FC236}">
                <a16:creationId xmlns:a16="http://schemas.microsoft.com/office/drawing/2014/main" id="{E875637D-AF00-10CF-C269-82C667089E23}"/>
              </a:ext>
            </a:extLst>
          </xdr:cNvPr>
          <xdr:cNvPicPr>
            <a:picLocks noChangeAspect="1"/>
          </xdr:cNvPicPr>
        </xdr:nvPicPr>
        <xdr:blipFill>
          <a:blip xmlns:r="http://schemas.openxmlformats.org/officeDocument/2006/relationships" r:embed="rId5"/>
          <a:stretch>
            <a:fillRect/>
          </a:stretch>
        </xdr:blipFill>
        <xdr:spPr>
          <a:xfrm>
            <a:off x="0" y="7353300"/>
            <a:ext cx="7600232" cy="3780729"/>
          </a:xfrm>
          <a:prstGeom prst="rect">
            <a:avLst/>
          </a:prstGeom>
        </xdr:spPr>
      </xdr:pic>
      <xdr:pic>
        <xdr:nvPicPr>
          <xdr:cNvPr id="9" name="图片 8">
            <a:extLst>
              <a:ext uri="{FF2B5EF4-FFF2-40B4-BE49-F238E27FC236}">
                <a16:creationId xmlns:a16="http://schemas.microsoft.com/office/drawing/2014/main" id="{E0941DDF-7CBD-8BC3-49F4-1488D2732E56}"/>
              </a:ext>
            </a:extLst>
          </xdr:cNvPr>
          <xdr:cNvPicPr>
            <a:picLocks noChangeAspect="1"/>
          </xdr:cNvPicPr>
        </xdr:nvPicPr>
        <xdr:blipFill>
          <a:blip xmlns:r="http://schemas.openxmlformats.org/officeDocument/2006/relationships" r:embed="rId6"/>
          <a:stretch>
            <a:fillRect/>
          </a:stretch>
        </xdr:blipFill>
        <xdr:spPr>
          <a:xfrm>
            <a:off x="7534275" y="7372350"/>
            <a:ext cx="6733333" cy="3161905"/>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估价对象为北京市房地产，为所有。根据《国有土地使用证》[]，估价对象（分摊）出让国有建设用地使用权面积为0平方米，建筑面积为606.78平方米。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估价对象为北京市房地产,属开发建设的，该项目尚在开发建设中。根据《国有土地使用证》[]，估价对象（分摊）出让国有建设用地使用权面积为0平方米，规划建筑面积为606.78平方米。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2025年2月5日（评估专业人员实地查勘之日）</v>
      </c>
    </row>
    <row r="13" spans="1:2">
      <c r="A13" s="1119" t="s">
        <v>529</v>
      </c>
      <c r="B13" s="1120" t="str">
        <f>'预评函-1'!A18</f>
        <v>本次估价的“房地产价值”是指在正常市场情况下，在价值时点2025年2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606.78</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2568</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2569</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06" t="s">
        <v>2571</v>
      </c>
      <c r="J2" s="3206"/>
      <c r="K2" s="3206"/>
      <c r="L2" s="3206"/>
      <c r="M2" s="3206"/>
      <c r="N2" s="3206"/>
      <c r="O2" s="3206"/>
      <c r="P2" s="3206"/>
      <c r="Q2" s="3206"/>
      <c r="R2" s="3206"/>
    </row>
    <row r="3" spans="1:18">
      <c r="A3" s="2763" t="s">
        <v>2492</v>
      </c>
      <c r="B3" s="2764">
        <f>项目基本情况!D3</f>
        <v>45693</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1.86</v>
      </c>
      <c r="D5" s="2768">
        <f>IF(ISERROR(ROUND(POWER(1+E5,A5-C5)*(POWER(1+E5,C5)-1)/(POWER(1+E5,A5)-1),3)),0,ROUND(POWER(1+E5,A5-C5)*(POWER(1+E5,C5)-1)/(POWER(1+E5,A5)-1),4))</f>
        <v>8.8900000000000007E-2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11.87</v>
      </c>
      <c r="D6" s="2768">
        <f>IF(ISERROR(ROUND(POWER(1+E6,A6-C6)*(POWER(1+E6,C6)-1)/(POWER(1+E6,A6)-1),3)),0,ROUND(POWER(1+E6,A6-C6)*(POWER(1+E6,C6)-1)/(POWER(1+E6,A6)-1),4))</f>
        <v>0.43319999999999997</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31.89</v>
      </c>
      <c r="D7" s="2768">
        <f>IF(ISERROR(ROUND(POWER(1+E7,A7-C7)*(POWER(1+E7,C7)-1)/(POWER(1+E7,A7)-1),3)),0,ROUND(POWER(1+E7,A7-C7)*(POWER(1+E7,C7)-1)/(POWER(1+E7,A7)-1),4))</f>
        <v>0.76270000000000004</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3380</v>
      </c>
    </row>
    <row r="50" spans="1:4">
      <c r="A50" s="3145" t="s">
        <v>3381</v>
      </c>
      <c r="B50" s="3145" t="s">
        <v>3382</v>
      </c>
      <c r="C50" s="3145" t="s">
        <v>3383</v>
      </c>
      <c r="D50" s="3145" t="s">
        <v>3384</v>
      </c>
    </row>
    <row r="51" spans="1:4">
      <c r="A51" s="3145" t="s">
        <v>3385</v>
      </c>
      <c r="B51" s="2765">
        <f>B52+B53</f>
        <v>15000</v>
      </c>
      <c r="C51" s="3146">
        <f>D51/B51</f>
        <v>2666.6666666666665</v>
      </c>
      <c r="D51" s="2765">
        <f>D52+D53</f>
        <v>40000000</v>
      </c>
    </row>
    <row r="52" spans="1:4">
      <c r="A52" s="3147" t="s">
        <v>3386</v>
      </c>
      <c r="B52" s="3148">
        <v>10000</v>
      </c>
      <c r="C52" s="3148">
        <v>1500</v>
      </c>
      <c r="D52" s="3149">
        <f>C52*B52</f>
        <v>15000000</v>
      </c>
    </row>
    <row r="53" spans="1:4">
      <c r="A53" s="3147" t="s">
        <v>3387</v>
      </c>
      <c r="B53" s="3148">
        <v>5000</v>
      </c>
      <c r="C53" s="3148">
        <v>5000</v>
      </c>
      <c r="D53" s="3149">
        <f>C53*B53</f>
        <v>25000000</v>
      </c>
    </row>
    <row r="54" spans="1:4">
      <c r="A54" s="3145" t="s">
        <v>3388</v>
      </c>
      <c r="B54" s="2765">
        <f>B51</f>
        <v>15000</v>
      </c>
      <c r="C54" s="2771">
        <v>700</v>
      </c>
      <c r="D54" s="2765">
        <f t="shared" ref="D54:D55" si="5">C54*B54</f>
        <v>10500000</v>
      </c>
    </row>
    <row r="55" spans="1:4">
      <c r="A55" s="3145" t="s">
        <v>3389</v>
      </c>
      <c r="B55" s="2765">
        <f>B51</f>
        <v>15000</v>
      </c>
      <c r="C55" s="2771">
        <v>1500</v>
      </c>
      <c r="D55" s="2765">
        <f t="shared" si="5"/>
        <v>22500000</v>
      </c>
    </row>
    <row r="56" spans="1:4">
      <c r="A56" s="3145" t="s">
        <v>3390</v>
      </c>
      <c r="B56" s="2765">
        <f>B51</f>
        <v>15000</v>
      </c>
      <c r="C56" s="3150">
        <f>C51+C54+C55</f>
        <v>4866.6666666666661</v>
      </c>
      <c r="D56" s="2765">
        <f>D51+D54+D55</f>
        <v>73000000</v>
      </c>
    </row>
    <row r="58" spans="1:4">
      <c r="A58" s="3145" t="s">
        <v>3391</v>
      </c>
      <c r="B58" s="3151">
        <v>0.05</v>
      </c>
      <c r="C58" s="2765">
        <f>C56*(1+B58)</f>
        <v>5110</v>
      </c>
      <c r="D58" s="2765">
        <f>D56*B58</f>
        <v>3650000</v>
      </c>
    </row>
    <row r="60" spans="1:4">
      <c r="A60" s="3145" t="s">
        <v>3392</v>
      </c>
      <c r="B60" s="2771">
        <v>3500</v>
      </c>
      <c r="C60" s="2771">
        <f>C53</f>
        <v>5000</v>
      </c>
      <c r="D60" s="2765">
        <f>C60*B60</f>
        <v>17500000</v>
      </c>
    </row>
    <row r="62" spans="1:4">
      <c r="A62" s="3145" t="s">
        <v>3393</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I42" sqref="I42"/>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7" t="str">
        <f>IF(B10="北京市","北京市",C10)&amp;F10&amp;IF(结果表!G1="在建","出让国有建设用地使用权及在建建筑物",IF(结果表!G1="土地","出让国有建设用地使用权",))&amp;B9&amp;"预评估"</f>
        <v>北京市房地产抵押价值预评估</v>
      </c>
      <c r="C1" s="3208"/>
      <c r="D1" s="3208"/>
      <c r="E1" s="3208"/>
      <c r="F1" s="3208"/>
      <c r="G1" s="3208"/>
      <c r="H1" s="3208"/>
      <c r="I1" s="3209"/>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45693</v>
      </c>
      <c r="C3" s="2186" t="s">
        <v>2171</v>
      </c>
      <c r="D3" s="2185">
        <f>B3</f>
        <v>45693</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3395</v>
      </c>
      <c r="C8" s="2201"/>
      <c r="D8" s="3210" t="s">
        <v>2177</v>
      </c>
      <c r="E8" s="2202" t="s">
        <v>3396</v>
      </c>
      <c r="F8" s="2203"/>
      <c r="G8" s="2442"/>
      <c r="H8" s="2442"/>
      <c r="I8" s="2442"/>
      <c r="J8" s="2245"/>
      <c r="K8" s="2400"/>
      <c r="L8" s="2399"/>
      <c r="M8" s="2399"/>
      <c r="N8" s="2245"/>
      <c r="O8" s="1670"/>
      <c r="P8" s="2245"/>
      <c r="Q8" s="2245"/>
      <c r="R8" s="2245"/>
    </row>
    <row r="9" spans="1:30" ht="13.5" thickBot="1">
      <c r="A9" s="2204" t="s">
        <v>2178</v>
      </c>
      <c r="B9" s="2205" t="s">
        <v>3396</v>
      </c>
      <c r="C9" s="2206"/>
      <c r="D9" s="3211"/>
      <c r="E9" s="2205" t="s">
        <v>43</v>
      </c>
      <c r="F9" s="2207"/>
      <c r="G9" s="2443"/>
      <c r="H9" s="2443"/>
      <c r="I9" s="2443"/>
      <c r="J9" s="2245"/>
      <c r="K9" s="2402"/>
      <c r="L9" s="2399"/>
      <c r="M9" s="2399"/>
      <c r="N9" s="2245"/>
      <c r="O9" s="1670"/>
      <c r="P9" s="2245"/>
      <c r="Q9" s="2245"/>
      <c r="R9" s="2245"/>
    </row>
    <row r="10" spans="1:30" ht="13.5" thickTop="1">
      <c r="A10" s="2208" t="s">
        <v>2179</v>
      </c>
      <c r="B10" s="2209" t="s">
        <v>3397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3322</v>
      </c>
      <c r="B13" s="2218" t="s">
        <v>2190</v>
      </c>
      <c r="C13" s="803"/>
      <c r="D13" s="803"/>
      <c r="E13" s="803">
        <v>59637</v>
      </c>
      <c r="F13" s="803"/>
      <c r="G13" s="803"/>
      <c r="H13" s="803"/>
      <c r="I13" s="803"/>
      <c r="J13" s="2803"/>
      <c r="K13" s="2399"/>
      <c r="L13" s="2399"/>
      <c r="M13" s="2245"/>
      <c r="N13" s="1670"/>
      <c r="O13" s="2245"/>
      <c r="P13" s="2245"/>
      <c r="Q13" s="2245"/>
      <c r="AD13" s="1618"/>
    </row>
    <row r="14" spans="1:30">
      <c r="A14" s="1018"/>
      <c r="B14" s="2218" t="s">
        <v>2191</v>
      </c>
      <c r="C14" s="2219"/>
      <c r="D14" s="2219"/>
      <c r="E14" s="2219">
        <v>50</v>
      </c>
      <c r="F14" s="2219"/>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f>IF(A13="出让",IF(E13="","",ROUNDDOWN(MIN((E13-$D$3)/365,E14),2)),E14)</f>
        <v>38.200000000000003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7"/>
      <c r="C16" s="3218"/>
      <c r="D16" s="3219"/>
      <c r="E16" s="2222" t="s">
        <v>2194</v>
      </c>
      <c r="F16" s="3220"/>
      <c r="G16" s="3221"/>
      <c r="H16" s="3221"/>
      <c r="I16" s="3222"/>
      <c r="J16" s="2245"/>
      <c r="K16" s="2403"/>
      <c r="L16" s="1670"/>
      <c r="M16" s="1670"/>
      <c r="N16" s="2245"/>
      <c r="O16" s="1670"/>
      <c r="P16" s="2245"/>
      <c r="Q16" s="2245"/>
      <c r="R16" s="2245"/>
    </row>
    <row r="17" spans="1:28">
      <c r="A17" s="305" t="s">
        <v>2195</v>
      </c>
      <c r="B17" s="294" t="s">
        <v>2196</v>
      </c>
      <c r="C17" s="8">
        <f>'数据-汇总表'!E3</f>
        <v>606.78</v>
      </c>
      <c r="D17" s="1256" t="s">
        <v>2197</v>
      </c>
      <c r="E17" s="3223" t="s">
        <v>2198</v>
      </c>
      <c r="F17" s="3224"/>
      <c r="G17" s="3224"/>
      <c r="H17" s="3224"/>
      <c r="I17" s="3225"/>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26" t="s">
        <v>2202</v>
      </c>
      <c r="F18" s="3227"/>
      <c r="G18" s="3227"/>
      <c r="H18" s="3227"/>
      <c r="I18" s="3228"/>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3" t="s">
        <v>2206</v>
      </c>
      <c r="C20" s="3214"/>
      <c r="D20" s="3215" t="s">
        <v>2207</v>
      </c>
      <c r="E20" s="3216"/>
      <c r="F20" s="2430" t="s">
        <v>1056</v>
      </c>
      <c r="G20" s="2442"/>
      <c r="H20" s="2442"/>
      <c r="I20" s="2442"/>
      <c r="J20" s="2245"/>
      <c r="K20" s="3212"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30"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3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3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31"/>
      <c r="B30" s="294" t="s">
        <v>2218</v>
      </c>
      <c r="C30" s="3232"/>
      <c r="D30" s="3233"/>
      <c r="E30" s="2442"/>
      <c r="F30" s="2442"/>
      <c r="G30" s="2442"/>
      <c r="H30" s="2442"/>
      <c r="I30" s="2442"/>
      <c r="J30" s="2245"/>
      <c r="K30" s="2402"/>
      <c r="L30" s="2399"/>
      <c r="M30" s="2399"/>
      <c r="N30" s="2245"/>
      <c r="O30" s="1670"/>
      <c r="P30" s="2245"/>
      <c r="Q30" s="2245"/>
      <c r="R30" s="2245"/>
      <c r="S30" s="2245"/>
      <c r="T30" s="2245"/>
      <c r="U30" s="2245"/>
      <c r="V30" s="2245"/>
    </row>
    <row r="31" spans="1:28">
      <c r="A31" s="3234"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29" t="s">
        <v>2228</v>
      </c>
      <c r="T34" s="315" t="str">
        <f>NUMBERSTRING(7-K34,1)&amp;"通"</f>
        <v>七通</v>
      </c>
      <c r="U34" s="2245"/>
      <c r="V34" s="2245"/>
    </row>
    <row r="35" spans="1:30">
      <c r="A35" s="2236"/>
      <c r="B35" s="3229" t="s">
        <v>2229</v>
      </c>
      <c r="C35" s="3229"/>
      <c r="D35" s="3229"/>
      <c r="E35" s="3229"/>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9"/>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c r="C37" s="2237" t="s">
        <v>304</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c r="C38" s="2238" t="s">
        <v>288</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606.78</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606.78</v>
      </c>
      <c r="H5" s="13">
        <f t="shared" ref="H5:AT5" si="0">SUM(H13:H656)</f>
        <v>606.78</v>
      </c>
      <c r="I5" s="13">
        <f t="shared" si="0"/>
        <v>606.78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606.78</v>
      </c>
      <c r="BA5" s="15">
        <f t="shared" si="1"/>
        <v>606.78</v>
      </c>
      <c r="BB5" s="15">
        <f t="shared" si="1"/>
        <v>606.78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f>I10</f>
        <v>0</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51">
      <c r="A13" s="628"/>
      <c r="B13" s="628"/>
      <c r="C13" s="3154" t="s">
        <v>3399</v>
      </c>
      <c r="D13" s="1513" t="s">
        <v>3400</v>
      </c>
      <c r="E13" s="13">
        <f>IF($C$3="是",ROUND($A$3*G13/$B$3,2),ROUND($A$3*(G13-AT13)/$B$3,2))</f>
        <v>0</v>
      </c>
      <c r="F13" s="29"/>
      <c r="G13" s="30">
        <f>H13+AC13+AT13</f>
        <v>606.78</v>
      </c>
      <c r="H13" s="17">
        <f>SUMIF(I$12:AB$12,"总值",I13:AB13)</f>
        <v>606.78</v>
      </c>
      <c r="I13" s="1514">
        <v>606.78</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昌平区七北路42号院2号楼3层2单元301</v>
      </c>
      <c r="AY13" s="1260">
        <f>ROUND($AY$6*AZ13/$AZ$5,2)</f>
        <v>0</v>
      </c>
      <c r="AZ13" s="13">
        <f>BA13+BL13</f>
        <v>606.78</v>
      </c>
      <c r="BA13" s="13">
        <f>SUM(BB13:BK13)</f>
        <v>606.78</v>
      </c>
      <c r="BB13" s="13">
        <f>IF($D13="是",I13-J13,0)</f>
        <v>606.78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5" t="s">
        <v>1131</v>
      </c>
      <c r="B2" s="3245"/>
      <c r="C2" s="3245"/>
      <c r="D2" s="748" t="s">
        <v>1107</v>
      </c>
      <c r="E2" s="1523" t="s">
        <v>1108</v>
      </c>
      <c r="F2" s="2439"/>
      <c r="G2" s="2432"/>
      <c r="H2" s="2433"/>
      <c r="I2" s="2146" t="s">
        <v>1132</v>
      </c>
      <c r="J2" s="2439"/>
      <c r="K2" s="2439"/>
      <c r="L2" s="2439"/>
      <c r="M2" s="2439"/>
      <c r="N2" s="2440"/>
      <c r="O2" s="2439"/>
      <c r="P2" s="2439"/>
    </row>
    <row r="3" spans="1:16" ht="15.75" thickBot="1">
      <c r="A3" s="3246" t="s">
        <v>1105</v>
      </c>
      <c r="B3" s="3246"/>
      <c r="C3" s="3246"/>
      <c r="D3" s="41">
        <f>'数据-基础表'!AY6</f>
        <v>0</v>
      </c>
      <c r="E3" s="41">
        <f>'数据-基础表'!AZ5</f>
        <v>606.78</v>
      </c>
      <c r="F3" s="2439"/>
      <c r="G3" s="42"/>
      <c r="H3" s="43" t="s">
        <v>1106</v>
      </c>
      <c r="I3" s="802" t="e">
        <f>ROUND('数据-基础表'!B3/'数据-基础表'!A3,2)</f>
        <v>#DIV/0!</v>
      </c>
      <c r="J3" s="2439"/>
      <c r="K3" s="2439"/>
      <c r="L3" s="2439"/>
      <c r="M3" s="2439"/>
      <c r="N3" s="2440"/>
      <c r="O3" s="2439"/>
      <c r="P3" s="2439"/>
    </row>
    <row r="4" spans="1:16" ht="15">
      <c r="A4" s="3247"/>
      <c r="B4" s="3248"/>
      <c r="C4" s="3249"/>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50" t="s">
        <v>1110</v>
      </c>
      <c r="C5" s="3250"/>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50" t="s">
        <v>1111</v>
      </c>
      <c r="C6" s="3250"/>
      <c r="D6" s="43">
        <f>ROUND($D$3*E6/$E$3,2)</f>
        <v>0</v>
      </c>
      <c r="E6" s="44">
        <f>E3-E5</f>
        <v>606.78</v>
      </c>
      <c r="F6" s="2439"/>
      <c r="G6" s="1529" t="s">
        <v>1112</v>
      </c>
      <c r="H6" s="45" t="s">
        <v>1113</v>
      </c>
      <c r="I6" s="2435" t="e">
        <f>ROUND(F31/D31,2)</f>
        <v>#DIV/0!</v>
      </c>
      <c r="J6" s="2439"/>
      <c r="K6" s="2439"/>
      <c r="L6" s="2439"/>
      <c r="M6" s="2439"/>
      <c r="N6" s="2439"/>
      <c r="O6" s="2439"/>
      <c r="P6" s="2439"/>
    </row>
    <row r="7" spans="1:16" ht="15.75" thickBot="1">
      <c r="A7" s="3242"/>
      <c r="B7" s="3243"/>
      <c r="C7" s="3244"/>
      <c r="D7" s="1524" t="s">
        <v>1107</v>
      </c>
      <c r="E7" s="1528" t="s">
        <v>1114</v>
      </c>
      <c r="F7" s="2439"/>
      <c r="G7" s="2436" t="s">
        <v>1115</v>
      </c>
      <c r="H7" s="95"/>
      <c r="I7" s="2437">
        <v>2.5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606.78</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606.78</v>
      </c>
      <c r="F16" s="2439"/>
      <c r="G16" s="2439"/>
      <c r="H16" s="1531" t="s">
        <v>1135</v>
      </c>
      <c r="I16" s="1532"/>
      <c r="J16" s="1071"/>
      <c r="K16" s="3239" t="s">
        <v>1135</v>
      </c>
      <c r="L16" s="3240"/>
      <c r="M16" s="3240"/>
      <c r="N16" s="3240"/>
      <c r="O16" s="3240"/>
      <c r="P16" s="3241"/>
    </row>
    <row r="17" spans="1:19" ht="15">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3402</v>
      </c>
      <c r="D19" s="43">
        <f>ROUND($D$3*E19/$E$3,2)</f>
        <v>0</v>
      </c>
      <c r="E19" s="51">
        <f t="shared" ref="E19:E26" si="1">SUM(F19:G19)</f>
        <v>606.78</v>
      </c>
      <c r="F19" s="2558">
        <f>'数据-基础表'!I13</f>
        <v>606.78</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606.78</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606.78</v>
      </c>
      <c r="F27" s="1072">
        <f>IF(SUM(F19:F26)=E8,SUM(F19:F26),"地上面积有误")</f>
        <v>606.78</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606.78</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606.78</v>
      </c>
      <c r="F31" s="644">
        <f>F27+F30</f>
        <v>606.78</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H6" activePane="bottomRight" state="frozen"/>
      <selection activeCell="C50" sqref="C50"/>
      <selection pane="topRight" activeCell="C50" sqref="C50"/>
      <selection pane="bottomLeft" activeCell="C50" sqref="C50"/>
      <selection pane="bottomRight" activeCell="V6" sqref="V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45693</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办公</v>
      </c>
      <c r="B6" s="1587" t="str">
        <f>IF(A6=0,"","经营性")</f>
        <v>经营性</v>
      </c>
      <c r="C6" s="1588" t="s">
        <v>21</v>
      </c>
      <c r="D6" s="805">
        <f>SUMIF(项目基本情况!C$12:I$12,C6,项目基本情况!C$14:I$14)</f>
        <v>50</v>
      </c>
      <c r="E6" s="804">
        <f>IF(B6="","",SUMIF(项目基本情况!C$12:I$12,C6,项目基本情况!C$13:I$13))</f>
        <v>59637</v>
      </c>
      <c r="F6" s="61">
        <f>SUMIF(项目基本情况!C$12:I$12,C6,项目基本情况!C$15:I$15)</f>
        <v>38.200000000000003</v>
      </c>
      <c r="G6" s="62">
        <f>IF(ISERROR(ROUND(POWER(1+H6,D6-F6)*(POWER(1+H6,F6)-1)/(POWER(1+H6,D6)-1),3)),0,ROUND(POWER(1+H6,D6-F6)*(POWER(1+H6,F6)-1)/(POWER(1+H6,D6)-1),3))</f>
        <v>0.92600000000000005</v>
      </c>
      <c r="H6" s="691">
        <v>0.05</v>
      </c>
      <c r="I6" s="691">
        <v>5.5E-2</v>
      </c>
      <c r="J6" s="63">
        <v>7.0000000000000007E-2</v>
      </c>
      <c r="K6" s="970">
        <f>SUMIF('数据-汇总表'!C$19:C$33,A6,'数据-汇总表'!E$19:E$33)</f>
        <v>606.78</v>
      </c>
      <c r="L6" s="692">
        <v>4000</v>
      </c>
      <c r="M6" s="64">
        <f t="shared" ref="M6:M14" si="0">ROUND(K6*L6/10000,0)</f>
        <v>243</v>
      </c>
      <c r="N6" s="690">
        <f>ROUND(1-(1-0%)*(2025-2015)/60,2)</f>
        <v>0.83</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7">
        <f>'租金比较法-办公'!C50</f>
        <v>3.4</v>
      </c>
      <c r="V6" s="67">
        <v>2.5000000000000001E-2</v>
      </c>
      <c r="W6" s="67">
        <v>0.1</v>
      </c>
      <c r="X6" s="979"/>
      <c r="Y6" s="68">
        <f>N6</f>
        <v>0.83</v>
      </c>
      <c r="Z6" s="69"/>
      <c r="AA6" s="63"/>
      <c r="AB6" s="63"/>
      <c r="AC6" s="979"/>
      <c r="AD6" s="70"/>
      <c r="AE6" s="980">
        <f ca="1">IF(AN6="",0,SUMIF(INDIRECT("'"&amp;AN6&amp;"'"&amp;"!E:E"),$AE$5,INDIRECT("'"&amp;AN6&amp;"'"&amp;"!F:F")))</f>
        <v>38.200000000000003</v>
      </c>
      <c r="AF6" s="74"/>
      <c r="AG6" s="130">
        <f>IF(AF6="",0,AE6-AF6)</f>
        <v>0</v>
      </c>
      <c r="AH6" s="71"/>
      <c r="AI6" s="73">
        <v>365</v>
      </c>
      <c r="AJ6" s="74"/>
      <c r="AK6" s="75">
        <v>2E-3</v>
      </c>
      <c r="AL6" s="76">
        <v>1E-3</v>
      </c>
      <c r="AM6" s="77">
        <v>0.01</v>
      </c>
      <c r="AN6" s="1589" t="s">
        <v>3404</v>
      </c>
      <c r="AO6" s="50">
        <f ca="1">SUMIF(INDIRECT("'"&amp;AN6&amp;"'"&amp;"!A:A"),"总价",INDIRECT("'"&amp;AN6&amp;"'"&amp;"!B:B"))</f>
        <v>1230.5503000000001</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hidden="1">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0.92600000000000005</v>
      </c>
      <c r="H16" s="84">
        <f>ROUND(SUMPRODUCT(H6:H13,K6:K13)/SUMPRODUCT((H6:H13&gt;0)*(K6:K13)),3)</f>
        <v>0.05</v>
      </c>
      <c r="I16" s="85"/>
      <c r="J16" s="85"/>
      <c r="K16" s="86">
        <f>SUM(K6:K15)</f>
        <v>606.78</v>
      </c>
      <c r="L16" s="87">
        <f>ROUND(M16*10000/SUM(K6:K14),0)</f>
        <v>4005</v>
      </c>
      <c r="M16" s="87">
        <f>SUM(M6:M14)</f>
        <v>243</v>
      </c>
      <c r="N16" s="88">
        <f>ROUND(SUMPRODUCT(M6:M14,N6:N14)/M16,3)</f>
        <v>0.83</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2</v>
      </c>
      <c r="C20" s="2562"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2</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2</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2</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 (元)'!C10/10000</f>
        <v>12.1356</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3376</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5.5000000000000007E-2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5.000000000000001E-3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0.05</v>
      </c>
      <c r="C44" s="2565" t="s">
        <v>3379</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disablePrompts="1"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51" t="s">
        <v>2277</v>
      </c>
      <c r="B1" s="3252"/>
      <c r="C1" s="3252"/>
      <c r="D1" s="3252"/>
      <c r="E1" s="3252"/>
      <c r="F1" s="3252"/>
      <c r="G1" s="3252"/>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H9" sqref="H9"/>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606.78</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45693</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1256.4593</v>
      </c>
      <c r="C5" s="2300">
        <f ca="1">IF(B5=D14,结果表!H102,ROUND(B5*10000/$B$1,0))</f>
        <v>0</v>
      </c>
      <c r="D5" s="2300" t="e">
        <f ca="1">ROUND(B5*10000/$B$2,0)</f>
        <v>#DIV/0!</v>
      </c>
      <c r="E5" s="2462"/>
      <c r="F5" s="2463"/>
      <c r="G5" s="2463"/>
      <c r="H5" s="2463"/>
      <c r="I5" s="2463"/>
      <c r="J5" s="2463"/>
      <c r="K5" s="2463"/>
    </row>
    <row r="6" spans="1:11" ht="16.5">
      <c r="A6" s="2300" t="s">
        <v>656</v>
      </c>
      <c r="B6" s="2300">
        <f ca="1">SUM(G14:G23)</f>
        <v>1256.4593</v>
      </c>
      <c r="C6" s="2300">
        <f ca="1">IF(B6=G14,结果表!H108,ROUND(B6*10000/$B$1,0))</f>
        <v>0</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3346</v>
      </c>
      <c r="D10" s="2300" t="s">
        <v>3347</v>
      </c>
      <c r="E10" s="3137"/>
      <c r="F10" s="3141" t="s">
        <v>3348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606.78</v>
      </c>
      <c r="C14" s="2306"/>
      <c r="D14" s="2306">
        <f ca="1">结果表!I20/10000</f>
        <v>1256.4593</v>
      </c>
      <c r="E14" s="2306">
        <f ca="1">ROUND(D14*10000/B14,0)</f>
        <v>20707</v>
      </c>
      <c r="F14" s="2306" t="e">
        <f ca="1">ROUND(D14*10000/C14,0)</f>
        <v>#DIV/0!</v>
      </c>
      <c r="G14" s="2306">
        <f ca="1">D14</f>
        <v>1256.4593</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0" t="str">
        <f>项目基本情况!S2</f>
        <v>北京市房地产</v>
      </c>
      <c r="B2" s="3321"/>
      <c r="C2" s="3321"/>
      <c r="D2" s="3321"/>
      <c r="E2" s="3321"/>
      <c r="F2" s="3321"/>
      <c r="G2" s="3321"/>
      <c r="H2" s="3321"/>
      <c r="I2" s="3322"/>
    </row>
    <row r="3" spans="1:12" ht="12.75">
      <c r="A3" s="3324" t="s">
        <v>1264</v>
      </c>
      <c r="B3" s="3325"/>
      <c r="C3" s="3325"/>
      <c r="D3" s="3325"/>
      <c r="E3" s="3325"/>
      <c r="F3" s="3325"/>
      <c r="G3" s="3325"/>
      <c r="H3" s="3325"/>
      <c r="I3" s="3325"/>
    </row>
    <row r="4" spans="1:12" ht="14.25">
      <c r="A4" s="1624" t="s">
        <v>1265</v>
      </c>
      <c r="B4" s="1625" t="s">
        <v>1266</v>
      </c>
      <c r="C4" s="1626" t="s">
        <v>3449</v>
      </c>
      <c r="D4" s="1626" t="s">
        <v>3404</v>
      </c>
      <c r="E4" s="3329" t="s">
        <v>1267</v>
      </c>
      <c r="F4" s="3330"/>
      <c r="G4" s="3330"/>
      <c r="H4" s="3330"/>
      <c r="I4" s="333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8" t="s">
        <v>1268</v>
      </c>
      <c r="B5" s="3323">
        <v>25</v>
      </c>
      <c r="C5" s="3326"/>
      <c r="D5" s="3314"/>
      <c r="E5" s="123" t="s">
        <v>1269</v>
      </c>
      <c r="F5" s="1627"/>
      <c r="G5" s="1627"/>
      <c r="H5" s="1627"/>
      <c r="I5" s="1281"/>
    </row>
    <row r="6" spans="1:12" ht="12.75">
      <c r="A6" s="3268"/>
      <c r="B6" s="3323"/>
      <c r="C6" s="3328"/>
      <c r="D6" s="3314"/>
      <c r="E6" s="123" t="s">
        <v>1270</v>
      </c>
      <c r="F6" s="1627"/>
      <c r="G6" s="1627"/>
      <c r="H6" s="1627"/>
      <c r="I6" s="1281"/>
    </row>
    <row r="7" spans="1:12" ht="12.75">
      <c r="A7" s="3268"/>
      <c r="B7" s="3323"/>
      <c r="C7" s="3327"/>
      <c r="D7" s="3314"/>
      <c r="E7" s="123" t="s">
        <v>1271</v>
      </c>
      <c r="F7" s="1627"/>
      <c r="G7" s="1627"/>
      <c r="H7" s="1627"/>
      <c r="I7" s="1281"/>
    </row>
    <row r="8" spans="1:12" ht="12.75">
      <c r="A8" s="3268" t="s">
        <v>1272</v>
      </c>
      <c r="B8" s="3323">
        <v>15</v>
      </c>
      <c r="C8" s="3326"/>
      <c r="D8" s="3314"/>
      <c r="E8" s="123" t="s">
        <v>1273</v>
      </c>
      <c r="F8" s="1627"/>
      <c r="G8" s="1627"/>
      <c r="H8" s="1627"/>
      <c r="I8" s="1281"/>
    </row>
    <row r="9" spans="1:12" ht="12.75">
      <c r="A9" s="3268"/>
      <c r="B9" s="3323"/>
      <c r="C9" s="3327"/>
      <c r="D9" s="3314"/>
      <c r="E9" s="123" t="s">
        <v>1274</v>
      </c>
      <c r="F9" s="1627"/>
      <c r="G9" s="1627"/>
      <c r="H9" s="1627"/>
      <c r="I9" s="1281"/>
    </row>
    <row r="10" spans="1:12" ht="12.75">
      <c r="A10" s="3268" t="s">
        <v>1275</v>
      </c>
      <c r="B10" s="3323">
        <v>15</v>
      </c>
      <c r="C10" s="3326"/>
      <c r="D10" s="3314"/>
      <c r="E10" s="123" t="s">
        <v>1276</v>
      </c>
      <c r="F10" s="1627"/>
      <c r="G10" s="1627"/>
      <c r="H10" s="1627"/>
      <c r="I10" s="1281"/>
    </row>
    <row r="11" spans="1:12" ht="12.75">
      <c r="A11" s="3268"/>
      <c r="B11" s="3323"/>
      <c r="C11" s="3327"/>
      <c r="D11" s="3314"/>
      <c r="E11" s="123" t="s">
        <v>1277</v>
      </c>
      <c r="F11" s="1627"/>
      <c r="G11" s="1627"/>
      <c r="H11" s="1627"/>
      <c r="I11" s="1281"/>
    </row>
    <row r="12" spans="1:12" ht="12.75">
      <c r="A12" s="3268" t="s">
        <v>1278</v>
      </c>
      <c r="B12" s="3323">
        <v>15</v>
      </c>
      <c r="C12" s="3326"/>
      <c r="D12" s="3314"/>
      <c r="E12" s="123" t="s">
        <v>1279</v>
      </c>
      <c r="F12" s="1627"/>
      <c r="G12" s="1627"/>
      <c r="H12" s="1627"/>
      <c r="I12" s="1281"/>
    </row>
    <row r="13" spans="1:12" ht="12.75">
      <c r="A13" s="3268"/>
      <c r="B13" s="3323"/>
      <c r="C13" s="3327"/>
      <c r="D13" s="3314"/>
      <c r="E13" s="123" t="s">
        <v>1280</v>
      </c>
      <c r="F13" s="1627"/>
      <c r="G13" s="1627"/>
      <c r="H13" s="1627"/>
      <c r="I13" s="1281"/>
    </row>
    <row r="14" spans="1:12" ht="12.75">
      <c r="A14" s="3268" t="s">
        <v>1281</v>
      </c>
      <c r="B14" s="3323">
        <v>30</v>
      </c>
      <c r="C14" s="3326">
        <v>5</v>
      </c>
      <c r="D14" s="3314">
        <v>5</v>
      </c>
      <c r="E14" s="123" t="s">
        <v>1282</v>
      </c>
      <c r="F14" s="1627"/>
      <c r="G14" s="1627"/>
      <c r="H14" s="1627"/>
      <c r="I14" s="1281"/>
    </row>
    <row r="15" spans="1:12" ht="12.75">
      <c r="A15" s="3268"/>
      <c r="B15" s="3323"/>
      <c r="C15" s="3328"/>
      <c r="D15" s="3314"/>
      <c r="E15" s="123" t="s">
        <v>1283</v>
      </c>
      <c r="F15" s="1627"/>
      <c r="G15" s="1627"/>
      <c r="H15" s="1627"/>
      <c r="I15" s="1281"/>
    </row>
    <row r="16" spans="1:12" ht="12.75">
      <c r="A16" s="3268"/>
      <c r="B16" s="3323"/>
      <c r="C16" s="3327"/>
      <c r="D16" s="3314"/>
      <c r="E16" s="123" t="s">
        <v>1284</v>
      </c>
      <c r="F16" s="1627"/>
      <c r="G16" s="1627"/>
      <c r="H16" s="1627"/>
      <c r="I16" s="1281"/>
    </row>
    <row r="17" spans="1:36" ht="15">
      <c r="A17" s="1628" t="s">
        <v>1285</v>
      </c>
      <c r="B17" s="54"/>
      <c r="C17" s="124">
        <f>SUM(C5:C16)</f>
        <v>5</v>
      </c>
      <c r="D17" s="124">
        <f>SUM(D5:D16)</f>
        <v>5</v>
      </c>
      <c r="E17" s="121"/>
      <c r="F17" s="121"/>
      <c r="G17" s="121"/>
      <c r="H17" s="121"/>
      <c r="I17" s="121"/>
      <c r="K17" s="294"/>
      <c r="L17" s="294" t="s">
        <v>1286</v>
      </c>
      <c r="M17" s="294" t="s">
        <v>1287</v>
      </c>
    </row>
    <row r="18" spans="1:36" ht="31.9" customHeight="1" thickBot="1">
      <c r="A18" s="1629" t="s">
        <v>1288</v>
      </c>
      <c r="B18" s="1542"/>
      <c r="C18" s="125">
        <f>ROUND(C17/SUM(C17:D17),2)</f>
        <v>0.5</v>
      </c>
      <c r="D18" s="125">
        <f>1-C18</f>
        <v>0.5</v>
      </c>
      <c r="E18" s="3345" t="s">
        <v>2131</v>
      </c>
      <c r="F18" s="3346"/>
      <c r="G18" s="3346"/>
      <c r="H18" s="3346"/>
      <c r="I18" s="3346"/>
      <c r="K18" s="294" t="s">
        <v>1289</v>
      </c>
      <c r="L18" s="294">
        <f>IF(C1="",'数据-汇总表'!E3,SUMIF(项目类型,C1,'数据-汇总表'!E17:E26)+SUMIF(项目类型,C1,'数据-汇总表'!I17:I26))</f>
        <v>606.78</v>
      </c>
      <c r="M18" s="294">
        <f>IF(C1="",'数据-汇总表'!E3,SUMIF(项目类型,C1,'数据-汇总表'!E17:E26))</f>
        <v>606.78</v>
      </c>
    </row>
    <row r="19" spans="1:36" ht="15">
      <c r="A19" s="1630" t="s">
        <v>1290</v>
      </c>
      <c r="B19" s="1631" t="s">
        <v>1291</v>
      </c>
      <c r="C19" s="126">
        <f ca="1">SUMIF(INDIRECT("'"&amp;C4&amp;"'"&amp;"!A:A"),结果表!B19,INDIRECT("'"&amp;C4&amp;"'"&amp;"!B:B"))</f>
        <v>1282.3688999999999</v>
      </c>
      <c r="D19" s="127">
        <f ca="1">SUMIF(INDIRECT("'"&amp;D4&amp;"'"&amp;"!A:A"),结果表!B19,INDIRECT("'"&amp;D4&amp;"'"&amp;"!B:B"))</f>
        <v>1230.5503000000001</v>
      </c>
      <c r="E19" s="1630" t="s">
        <v>1292</v>
      </c>
      <c r="F19" s="1631" t="s">
        <v>1291</v>
      </c>
      <c r="G19" s="128">
        <f ca="1">ROUND(C19*$C$18+D19*$D$18,0)</f>
        <v>1256</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21134</v>
      </c>
      <c r="D20" s="130">
        <f ca="1">SUMIF(INDIRECT("'"&amp;D4&amp;"'"&amp;"!A:A"),结果表!B20,INDIRECT("'"&amp;D4&amp;"'"&amp;"!B:B"))</f>
        <v>20280</v>
      </c>
      <c r="E20" s="1633"/>
      <c r="F20" s="43" t="s">
        <v>1295</v>
      </c>
      <c r="G20" s="131">
        <f ca="1">ROUND(C20*$C$18+D20*$D$18,0)</f>
        <v>20707</v>
      </c>
      <c r="H20" s="760" t="s">
        <v>1296</v>
      </c>
      <c r="I20" s="121">
        <f ca="1">ROUND(G20*'数据-汇总表'!E3,0)</f>
        <v>12564593</v>
      </c>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4.211010309777663E-2</v>
      </c>
      <c r="E22" s="121"/>
      <c r="F22" s="121"/>
      <c r="G22" s="121"/>
      <c r="H22" s="121"/>
      <c r="I22" s="121"/>
    </row>
    <row r="23" spans="1:36" ht="13.5" thickBot="1">
      <c r="A23" s="646"/>
      <c r="B23" s="646"/>
      <c r="C23" s="646"/>
      <c r="D23" s="646"/>
      <c r="E23" s="121"/>
      <c r="F23" s="121"/>
      <c r="G23" s="121"/>
      <c r="H23" s="121"/>
      <c r="I23" s="121"/>
    </row>
    <row r="24" spans="1:36" ht="14.25">
      <c r="A24" s="3338" t="s">
        <v>1299</v>
      </c>
      <c r="B24" s="1631" t="s">
        <v>1291</v>
      </c>
      <c r="C24" s="128">
        <f>IF(B30=0,0,D30)</f>
        <v>0</v>
      </c>
      <c r="D24" s="1637"/>
      <c r="E24" s="121"/>
      <c r="F24" s="121"/>
      <c r="G24" s="121"/>
      <c r="H24" s="121"/>
      <c r="I24" s="121"/>
    </row>
    <row r="25" spans="1:36" ht="14.25">
      <c r="A25" s="333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20707</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5" t="s">
        <v>1312</v>
      </c>
      <c r="B36" s="1652" t="s">
        <v>1313</v>
      </c>
      <c r="C36" s="137"/>
      <c r="D36" s="1653"/>
      <c r="E36" s="1567"/>
      <c r="F36" s="1654"/>
      <c r="G36" s="121"/>
      <c r="H36" s="121"/>
      <c r="I36" s="121"/>
    </row>
    <row r="37" spans="1:15" ht="15.75" thickBot="1">
      <c r="A37" s="3316"/>
      <c r="B37" s="1555" t="s">
        <v>1314</v>
      </c>
      <c r="C37" s="139"/>
      <c r="D37" s="1071"/>
      <c r="E37" s="1071"/>
      <c r="F37" s="1654"/>
      <c r="G37" s="121"/>
      <c r="H37" s="121"/>
      <c r="I37" s="121"/>
    </row>
    <row r="38" spans="1:15" ht="15.75" thickBot="1">
      <c r="A38" s="331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5" t="s">
        <v>1326</v>
      </c>
      <c r="B45" s="3336"/>
      <c r="C45" s="3337"/>
      <c r="D45" s="147" t="e">
        <f ca="1">ROUND(H101*F45,0)</f>
        <v>#REF!</v>
      </c>
      <c r="E45" s="148" t="s">
        <v>1327</v>
      </c>
      <c r="F45" s="149">
        <v>1</v>
      </c>
      <c r="G45" s="150" t="s">
        <v>1328</v>
      </c>
      <c r="H45" s="121"/>
      <c r="I45" s="121"/>
      <c r="J45" s="3255" t="s">
        <v>1329</v>
      </c>
      <c r="K45" s="3255"/>
      <c r="L45" s="3255"/>
      <c r="M45" s="3255"/>
      <c r="N45" s="3255"/>
      <c r="O45" s="3255"/>
    </row>
    <row r="46" spans="1:15" ht="14.25" customHeight="1">
      <c r="A46" s="3332" t="s">
        <v>1330</v>
      </c>
      <c r="B46" s="3333"/>
      <c r="C46" s="3333"/>
      <c r="D46" s="3333"/>
      <c r="E46" s="3333"/>
      <c r="F46" s="3333"/>
      <c r="G46" s="3334"/>
      <c r="H46" s="1668"/>
      <c r="I46" s="151"/>
      <c r="J46" s="2310">
        <v>1</v>
      </c>
      <c r="K46" s="3256" t="s">
        <v>1331</v>
      </c>
      <c r="L46" s="3256"/>
      <c r="M46" s="3257"/>
      <c r="N46" s="3257"/>
      <c r="O46" s="3257"/>
    </row>
    <row r="47" spans="1:15" ht="12" customHeight="1">
      <c r="A47" s="152" t="s">
        <v>1332</v>
      </c>
      <c r="B47" s="153"/>
      <c r="C47" s="154"/>
      <c r="D47" s="1024" t="s">
        <v>1333</v>
      </c>
      <c r="E47" s="294" t="s">
        <v>1334</v>
      </c>
      <c r="F47" s="155" t="s">
        <v>1335</v>
      </c>
      <c r="G47" s="2333" t="s">
        <v>1336</v>
      </c>
      <c r="H47" s="2334"/>
      <c r="I47" s="151"/>
      <c r="J47" s="2310">
        <v>2</v>
      </c>
      <c r="K47" s="3256" t="s">
        <v>1337</v>
      </c>
      <c r="L47" s="3256"/>
      <c r="M47" s="3258">
        <f>'数据-取费表'!B2</f>
        <v>45693</v>
      </c>
      <c r="N47" s="3258"/>
      <c r="O47" s="3258"/>
    </row>
    <row r="48" spans="1:15" ht="25.5">
      <c r="A48" s="3318" t="s">
        <v>1338</v>
      </c>
      <c r="B48" s="3319"/>
      <c r="C48" s="3319"/>
      <c r="D48" s="12" t="b">
        <f>IF(H48="情况1",0,IF(H48="情况2",D52,IF(H48="情况3",D53,IF(H48="情况4",D54))))</f>
        <v>0</v>
      </c>
      <c r="E48" s="1256" t="str">
        <f>IF(H48="情况4","(销售额-原购置价)×税（费）率","销售额×税（费）率")</f>
        <v>销售额×税（费）率</v>
      </c>
      <c r="F48" s="2335">
        <f>IF(H48="情况1","免征",'数据-取费表'!B41)</f>
        <v>5.5000000000000007E-2</v>
      </c>
      <c r="G48" s="2336" t="s">
        <v>1339</v>
      </c>
      <c r="H48" s="2337"/>
      <c r="I48" s="1668"/>
      <c r="J48" s="2310">
        <v>3</v>
      </c>
      <c r="K48" s="3256" t="s">
        <v>1340</v>
      </c>
      <c r="L48" s="3256"/>
      <c r="M48" s="3259" t="e">
        <f ca="1">H101</f>
        <v>#REF!</v>
      </c>
      <c r="N48" s="3259"/>
      <c r="O48" s="3259"/>
    </row>
    <row r="49" spans="1:35" ht="25.5" customHeight="1">
      <c r="A49" s="2152" t="s">
        <v>1341</v>
      </c>
      <c r="B49" s="3304" t="s">
        <v>1342</v>
      </c>
      <c r="C49" s="3304"/>
      <c r="D49" s="1478">
        <v>0</v>
      </c>
      <c r="E49" s="316" t="s">
        <v>1343</v>
      </c>
      <c r="F49" s="2233" t="s">
        <v>28</v>
      </c>
      <c r="G49" s="3287"/>
      <c r="H49" s="2134" t="s">
        <v>2134</v>
      </c>
      <c r="I49" s="2135"/>
      <c r="J49" s="2310">
        <v>4</v>
      </c>
      <c r="K49" s="3256" t="str">
        <f>IF(项目基本情况!E8="房地产抵押价值","房地产抵押价值","抵押担保权已注销时的房地产抵押价值")</f>
        <v>房地产抵押价值</v>
      </c>
      <c r="L49" s="3256"/>
      <c r="M49" s="3259" t="str">
        <f ca="1">IF(项目基本情况!E8="房地产抵押价值",H107,H109)</f>
        <v>——</v>
      </c>
      <c r="N49" s="3259"/>
      <c r="O49" s="3259"/>
    </row>
    <row r="50" spans="1:35" ht="25.5" customHeight="1">
      <c r="A50" s="2338"/>
      <c r="B50" s="3304" t="s">
        <v>1344</v>
      </c>
      <c r="C50" s="3304"/>
      <c r="D50" s="2189"/>
      <c r="E50" s="323"/>
      <c r="F50" s="2233"/>
      <c r="G50" s="3288"/>
      <c r="H50" s="2136" t="s">
        <v>2135</v>
      </c>
      <c r="I50" s="2135"/>
      <c r="J50" s="3255" t="s">
        <v>1345</v>
      </c>
      <c r="K50" s="3255"/>
      <c r="L50" s="3255"/>
      <c r="M50" s="3255"/>
      <c r="N50" s="3255"/>
      <c r="O50" s="3255"/>
    </row>
    <row r="51" spans="1:35" ht="20.45" customHeight="1">
      <c r="A51" s="2339"/>
      <c r="B51" s="3304" t="s">
        <v>1346</v>
      </c>
      <c r="C51" s="3304"/>
      <c r="D51" s="1024"/>
      <c r="E51" s="319"/>
      <c r="F51" s="2233"/>
      <c r="G51" s="3289"/>
      <c r="H51" s="2136" t="s">
        <v>2136</v>
      </c>
      <c r="I51" s="2135"/>
      <c r="J51" s="2311" t="s">
        <v>1347</v>
      </c>
      <c r="K51" s="3256" t="s">
        <v>1348</v>
      </c>
      <c r="L51" s="3256"/>
      <c r="M51" s="2311" t="s">
        <v>1349</v>
      </c>
      <c r="N51" s="2311" t="s">
        <v>1350</v>
      </c>
      <c r="O51" s="2311" t="s">
        <v>1351</v>
      </c>
    </row>
    <row r="52" spans="1:35" ht="24" customHeight="1">
      <c r="A52" s="2153" t="s">
        <v>1352</v>
      </c>
      <c r="B52" s="3304" t="s">
        <v>1353</v>
      </c>
      <c r="C52" s="3304"/>
      <c r="D52" s="1024" t="e">
        <f ca="1">ROUND(D45*'数据-取费表'!B41/(1+'数据-取费表'!C42),0)</f>
        <v>#REF!</v>
      </c>
      <c r="E52" s="1256" t="s">
        <v>1354</v>
      </c>
      <c r="F52" s="2340">
        <f>'数据-取费表'!B41</f>
        <v>5.5000000000000007E-2</v>
      </c>
      <c r="G52" s="2341"/>
      <c r="H52" s="2331"/>
      <c r="I52" s="1669"/>
      <c r="J52" s="2310">
        <v>1</v>
      </c>
      <c r="K52" s="3281" t="s">
        <v>1355</v>
      </c>
      <c r="L52" s="3281"/>
      <c r="M52" s="2312" t="b">
        <f>D48</f>
        <v>0</v>
      </c>
      <c r="N52" s="2310" t="str">
        <f>E48</f>
        <v>销售额×税（费）率</v>
      </c>
      <c r="O52" s="2313">
        <f>F48</f>
        <v>5.5000000000000007E-2</v>
      </c>
    </row>
    <row r="53" spans="1:35" ht="12" customHeight="1">
      <c r="A53" s="2153" t="s">
        <v>1356</v>
      </c>
      <c r="B53" s="3305" t="s">
        <v>2282</v>
      </c>
      <c r="C53" s="3306"/>
      <c r="D53" s="1024" t="e">
        <f ca="1">ROUND(D45*'数据-取费表'!B41/(1+'数据-取费表'!C42),0)</f>
        <v>#REF!</v>
      </c>
      <c r="E53" s="1256" t="s">
        <v>1354</v>
      </c>
      <c r="F53" s="2340">
        <f>'数据-取费表'!B41</f>
        <v>5.5000000000000007E-2</v>
      </c>
      <c r="G53" s="2341"/>
      <c r="H53" s="2331"/>
      <c r="I53" s="1669"/>
      <c r="J53" s="2310">
        <v>2</v>
      </c>
      <c r="K53" s="3281" t="s">
        <v>1357</v>
      </c>
      <c r="L53" s="3281"/>
      <c r="M53" s="2312" t="e">
        <f t="shared" ref="M53:O54" ca="1" si="0">D55</f>
        <v>#REF!</v>
      </c>
      <c r="N53" s="2310" t="str">
        <f t="shared" si="0"/>
        <v>销售额×税（费）率</v>
      </c>
      <c r="O53" s="2313" t="str">
        <f t="shared" si="0"/>
        <v>免征</v>
      </c>
    </row>
    <row r="54" spans="1:35" ht="12" customHeight="1">
      <c r="A54" s="2153" t="s">
        <v>1358</v>
      </c>
      <c r="B54" s="3305" t="s">
        <v>2283</v>
      </c>
      <c r="C54" s="3306"/>
      <c r="D54" s="1024" t="e">
        <f ca="1">C68</f>
        <v>#REF!</v>
      </c>
      <c r="E54" s="319" t="s">
        <v>1359</v>
      </c>
      <c r="F54" s="2340">
        <f>'数据-取费表'!B41</f>
        <v>5.5000000000000007E-2</v>
      </c>
      <c r="G54" s="2341"/>
      <c r="H54" s="2342"/>
      <c r="I54" s="1669"/>
      <c r="J54" s="2310">
        <v>3</v>
      </c>
      <c r="K54" s="3281" t="s">
        <v>1360</v>
      </c>
      <c r="L54" s="3281"/>
      <c r="M54" s="2312" t="e">
        <f t="shared" ca="1" si="0"/>
        <v>#REF!</v>
      </c>
      <c r="N54" s="2310" t="str">
        <f t="shared" si="0"/>
        <v>增值额×税（费）率</v>
      </c>
      <c r="O54" s="2314" t="str">
        <f t="shared" si="0"/>
        <v>免征</v>
      </c>
    </row>
    <row r="55" spans="1:35" ht="24" customHeight="1">
      <c r="A55" s="3341" t="s">
        <v>1361</v>
      </c>
      <c r="B55" s="3319"/>
      <c r="C55" s="3319"/>
      <c r="D55" s="12" t="e">
        <f ca="1">IF(H55="个人住宅",0,ROUND(D45*I55,0))</f>
        <v>#REF!</v>
      </c>
      <c r="E55" s="1256" t="s">
        <v>1362</v>
      </c>
      <c r="F55" s="2340" t="str">
        <f>IF(H55="正常",I55,"免征")</f>
        <v>免征</v>
      </c>
      <c r="G55" s="2341"/>
      <c r="H55" s="2337"/>
      <c r="I55" s="157">
        <f>'数据-取费表'!B49</f>
        <v>5.0000000000000001E-4</v>
      </c>
      <c r="J55" s="2310">
        <f>IF(H59="非个人房产","",4)</f>
        <v>4</v>
      </c>
      <c r="K55" s="3281" t="str">
        <f>IF(H59="非个人房产","——","个人所得税")</f>
        <v>个人所得税</v>
      </c>
      <c r="L55" s="3281"/>
      <c r="M55" s="2315" t="e">
        <f ca="1">D59</f>
        <v>#REF!</v>
      </c>
      <c r="N55" s="1883" t="str">
        <f>E59</f>
        <v>差额计税</v>
      </c>
      <c r="O55" s="2316">
        <f>F59</f>
        <v>0.01</v>
      </c>
    </row>
    <row r="56" spans="1:35" ht="24.75">
      <c r="A56" s="3341" t="s">
        <v>1363</v>
      </c>
      <c r="B56" s="3319"/>
      <c r="C56" s="3319"/>
      <c r="D56" s="12" t="e">
        <f ca="1">IF(H56="个人住宅",D57,D58)</f>
        <v>#REF!</v>
      </c>
      <c r="E56" s="1256" t="s">
        <v>1364</v>
      </c>
      <c r="F56" s="2340" t="str">
        <f>IF(H56="正常",F58,"免征")</f>
        <v>免征</v>
      </c>
      <c r="G56" s="2343" t="s">
        <v>1365</v>
      </c>
      <c r="H56" s="2344"/>
      <c r="I56" s="1670"/>
      <c r="J56" s="2310" t="str">
        <f>IF(项目基本情况!K6="上海银行",IF(J55="",4,J55+1),"")</f>
        <v/>
      </c>
      <c r="K56" s="3262" t="str">
        <f>IF(项目基本情况!K6="上海银行","其他处置费用","")</f>
        <v/>
      </c>
      <c r="L56" s="3263"/>
      <c r="M56" s="2312" t="str">
        <f>IF(项目基本情况!K6="上海银行",M69,"")</f>
        <v/>
      </c>
      <c r="N56" s="3262" t="str">
        <f>IF(项目基本情况!K6="上海银行","包含处置中涉及的律师、诉讼、拍卖、评估等费用","")</f>
        <v/>
      </c>
      <c r="O56" s="3265"/>
    </row>
    <row r="57" spans="1:35" ht="12.75">
      <c r="A57" s="2153" t="s">
        <v>1341</v>
      </c>
      <c r="B57" s="3305" t="s">
        <v>1366</v>
      </c>
      <c r="C57" s="3306"/>
      <c r="D57" s="1478">
        <v>0</v>
      </c>
      <c r="E57" s="316" t="s">
        <v>1343</v>
      </c>
      <c r="F57" s="294"/>
      <c r="G57" s="2341"/>
      <c r="H57" s="2345"/>
      <c r="I57" s="1670"/>
      <c r="J57" s="3281">
        <f>IF(AND(J55="",J56=""),4,IF(项目基本情况!K6="上海银行",结果表!J56+1,结果表!J55+1))</f>
        <v>5</v>
      </c>
      <c r="K57" s="3281" t="s">
        <v>1367</v>
      </c>
      <c r="L57" s="2317" t="s">
        <v>1368</v>
      </c>
      <c r="M57" s="2318"/>
      <c r="N57" s="2319">
        <f ca="1">SUMIF(M52:M56,"&lt;9e307")</f>
        <v>0</v>
      </c>
      <c r="O57" s="2320"/>
      <c r="P57" s="2465" t="e">
        <f ca="1">N57/M49</f>
        <v>#VALUE!</v>
      </c>
    </row>
    <row r="58" spans="1:35" ht="24.75">
      <c r="A58" s="2153" t="s">
        <v>1352</v>
      </c>
      <c r="B58" s="3305" t="s">
        <v>1369</v>
      </c>
      <c r="C58" s="3304"/>
      <c r="D58" s="12" t="e">
        <f ca="1">IF(H58="转让取得",C81,C97)</f>
        <v>#REF!</v>
      </c>
      <c r="E58" s="1256" t="s">
        <v>1364</v>
      </c>
      <c r="F58" s="294" t="s">
        <v>28</v>
      </c>
      <c r="G58" s="2341"/>
      <c r="H58" s="2344"/>
      <c r="I58" s="1670"/>
      <c r="J58" s="3281"/>
      <c r="K58" s="3281"/>
      <c r="L58" s="2317" t="s">
        <v>1370</v>
      </c>
      <c r="M58" s="2321"/>
      <c r="N58" s="2322" t="str">
        <f ca="1">NUMBERSTRING(INT(N57*10000),2)&amp;"元整"</f>
        <v>零元整</v>
      </c>
      <c r="O58" s="2323"/>
    </row>
    <row r="59" spans="1:35" ht="24.75" thickBot="1">
      <c r="A59" s="3285" t="s">
        <v>1371</v>
      </c>
      <c r="B59" s="3286"/>
      <c r="C59" s="3286"/>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283">
        <f>J57+1</f>
        <v>6</v>
      </c>
      <c r="K59" s="3281" t="s">
        <v>1372</v>
      </c>
      <c r="L59" s="2310" t="s">
        <v>1368</v>
      </c>
      <c r="M59" s="2324"/>
      <c r="N59" s="2325" t="e">
        <f ca="1">M49-N57</f>
        <v>#VALUE!</v>
      </c>
      <c r="O59" s="2326"/>
    </row>
    <row r="60" spans="1:35" ht="12" customHeight="1">
      <c r="A60" s="1671"/>
      <c r="B60" s="646"/>
      <c r="C60" s="646"/>
      <c r="D60" s="646"/>
      <c r="E60" s="1466"/>
      <c r="F60" s="1670"/>
      <c r="G60" s="1670"/>
      <c r="H60" s="151"/>
      <c r="I60" s="121"/>
      <c r="J60" s="3284"/>
      <c r="K60" s="3281"/>
      <c r="L60" s="2317" t="s">
        <v>1370</v>
      </c>
      <c r="M60" s="2321"/>
      <c r="N60" s="2322" t="e">
        <f ca="1">NUMBERSTRING(INT(N59*10000),2)&amp;"元整"</f>
        <v>#VALUE!</v>
      </c>
      <c r="O60" s="2323"/>
    </row>
    <row r="61" spans="1:35" ht="13.5" thickBot="1">
      <c r="A61" s="3340" t="s">
        <v>1373</v>
      </c>
      <c r="B61" s="3340"/>
      <c r="C61" s="3340"/>
      <c r="D61" s="3340"/>
      <c r="E61" s="3340"/>
      <c r="F61" s="1670"/>
      <c r="G61" s="1670"/>
      <c r="H61" s="151"/>
      <c r="I61" s="121"/>
      <c r="J61" s="2310">
        <f>J59+1</f>
        <v>7</v>
      </c>
      <c r="K61" s="3281" t="s">
        <v>1374</v>
      </c>
      <c r="L61" s="3281"/>
      <c r="M61" s="2327"/>
      <c r="N61" s="2328" t="e">
        <f ca="1">ROUND(N59*10000/'数据-汇总表'!E3,0)</f>
        <v>#VALUE!</v>
      </c>
      <c r="O61" s="2329"/>
    </row>
    <row r="62" spans="1:35" ht="12.75">
      <c r="A62" s="3300" t="s">
        <v>1375</v>
      </c>
      <c r="B62" s="3301"/>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64"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264"/>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264"/>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264"/>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64"/>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5.5000000000000007E-2</v>
      </c>
      <c r="E68" s="170"/>
      <c r="F68" s="1670"/>
      <c r="G68" s="1670"/>
      <c r="H68" s="151"/>
      <c r="I68" s="121"/>
      <c r="J68" s="3264"/>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264"/>
      <c r="K69" s="1245" t="s">
        <v>1393</v>
      </c>
      <c r="L69" s="1245"/>
      <c r="M69" s="294" t="e">
        <f ca="1">ROUND(SUM(M63:M68),0)</f>
        <v>#VALUE!</v>
      </c>
      <c r="N69" s="2332" t="e">
        <f ca="1">M69/M49</f>
        <v>#VALUE!</v>
      </c>
      <c r="Z69" s="1623"/>
      <c r="AI69" s="1561"/>
    </row>
    <row r="70" spans="1:35" s="642" customFormat="1" ht="15" thickBot="1">
      <c r="A70" s="3308" t="s">
        <v>1394</v>
      </c>
      <c r="B70" s="3309"/>
      <c r="C70" s="3309"/>
      <c r="D70" s="3309"/>
      <c r="E70" s="3309"/>
      <c r="F70" s="3309"/>
      <c r="G70" s="3309"/>
      <c r="H70" s="330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00" t="s">
        <v>1375</v>
      </c>
      <c r="B71" s="330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5" t="s">
        <v>1402</v>
      </c>
      <c r="F76" s="3304"/>
      <c r="G76" s="3304"/>
      <c r="H76" s="330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5.000000000000001E-3</v>
      </c>
      <c r="E78" s="3297" t="s">
        <v>1406</v>
      </c>
      <c r="F78" s="3298"/>
      <c r="G78" s="3298"/>
      <c r="H78" s="329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8" t="s">
        <v>1410</v>
      </c>
      <c r="B83" s="3309"/>
      <c r="C83" s="3309"/>
      <c r="D83" s="3309"/>
      <c r="E83" s="3309"/>
      <c r="F83" s="3309"/>
      <c r="G83" s="3309"/>
      <c r="H83" s="330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00" t="s">
        <v>1375</v>
      </c>
      <c r="B84" s="330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6" t="s">
        <v>2129</v>
      </c>
      <c r="H90" s="3267"/>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7" t="s">
        <v>1419</v>
      </c>
      <c r="F91" s="3298"/>
      <c r="G91" s="329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7" t="s">
        <v>1422</v>
      </c>
      <c r="F92" s="3298"/>
      <c r="G92" s="3298"/>
      <c r="H92" s="3299"/>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5.000000000000001E-3</v>
      </c>
      <c r="E93" s="3297" t="s">
        <v>1406</v>
      </c>
      <c r="F93" s="3298"/>
      <c r="G93" s="3298"/>
      <c r="H93" s="329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2" t="s">
        <v>1426</v>
      </c>
      <c r="F94" s="3343"/>
      <c r="G94" s="3343"/>
      <c r="H94" s="334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82"/>
      <c r="E100" s="3248" t="s">
        <v>1429</v>
      </c>
      <c r="F100" s="3248"/>
      <c r="G100" s="3248"/>
      <c r="H100" s="3282"/>
      <c r="I100" s="121"/>
    </row>
    <row r="101" spans="1:35" ht="18.75" customHeight="1">
      <c r="A101" s="3290" t="s">
        <v>1430</v>
      </c>
      <c r="B101" s="3291"/>
      <c r="C101" s="2371" t="str">
        <f>C4</f>
        <v>比较法-办公</v>
      </c>
      <c r="D101" s="2372" t="str">
        <f>D4</f>
        <v>收益法 (元)</v>
      </c>
      <c r="E101" s="3260" t="s">
        <v>1431</v>
      </c>
      <c r="F101" s="3261"/>
      <c r="G101" s="1687" t="s">
        <v>1432</v>
      </c>
      <c r="H101" s="2381" t="e">
        <f ca="1">H118</f>
        <v>#REF!</v>
      </c>
      <c r="I101" s="121"/>
    </row>
    <row r="102" spans="1:35" ht="18.75" customHeight="1">
      <c r="A102" s="3292" t="s">
        <v>1433</v>
      </c>
      <c r="B102" s="2370" t="s">
        <v>1432</v>
      </c>
      <c r="C102" s="2371">
        <f ca="1">IF(D32="楼面单价",ROUND(C19,0),C19)</f>
        <v>1282.3688999999999</v>
      </c>
      <c r="D102" s="2372">
        <f ca="1">IF(D32="楼面单价",ROUND(D19,0),D19)</f>
        <v>1230.5503000000001</v>
      </c>
      <c r="E102" s="3260"/>
      <c r="F102" s="3261"/>
      <c r="G102" s="1687" t="s">
        <v>1434</v>
      </c>
      <c r="H102" s="2341" t="e">
        <f ca="1">I118</f>
        <v>#REF!</v>
      </c>
      <c r="I102" s="121"/>
    </row>
    <row r="103" spans="1:35" ht="42.75" customHeight="1">
      <c r="A103" s="3292"/>
      <c r="B103" s="2370" t="s">
        <v>1434</v>
      </c>
      <c r="C103" s="2373">
        <f ca="1">C20</f>
        <v>21134</v>
      </c>
      <c r="D103" s="2374">
        <f ca="1">D20</f>
        <v>20280</v>
      </c>
      <c r="E103" s="3253" t="s">
        <v>1435</v>
      </c>
      <c r="F103" s="3254"/>
      <c r="G103" s="1688" t="s">
        <v>1436</v>
      </c>
      <c r="H103" s="2381">
        <f>IF(D36="正常操作",H104+H105+H106,H105+H106)</f>
        <v>0</v>
      </c>
      <c r="I103" s="121"/>
    </row>
    <row r="104" spans="1:35" ht="18.75" customHeight="1">
      <c r="A104" s="3292"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2"/>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3" t="str">
        <f>IF(项目基本情况!E8="已注销","——","3.房地产抵押价值")</f>
        <v>3.房地产抵押价值</v>
      </c>
      <c r="F107" s="3261"/>
      <c r="G107" s="1687" t="s">
        <v>1432</v>
      </c>
      <c r="H107" s="2381" t="e">
        <f ca="1">IF(E107="——","——",H101-H103)</f>
        <v>#REF!</v>
      </c>
      <c r="I107" s="121"/>
    </row>
    <row r="108" spans="1:35" ht="18.75" customHeight="1">
      <c r="A108" s="121"/>
      <c r="B108" s="121"/>
      <c r="C108" s="121"/>
      <c r="D108" s="121"/>
      <c r="E108" s="3293"/>
      <c r="F108" s="3261"/>
      <c r="G108" s="1687" t="s">
        <v>1434</v>
      </c>
      <c r="H108" s="2341">
        <f ca="1">IF(H107=H101,H102,ROUND(H107*10000/'数据-汇总表'!E3,0))</f>
        <v>0</v>
      </c>
      <c r="I108" s="121"/>
    </row>
    <row r="109" spans="1:35" ht="18.75" customHeight="1">
      <c r="A109" s="121"/>
      <c r="B109" s="121"/>
      <c r="C109" s="121"/>
      <c r="D109" s="121"/>
      <c r="E109" s="3293" t="str">
        <f>IF(项目基本情况!E8="已注销及未注销","4.抵押担保权已注销时的房地产抵押价值",IF(项目基本情况!E8="已注销","3.抵押担保权已注销时的房地产抵押价值","——"))</f>
        <v>——</v>
      </c>
      <c r="F109" s="3261"/>
      <c r="G109" s="1687" t="s">
        <v>1432</v>
      </c>
      <c r="H109" s="2384" t="str">
        <f>IF(E109="——","——",H101-H105-H106)</f>
        <v>——</v>
      </c>
      <c r="I109" s="121"/>
    </row>
    <row r="110" spans="1:35" ht="18.75" customHeight="1">
      <c r="A110" s="121"/>
      <c r="B110" s="121"/>
      <c r="C110" s="121"/>
      <c r="D110" s="121"/>
      <c r="E110" s="3293"/>
      <c r="F110" s="3261"/>
      <c r="G110" s="1687" t="s">
        <v>1434</v>
      </c>
      <c r="H110" s="2341" t="str">
        <f>IF(H109="——","——",ROUND(H109*10000/'数据-汇总表'!E3,0))</f>
        <v>——</v>
      </c>
      <c r="I110" s="121"/>
    </row>
    <row r="111" spans="1:35" ht="18.75" customHeight="1">
      <c r="A111" s="121"/>
      <c r="B111" s="121"/>
      <c r="C111" s="121"/>
      <c r="D111" s="121"/>
      <c r="E111" s="3294" t="str">
        <f>IF(项目基本情况!E9="抵押净值",IF(OR(项目基本情况!E8="已注销",项目基本情况!E8="房地产抵押价值"),"4.抵押净值","5.抵押净值"),"——")</f>
        <v>——</v>
      </c>
      <c r="F111" s="3280"/>
      <c r="G111" s="1687" t="s">
        <v>1432</v>
      </c>
      <c r="H111" s="2381" t="str">
        <f>IF(E111="——","——",N59)</f>
        <v>——</v>
      </c>
      <c r="I111" s="121"/>
    </row>
    <row r="112" spans="1:35" ht="18.75" customHeight="1" thickBot="1">
      <c r="A112" s="121"/>
      <c r="B112" s="121"/>
      <c r="C112" s="121"/>
      <c r="D112" s="121"/>
      <c r="E112" s="3295"/>
      <c r="F112" s="3296"/>
      <c r="G112" s="1690" t="s">
        <v>1434</v>
      </c>
      <c r="H112" s="2385"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1" t="s">
        <v>1442</v>
      </c>
      <c r="B115" s="3312"/>
      <c r="C115" s="3312"/>
      <c r="D115" s="3312"/>
      <c r="E115" s="3312"/>
      <c r="F115" s="3312"/>
      <c r="G115" s="3312"/>
      <c r="H115" s="3312"/>
      <c r="I115" s="3313"/>
    </row>
    <row r="116" spans="1:27" ht="27" customHeight="1">
      <c r="A116" s="3268" t="s">
        <v>1443</v>
      </c>
      <c r="B116" s="3272" t="s">
        <v>1444</v>
      </c>
      <c r="C116" s="3272" t="s">
        <v>1445</v>
      </c>
      <c r="D116" s="3278" t="s">
        <v>1446</v>
      </c>
      <c r="E116" s="3279"/>
      <c r="F116" s="3310" t="s">
        <v>1447</v>
      </c>
      <c r="G116" s="3310"/>
      <c r="H116" s="3268" t="s">
        <v>1448</v>
      </c>
      <c r="I116" s="3268"/>
    </row>
    <row r="117" spans="1:27" ht="18.75" customHeight="1">
      <c r="A117" s="3268"/>
      <c r="B117" s="3273"/>
      <c r="C117" s="3273"/>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606.78</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8" t="s">
        <v>1452</v>
      </c>
      <c r="B119" s="3268"/>
      <c r="C119" s="3268"/>
      <c r="D119" s="3274" t="e">
        <f ca="1">NUMBERSTRING(INT(D118*10000),2)&amp;"元整"</f>
        <v>#REF!</v>
      </c>
      <c r="E119" s="3275"/>
      <c r="F119" s="3274" t="e">
        <f ca="1">NUMBERSTRING(INT(F118*10000),2)&amp;"元整"</f>
        <v>#REF!</v>
      </c>
      <c r="G119" s="3275"/>
      <c r="H119" s="3274" t="e">
        <f ca="1">NUMBERSTRING(INT(H118*10000),2)&amp;"元整"</f>
        <v>#REF!</v>
      </c>
      <c r="I119" s="3275"/>
    </row>
    <row r="120" spans="1:27" ht="18.75" customHeight="1">
      <c r="A120" s="3269" t="str">
        <f>IF(项目基本情况!B9="房地产市场价值","",MID(E103,3,LEN(E103)-2))</f>
        <v>估价师知悉的法定优先受偿款</v>
      </c>
      <c r="B120" s="3270"/>
      <c r="C120" s="3271"/>
      <c r="D120" s="3269">
        <f>H103</f>
        <v>0</v>
      </c>
      <c r="E120" s="3270"/>
      <c r="F120" s="3270"/>
      <c r="G120" s="3270"/>
      <c r="H120" s="3270"/>
      <c r="I120" s="327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4" t="s">
        <v>1452</v>
      </c>
      <c r="B121" s="3276"/>
      <c r="C121" s="3275"/>
      <c r="D121" s="3274" t="str">
        <f>IF(D120=0,"零元整",NUMBERSTRING(INT(D120*10000),2)&amp;"元整")</f>
        <v>零元整</v>
      </c>
      <c r="E121" s="3276"/>
      <c r="F121" s="3276"/>
      <c r="G121" s="3276"/>
      <c r="H121" s="3276"/>
      <c r="I121" s="3275"/>
      <c r="AA121" s="684"/>
    </row>
    <row r="122" spans="1:27" ht="18.75" customHeight="1">
      <c r="A122" s="3280" t="str">
        <f>IF(项目基本情况!B9="房地产市场价值","",MID(E107,3,LEN(E107)-2))</f>
        <v>房地产抵押价值</v>
      </c>
      <c r="B122" s="3280"/>
      <c r="C122" s="3280"/>
      <c r="D122" s="3269" t="e">
        <f ca="1">H107</f>
        <v>#REF!</v>
      </c>
      <c r="E122" s="3270"/>
      <c r="F122" s="3270"/>
      <c r="G122" s="3270"/>
      <c r="H122" s="3270"/>
      <c r="I122" s="3271"/>
      <c r="AA122" s="684"/>
    </row>
    <row r="123" spans="1:27" ht="18.75" customHeight="1">
      <c r="A123" s="3268" t="s">
        <v>1452</v>
      </c>
      <c r="B123" s="3268"/>
      <c r="C123" s="3268"/>
      <c r="D123" s="3274" t="e">
        <f ca="1">NUMBERSTRING(INT(D122*10000),2)&amp;"元整"</f>
        <v>#REF!</v>
      </c>
      <c r="E123" s="3276"/>
      <c r="F123" s="3276"/>
      <c r="G123" s="3276"/>
      <c r="H123" s="3276"/>
      <c r="I123" s="3275"/>
      <c r="AA123" s="684"/>
    </row>
    <row r="124" spans="1:27" ht="18.75" customHeight="1">
      <c r="A124" s="3280" t="str">
        <f>IF(项目基本情况!B9="房地产市场价值","",MID(E109,3,LEN(E109)-2))</f>
        <v/>
      </c>
      <c r="B124" s="3280"/>
      <c r="C124" s="3280"/>
      <c r="D124" s="3269" t="str">
        <f>H109</f>
        <v>——</v>
      </c>
      <c r="E124" s="3270"/>
      <c r="F124" s="3270"/>
      <c r="G124" s="3270"/>
      <c r="H124" s="3270"/>
      <c r="I124" s="3271"/>
      <c r="AA124" s="684"/>
    </row>
    <row r="125" spans="1:27" ht="18.75" customHeight="1">
      <c r="A125" s="3268" t="s">
        <v>1452</v>
      </c>
      <c r="B125" s="3268"/>
      <c r="C125" s="3268"/>
      <c r="D125" s="3274" t="e">
        <f>NUMBERSTRING(INT(D124*10000),2)&amp;"元整"</f>
        <v>#VALUE!</v>
      </c>
      <c r="E125" s="3276"/>
      <c r="F125" s="3276"/>
      <c r="G125" s="3276"/>
      <c r="H125" s="3276"/>
      <c r="I125" s="3275"/>
      <c r="AA125" s="684"/>
    </row>
    <row r="126" spans="1:27" ht="18.75" customHeight="1">
      <c r="A126" s="3280" t="str">
        <f>IF(项目基本情况!B9="房地产市场价值","",MID(E111,3,LEN(E111)-2))</f>
        <v/>
      </c>
      <c r="B126" s="3280"/>
      <c r="C126" s="3280"/>
      <c r="D126" s="3269" t="str">
        <f>H111</f>
        <v>——</v>
      </c>
      <c r="E126" s="3270"/>
      <c r="F126" s="3270"/>
      <c r="G126" s="3270"/>
      <c r="H126" s="3270"/>
      <c r="I126" s="3271"/>
      <c r="AA126" s="684"/>
    </row>
    <row r="127" spans="1:27" ht="18.75" customHeight="1">
      <c r="A127" s="3268" t="s">
        <v>1452</v>
      </c>
      <c r="B127" s="3268"/>
      <c r="C127" s="3268"/>
      <c r="D127" s="3274" t="e">
        <f>NUMBERSTRING(INT(D126*10000),2)&amp;"元整"</f>
        <v>#VALUE!</v>
      </c>
      <c r="E127" s="3276"/>
      <c r="F127" s="3276"/>
      <c r="G127" s="3276"/>
      <c r="H127" s="3276"/>
      <c r="I127" s="3275"/>
      <c r="AA127" s="684"/>
    </row>
    <row r="128" spans="1:27" ht="21.75" customHeight="1">
      <c r="A128" s="3277" t="s">
        <v>1453</v>
      </c>
      <c r="B128" s="3277"/>
      <c r="C128" s="3277"/>
      <c r="D128" s="3277"/>
      <c r="E128" s="3277"/>
      <c r="F128" s="3277"/>
      <c r="G128" s="3277"/>
      <c r="H128" s="3277"/>
      <c r="I128" s="3277"/>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327</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5389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12.1356</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12.1356</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12</v>
      </c>
      <c r="D10" s="795">
        <f ca="1">IF(B1="",'数据-汇总表'!E6,IF(INDIRECT("'数据-取费表'!c"&amp;$G$1)="住宅",INDIRECT("'数据-取费表'!s"&amp;$G$1),INDIRECT("'数据-取费表'!k"&amp;$G$1)+INDIRECT("'数据-取费表'!s"&amp;$G$1)))</f>
        <v>606.78</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12</v>
      </c>
      <c r="D19" s="204">
        <f ca="1">D9+D10</f>
        <v>606.78</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v>
      </c>
      <c r="D22" s="227">
        <f ca="1">C26</f>
        <v>5.9999999999999995E-4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4.75">
      <c r="A27" s="247" t="s">
        <v>1512</v>
      </c>
      <c r="B27" s="236" t="s">
        <v>1513</v>
      </c>
      <c r="C27" s="237">
        <f ca="1">C28</f>
        <v>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4</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272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243</v>
      </c>
      <c r="D34" s="209"/>
      <c r="E34" s="212"/>
      <c r="F34" s="249">
        <f ca="1">IF('数据-取费表'!B24=0,1,IF(B1="",'数据-取费表'!N16,INDIRECT("'数据-取费表'!n"&amp;$G$1)))</f>
        <v>1</v>
      </c>
      <c r="G34" s="211" t="s">
        <v>1526</v>
      </c>
    </row>
    <row r="35" spans="1:7" ht="13.5" customHeight="1">
      <c r="A35" s="734" t="s">
        <v>351</v>
      </c>
      <c r="B35" s="207" t="s">
        <v>1527</v>
      </c>
      <c r="C35" s="212">
        <f ca="1">ROUND(C34*F35,0)</f>
        <v>12</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12</v>
      </c>
      <c r="D37" s="209">
        <f ca="1">D19</f>
        <v>606.78</v>
      </c>
      <c r="E37" s="241">
        <f>'数据-取费表'!B35</f>
        <v>200</v>
      </c>
      <c r="F37" s="251"/>
      <c r="G37" s="253" t="s">
        <v>1532</v>
      </c>
    </row>
    <row r="38" spans="1:7" ht="13.5" customHeight="1">
      <c r="A38" s="734" t="s">
        <v>354</v>
      </c>
      <c r="B38" s="207" t="s">
        <v>1533</v>
      </c>
      <c r="C38" s="212">
        <f ca="1">ROUND(C34*F38,0)</f>
        <v>5</v>
      </c>
      <c r="D38" s="212"/>
      <c r="E38" s="212"/>
      <c r="F38" s="251">
        <f>'数据-取费表'!B36</f>
        <v>0.02</v>
      </c>
      <c r="G38" s="211" t="s">
        <v>1528</v>
      </c>
    </row>
    <row r="39" spans="1:7" s="206" customFormat="1" ht="13.5" customHeight="1">
      <c r="A39" s="247" t="s">
        <v>1534</v>
      </c>
      <c r="B39" s="202" t="s">
        <v>1535</v>
      </c>
      <c r="C39" s="224">
        <f ca="1">ROUND(C33*F20,0)</f>
        <v>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8</v>
      </c>
      <c r="D42" s="230"/>
      <c r="E42" s="230"/>
      <c r="F42" s="231"/>
      <c r="G42" s="3347" t="s">
        <v>1544</v>
      </c>
    </row>
    <row r="43" spans="1:7" ht="13.5" customHeight="1">
      <c r="A43" s="734" t="s">
        <v>347</v>
      </c>
      <c r="B43" s="207" t="s">
        <v>1545</v>
      </c>
      <c r="C43" s="230">
        <f ca="1">ROUND(IF('数据-取费表'!B22&lt;=1,C39*F22*'数据-取费表'!B21/2,C39*(POWER((1+F22),'数据-取费表'!B21/2)-1)),0)</f>
        <v>0</v>
      </c>
      <c r="D43" s="230"/>
      <c r="E43" s="230"/>
      <c r="F43" s="231"/>
      <c r="G43" s="3348"/>
    </row>
    <row r="44" spans="1:7" ht="13.5" customHeight="1">
      <c r="A44" s="734" t="s">
        <v>348</v>
      </c>
      <c r="B44" s="207" t="s">
        <v>1546</v>
      </c>
      <c r="C44" s="230">
        <f ca="1">ROUND(IF('数据-取费表'!B22&lt;=1,C40*F22*'数据-取费表'!B21/2,C40*(POWER((1+F22),'数据-取费表'!B21/2)-1)),4)</f>
        <v>5.9999999999999995E-4</v>
      </c>
      <c r="D44" s="230"/>
      <c r="E44" s="230"/>
      <c r="F44" s="231"/>
      <c r="G44" s="3349"/>
    </row>
    <row r="45" spans="1:7" s="206" customFormat="1" ht="13.5" customHeight="1">
      <c r="A45" s="247" t="s">
        <v>1547</v>
      </c>
      <c r="B45" s="236" t="s">
        <v>1513</v>
      </c>
      <c r="C45" s="237">
        <f ca="1">C46</f>
        <v>42</v>
      </c>
      <c r="D45" s="227">
        <f ca="1">C47</f>
        <v>3.0000000000000001E-3</v>
      </c>
      <c r="E45" s="228" t="s">
        <v>1539</v>
      </c>
      <c r="F45" s="238">
        <f ca="1">F27</f>
        <v>0.15</v>
      </c>
      <c r="G45" s="239" t="s">
        <v>1548</v>
      </c>
    </row>
    <row r="46" spans="1:7" s="206" customFormat="1" ht="13.5" customHeight="1">
      <c r="A46" s="734" t="s">
        <v>346</v>
      </c>
      <c r="B46" s="240" t="s">
        <v>1549</v>
      </c>
      <c r="C46" s="241">
        <f ca="1">ROUND((C33+C39)*F27,0)</f>
        <v>42</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354</v>
      </c>
      <c r="D49" s="224"/>
      <c r="E49" s="224"/>
      <c r="F49" s="256"/>
      <c r="G49" s="226" t="s">
        <v>1554</v>
      </c>
    </row>
    <row r="50" spans="1:7" s="250" customFormat="1" ht="24">
      <c r="A50" s="247" t="s">
        <v>1555</v>
      </c>
      <c r="B50" s="202" t="s">
        <v>1556</v>
      </c>
      <c r="C50" s="224"/>
      <c r="D50" s="224"/>
      <c r="E50" s="224"/>
      <c r="F50" s="256">
        <f>IF('数据-取费表'!B24=0,'数据-取费表'!N16,1)</f>
        <v>0.83</v>
      </c>
      <c r="G50" s="239" t="s">
        <v>1557</v>
      </c>
    </row>
    <row r="51" spans="1:7" ht="16.5" customHeight="1">
      <c r="A51" s="247" t="s">
        <v>1558</v>
      </c>
      <c r="B51" s="202" t="s">
        <v>1559</v>
      </c>
      <c r="C51" s="224">
        <f ca="1">ROUND(C49*F50,0)</f>
        <v>294</v>
      </c>
      <c r="D51" s="224"/>
      <c r="E51" s="224"/>
      <c r="F51" s="256"/>
      <c r="G51" s="226" t="s">
        <v>1560</v>
      </c>
    </row>
    <row r="52" spans="1:7" s="200" customFormat="1" ht="16.5" thickBot="1">
      <c r="A52" s="257" t="s">
        <v>1561</v>
      </c>
      <c r="B52" s="258"/>
      <c r="C52" s="259">
        <f ca="1">C31+C51</f>
        <v>327</v>
      </c>
      <c r="D52" s="258"/>
      <c r="E52" s="258"/>
      <c r="F52" s="258"/>
      <c r="G52" s="260"/>
    </row>
    <row r="55" spans="1:7" ht="15">
      <c r="B55" s="262" t="s">
        <v>1562</v>
      </c>
      <c r="C55" s="263"/>
    </row>
    <row r="56" spans="1:7">
      <c r="B56" s="265" t="s">
        <v>802</v>
      </c>
      <c r="C56" s="267">
        <f ca="1">1-C57</f>
        <v>0.10099999999999998</v>
      </c>
    </row>
    <row r="57" spans="1:7">
      <c r="B57" s="265" t="s">
        <v>803</v>
      </c>
      <c r="C57" s="266">
        <f ca="1">ROUND(C51/C52,3)</f>
        <v>0.89900000000000002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北京市房地产抵押价值预评估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85" zoomScaleNormal="70" zoomScaleSheetLayoutView="85" workbookViewId="0">
      <selection activeCell="E63" sqref="E63"/>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2" t="s">
        <v>3405</v>
      </c>
      <c r="F1" s="1735" t="s">
        <v>3406</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1282.3688999999999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21134</v>
      </c>
      <c r="C3" s="344" t="s">
        <v>1768</v>
      </c>
      <c r="D3" s="343">
        <f>IF(D1="",'数据-汇总表'!E3,SUMIF('数据-汇总表'!$C19:$C33,D1,'数据-汇总表'!$E19:$E33))</f>
        <v>606.78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72" t="s">
        <v>1770</v>
      </c>
      <c r="D4" s="3373"/>
      <c r="E4" s="3374" t="s">
        <v>1771</v>
      </c>
      <c r="F4" s="3375"/>
      <c r="G4" s="3372" t="s">
        <v>1772</v>
      </c>
      <c r="H4" s="3373"/>
      <c r="I4" s="3372" t="s">
        <v>1773</v>
      </c>
      <c r="J4" s="3373"/>
      <c r="K4" s="537" t="s">
        <v>1774</v>
      </c>
      <c r="L4" s="2487"/>
      <c r="M4" s="2488"/>
      <c r="N4" s="2488"/>
      <c r="O4" s="2488"/>
      <c r="P4" s="3376" t="s">
        <v>1775</v>
      </c>
      <c r="Q4" s="3377"/>
      <c r="R4" s="3355" t="s">
        <v>1771</v>
      </c>
      <c r="S4" s="3356"/>
      <c r="T4" s="3355" t="s">
        <v>1772</v>
      </c>
      <c r="U4" s="3356"/>
      <c r="V4" s="3384" t="s">
        <v>1773</v>
      </c>
      <c r="W4" s="3384"/>
      <c r="X4" s="1809"/>
      <c r="Y4" s="3355" t="s">
        <v>1775</v>
      </c>
      <c r="Z4" s="3356"/>
      <c r="AA4" s="3350" t="s">
        <v>1771</v>
      </c>
      <c r="AB4" s="3350" t="s">
        <v>1772</v>
      </c>
      <c r="AC4" s="3369" t="s">
        <v>1773</v>
      </c>
    </row>
    <row r="5" spans="1:29" ht="15">
      <c r="A5" s="348"/>
      <c r="B5" s="349"/>
      <c r="C5" s="3361" t="s">
        <v>1673</v>
      </c>
      <c r="D5" s="3362"/>
      <c r="E5" s="3359" t="s">
        <v>3416</v>
      </c>
      <c r="F5" s="3360"/>
      <c r="G5" s="3365" t="s">
        <v>3416</v>
      </c>
      <c r="H5" s="3362"/>
      <c r="I5" s="3365" t="s">
        <v>3416</v>
      </c>
      <c r="J5" s="3362"/>
      <c r="K5" s="537"/>
      <c r="L5" s="2487"/>
      <c r="M5" s="2488"/>
      <c r="N5" s="2488"/>
      <c r="O5" s="2488"/>
      <c r="P5" s="3378"/>
      <c r="Q5" s="3379"/>
      <c r="R5" s="3357"/>
      <c r="S5" s="3358"/>
      <c r="T5" s="3357"/>
      <c r="U5" s="3358"/>
      <c r="V5" s="3385"/>
      <c r="W5" s="3385"/>
      <c r="X5" s="1265"/>
      <c r="Y5" s="3357"/>
      <c r="Z5" s="3358"/>
      <c r="AA5" s="3351"/>
      <c r="AB5" s="3351"/>
      <c r="AC5" s="3370"/>
    </row>
    <row r="6" spans="1:29" ht="15.75" thickBot="1">
      <c r="A6" s="350"/>
      <c r="B6" s="351"/>
      <c r="C6" s="3363" t="s">
        <v>1677</v>
      </c>
      <c r="D6" s="3364"/>
      <c r="E6" s="3366" t="s">
        <v>1677</v>
      </c>
      <c r="F6" s="3367"/>
      <c r="G6" s="3363" t="s">
        <v>1677</v>
      </c>
      <c r="H6" s="3364"/>
      <c r="I6" s="3363" t="s">
        <v>1677</v>
      </c>
      <c r="J6" s="3364"/>
      <c r="K6" s="537" t="s">
        <v>1678</v>
      </c>
      <c r="L6" s="2487"/>
      <c r="M6" s="2488"/>
      <c r="N6" s="2488"/>
      <c r="O6" s="2488"/>
      <c r="P6" s="3380"/>
      <c r="Q6" s="3381"/>
      <c r="R6" s="3357"/>
      <c r="S6" s="3358"/>
      <c r="T6" s="3382"/>
      <c r="U6" s="3383"/>
      <c r="V6" s="3385"/>
      <c r="W6" s="3385"/>
      <c r="X6" s="1265"/>
      <c r="Y6" s="3382"/>
      <c r="Z6" s="3383"/>
      <c r="AA6" s="3352"/>
      <c r="AB6" s="3352"/>
      <c r="AC6" s="3371"/>
    </row>
    <row r="7" spans="1:29" s="102" customFormat="1" ht="15.75" thickBot="1">
      <c r="A7" s="352" t="s">
        <v>1679</v>
      </c>
      <c r="B7" s="353"/>
      <c r="C7" s="354">
        <f>'数据-取费表'!B2</f>
        <v>45693</v>
      </c>
      <c r="D7" s="355">
        <v>100</v>
      </c>
      <c r="E7" s="356">
        <f>C7</f>
        <v>45693</v>
      </c>
      <c r="F7" s="357">
        <f>SUMIF(59:59,YEAR(E7)&amp;"-"&amp;MONTH(E7),60:60)</f>
        <v>100</v>
      </c>
      <c r="G7" s="356">
        <f>C7</f>
        <v>45693</v>
      </c>
      <c r="H7" s="355">
        <f>SUMIF(59:59,YEAR(G7)&amp;"-"&amp;MONTH(G7),60:60)</f>
        <v>100</v>
      </c>
      <c r="I7" s="356">
        <f>C7</f>
        <v>45693</v>
      </c>
      <c r="J7" s="355">
        <f>SUMIF(59:59,YEAR(I7)&amp;"-"&amp;MONTH(I7),60:60)</f>
        <v>100</v>
      </c>
      <c r="K7" s="38"/>
      <c r="L7" s="2489"/>
      <c r="M7" s="2440"/>
      <c r="N7" s="2440"/>
      <c r="O7" s="2440"/>
      <c r="P7" s="3386" t="s">
        <v>1680</v>
      </c>
      <c r="Q7" s="3387"/>
      <c r="R7" s="664" t="s">
        <v>14</v>
      </c>
      <c r="S7" s="665">
        <f t="shared" ref="S7:S15" si="0">F7</f>
        <v>100</v>
      </c>
      <c r="T7" s="664" t="s">
        <v>14</v>
      </c>
      <c r="U7" s="665">
        <f t="shared" ref="U7:U15" si="1">H7</f>
        <v>100</v>
      </c>
      <c r="V7" s="664" t="s">
        <v>14</v>
      </c>
      <c r="W7" s="665">
        <f t="shared" ref="W7:W15" si="2">J7</f>
        <v>100</v>
      </c>
      <c r="X7" s="666"/>
      <c r="Y7" s="3353" t="s">
        <v>1680</v>
      </c>
      <c r="Z7" s="3354"/>
      <c r="AA7" s="50">
        <f>D7/F7</f>
        <v>1</v>
      </c>
      <c r="AB7" s="50">
        <f>D7/H7</f>
        <v>1</v>
      </c>
      <c r="AC7" s="802">
        <f>D7/J7</f>
        <v>1</v>
      </c>
    </row>
    <row r="8" spans="1:29" s="102" customFormat="1" ht="15.75" thickBot="1">
      <c r="A8" s="352" t="s">
        <v>1681</v>
      </c>
      <c r="B8" s="353"/>
      <c r="C8" s="358" t="s">
        <v>3428</v>
      </c>
      <c r="D8" s="355">
        <v>100</v>
      </c>
      <c r="E8" s="358" t="s">
        <v>3429</v>
      </c>
      <c r="F8" s="357">
        <f>SUMIF(62:62,E8,63:63)-SUMIF(62:62,C8,63:63)+100</f>
        <v>103</v>
      </c>
      <c r="G8" s="358" t="s">
        <v>3429</v>
      </c>
      <c r="H8" s="355">
        <f>SUMIF(62:62,G8,63:63)-SUMIF(62:62,C8,63:63)+100</f>
        <v>103</v>
      </c>
      <c r="I8" s="358" t="s">
        <v>3429</v>
      </c>
      <c r="J8" s="355">
        <f>SUMIF(62:62,I8,63:63)-SUMIF(62:62,C8,63:63)+100</f>
        <v>103</v>
      </c>
      <c r="K8" s="38"/>
      <c r="L8" s="2489"/>
      <c r="M8" s="2440"/>
      <c r="N8" s="2440"/>
      <c r="O8" s="2440"/>
      <c r="P8" s="3386" t="s">
        <v>1683</v>
      </c>
      <c r="Q8" s="3354"/>
      <c r="R8" s="664" t="s">
        <v>14</v>
      </c>
      <c r="S8" s="665">
        <f t="shared" si="0"/>
        <v>103</v>
      </c>
      <c r="T8" s="664" t="s">
        <v>14</v>
      </c>
      <c r="U8" s="665">
        <f t="shared" si="1"/>
        <v>103</v>
      </c>
      <c r="V8" s="664" t="s">
        <v>14</v>
      </c>
      <c r="W8" s="665">
        <f t="shared" si="2"/>
        <v>103</v>
      </c>
      <c r="X8" s="666"/>
      <c r="Y8" s="3353" t="s">
        <v>1683</v>
      </c>
      <c r="Z8" s="3354"/>
      <c r="AA8" s="50">
        <f t="shared" ref="AA8:AA47" si="3">D8/F8</f>
        <v>0.970873786407767</v>
      </c>
      <c r="AB8" s="50">
        <f t="shared" ref="AB8:AB47" si="4">D8/H8</f>
        <v>0.970873786407767</v>
      </c>
      <c r="AC8" s="802">
        <f t="shared" ref="AC8:AC47" si="5">D8/J8</f>
        <v>0.970873786407767</v>
      </c>
    </row>
    <row r="9" spans="1:29" s="102" customFormat="1">
      <c r="A9" s="359" t="s">
        <v>1684</v>
      </c>
      <c r="B9" s="60" t="s">
        <v>1685</v>
      </c>
      <c r="C9" s="3159" t="s">
        <v>3430</v>
      </c>
      <c r="D9" s="59">
        <v>100</v>
      </c>
      <c r="E9" s="362" t="s">
        <v>21</v>
      </c>
      <c r="F9" s="59">
        <f>SUMIF(64:64,E9,65:65)-SUMIF(64:64,C9,65:65)+100</f>
        <v>100</v>
      </c>
      <c r="G9" s="361" t="s">
        <v>21</v>
      </c>
      <c r="H9" s="59">
        <f>SUMIF(64:64,G9,65:65)-SUMIF(64:64,C9,65:65)+100</f>
        <v>100</v>
      </c>
      <c r="I9" s="361" t="s">
        <v>21</v>
      </c>
      <c r="J9" s="59">
        <f>SUMIF(64:64,I9,65:65)-SUMIF(64:64,C9,65:65)+100</f>
        <v>100</v>
      </c>
      <c r="K9" s="38"/>
      <c r="L9" s="2489"/>
      <c r="M9" s="2440"/>
      <c r="N9" s="2440"/>
      <c r="O9" s="2440"/>
      <c r="P9" s="3368"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802">
        <f t="shared" si="5"/>
        <v>1</v>
      </c>
    </row>
    <row r="10" spans="1:29" s="366" customFormat="1" ht="27">
      <c r="A10" s="363"/>
      <c r="B10" s="364" t="s">
        <v>1688</v>
      </c>
      <c r="C10" s="3163" t="s">
        <v>3455</v>
      </c>
      <c r="D10" s="119">
        <v>100</v>
      </c>
      <c r="E10" s="3163" t="s">
        <v>3455</v>
      </c>
      <c r="F10" s="119">
        <f>SUMIF(66:66,E10,67:67)-SUMIF(66:66,C10,67:67)+100</f>
        <v>100</v>
      </c>
      <c r="G10" s="3164" t="s">
        <v>3455</v>
      </c>
      <c r="H10" s="119">
        <f>SUMIF(66:66,G10,67:67)-SUMIF(66:66,C10,67:67)+100</f>
        <v>100</v>
      </c>
      <c r="I10" s="3163" t="s">
        <v>3455</v>
      </c>
      <c r="J10" s="119">
        <f>SUMIF(66:66,I10,67:67)-SUMIF(66:66,C10,67:67)+100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802">
        <f t="shared" si="5"/>
        <v>1</v>
      </c>
    </row>
    <row r="11" spans="1:29" ht="15.75" thickBot="1">
      <c r="A11" s="367"/>
      <c r="B11" s="364" t="s">
        <v>1689</v>
      </c>
      <c r="C11" s="368">
        <v>2.5</v>
      </c>
      <c r="D11" s="119">
        <v>100</v>
      </c>
      <c r="E11" s="368">
        <v>2.5</v>
      </c>
      <c r="F11" s="119">
        <f>LOOKUP(E11,69:69,70:70)-LOOKUP(C11,69:69,70:70)+100</f>
        <v>100</v>
      </c>
      <c r="G11" s="369">
        <v>2.5</v>
      </c>
      <c r="H11" s="119">
        <f>LOOKUP(G11,69:69,70:70)-LOOKUP(C11,69:69,70:70)+100</f>
        <v>100</v>
      </c>
      <c r="I11" s="368">
        <v>2.5</v>
      </c>
      <c r="J11" s="119">
        <f>LOOKUP(I11,69:69,70:70)-LOOKUP(C11,69:69,70:70)+100</f>
        <v>100</v>
      </c>
      <c r="K11" s="538"/>
      <c r="L11" s="2492"/>
      <c r="M11" s="2488"/>
      <c r="N11" s="2488"/>
      <c r="O11" s="2488"/>
      <c r="P11" s="3368"/>
      <c r="Q11" s="530" t="str">
        <f t="shared" si="6"/>
        <v>容积率</v>
      </c>
      <c r="R11" s="664" t="s">
        <v>14</v>
      </c>
      <c r="S11" s="665">
        <f t="shared" si="0"/>
        <v>100</v>
      </c>
      <c r="T11" s="664" t="s">
        <v>14</v>
      </c>
      <c r="U11" s="665">
        <f t="shared" si="1"/>
        <v>100</v>
      </c>
      <c r="V11" s="664" t="s">
        <v>14</v>
      </c>
      <c r="W11" s="665">
        <f t="shared" si="2"/>
        <v>100</v>
      </c>
      <c r="X11" s="666"/>
      <c r="Y11" s="3323"/>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68"/>
      <c r="Q14" s="530">
        <f t="shared" si="6"/>
        <v>111</v>
      </c>
      <c r="R14" s="664" t="s">
        <v>14</v>
      </c>
      <c r="S14" s="665">
        <f t="shared" si="0"/>
        <v>100</v>
      </c>
      <c r="T14" s="664" t="s">
        <v>14</v>
      </c>
      <c r="U14" s="665">
        <f t="shared" si="1"/>
        <v>100</v>
      </c>
      <c r="V14" s="664" t="s">
        <v>14</v>
      </c>
      <c r="W14" s="665">
        <f t="shared" si="2"/>
        <v>100</v>
      </c>
      <c r="X14" s="666"/>
      <c r="Y14" s="3323"/>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2</v>
      </c>
      <c r="L15" s="2493"/>
      <c r="M15" s="2488"/>
      <c r="N15" s="2488"/>
      <c r="O15" s="2488"/>
      <c r="P15" s="3388" t="s">
        <v>1691</v>
      </c>
      <c r="Q15" s="1263" t="str">
        <f t="shared" si="6"/>
        <v>办公集聚程度</v>
      </c>
      <c r="R15" s="667" t="s">
        <v>14</v>
      </c>
      <c r="S15" s="668">
        <f t="shared" si="0"/>
        <v>100</v>
      </c>
      <c r="T15" s="667" t="s">
        <v>14</v>
      </c>
      <c r="U15" s="668">
        <f t="shared" si="1"/>
        <v>100</v>
      </c>
      <c r="V15" s="667" t="s">
        <v>14</v>
      </c>
      <c r="W15" s="668">
        <f t="shared" si="2"/>
        <v>100</v>
      </c>
      <c r="X15" s="1265"/>
      <c r="Y15" s="3390" t="s">
        <v>1691</v>
      </c>
      <c r="Z15" s="1264" t="str">
        <f t="shared" si="7"/>
        <v>办公集聚程度</v>
      </c>
      <c r="AA15" s="1264">
        <f t="shared" si="3"/>
        <v>1</v>
      </c>
      <c r="AB15" s="1264">
        <f t="shared" si="4"/>
        <v>1</v>
      </c>
      <c r="AC15" s="1812">
        <f t="shared" si="5"/>
        <v>1</v>
      </c>
    </row>
    <row r="16" spans="1:29" ht="15">
      <c r="A16" s="367"/>
      <c r="B16" s="555"/>
      <c r="C16" s="1758" t="s">
        <v>3411</v>
      </c>
      <c r="D16" s="387"/>
      <c r="E16" s="1758" t="s">
        <v>3411</v>
      </c>
      <c r="F16" s="387"/>
      <c r="G16" s="1758" t="s">
        <v>3411</v>
      </c>
      <c r="H16" s="389"/>
      <c r="I16" s="1758" t="s">
        <v>3411</v>
      </c>
      <c r="J16" s="387"/>
      <c r="K16" s="541"/>
      <c r="L16" s="2493"/>
      <c r="M16" s="2488"/>
      <c r="N16" s="2488"/>
      <c r="O16" s="2488"/>
      <c r="P16" s="3389"/>
      <c r="Q16" s="1263"/>
      <c r="R16" s="667"/>
      <c r="S16" s="668"/>
      <c r="T16" s="667"/>
      <c r="U16" s="668"/>
      <c r="V16" s="667"/>
      <c r="W16" s="668"/>
      <c r="X16" s="1265"/>
      <c r="Y16" s="3391"/>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v>2</v>
      </c>
      <c r="L17" s="2493"/>
      <c r="M17" s="2488"/>
      <c r="N17" s="2488"/>
      <c r="O17" s="2488"/>
      <c r="P17" s="3389"/>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812">
        <f t="shared" si="5"/>
        <v>1</v>
      </c>
    </row>
    <row r="18" spans="1:29" ht="15">
      <c r="A18" s="367"/>
      <c r="B18" s="401"/>
      <c r="C18" s="1814" t="s">
        <v>3412</v>
      </c>
      <c r="D18" s="389"/>
      <c r="E18" s="1814" t="s">
        <v>3412</v>
      </c>
      <c r="F18" s="389"/>
      <c r="G18" s="1814" t="s">
        <v>3412</v>
      </c>
      <c r="H18" s="387"/>
      <c r="I18" s="1814" t="s">
        <v>3412</v>
      </c>
      <c r="J18" s="387"/>
      <c r="K18" s="541"/>
      <c r="L18" s="2493"/>
      <c r="M18" s="2488"/>
      <c r="N18" s="2488"/>
      <c r="O18" s="2488"/>
      <c r="P18" s="3389"/>
      <c r="Q18" s="1263"/>
      <c r="R18" s="667"/>
      <c r="S18" s="668"/>
      <c r="T18" s="667"/>
      <c r="U18" s="668"/>
      <c r="V18" s="667"/>
      <c r="W18" s="668"/>
      <c r="X18" s="1265"/>
      <c r="Y18" s="3391"/>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93"/>
      <c r="M19" s="2488"/>
      <c r="N19" s="2488"/>
      <c r="O19" s="2488"/>
      <c r="P19" s="3389"/>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812">
        <f t="shared" si="5"/>
        <v>1</v>
      </c>
    </row>
    <row r="20" spans="1:29" ht="15">
      <c r="A20" s="367"/>
      <c r="B20" s="401"/>
      <c r="C20" s="1758" t="s">
        <v>3412</v>
      </c>
      <c r="D20" s="387"/>
      <c r="E20" s="1814" t="s">
        <v>3412</v>
      </c>
      <c r="F20" s="387"/>
      <c r="G20" s="1814" t="s">
        <v>3412</v>
      </c>
      <c r="H20" s="387"/>
      <c r="I20" s="1814" t="s">
        <v>3412</v>
      </c>
      <c r="J20" s="387"/>
      <c r="K20" s="541"/>
      <c r="L20" s="2493"/>
      <c r="M20" s="2488"/>
      <c r="N20" s="2488"/>
      <c r="O20" s="2488"/>
      <c r="P20" s="3389"/>
      <c r="Q20" s="1263"/>
      <c r="R20" s="667"/>
      <c r="S20" s="668"/>
      <c r="T20" s="667"/>
      <c r="U20" s="668"/>
      <c r="V20" s="667"/>
      <c r="W20" s="668"/>
      <c r="X20" s="1265"/>
      <c r="Y20" s="3391"/>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3"/>
      <c r="M21" s="2488"/>
      <c r="N21" s="2488"/>
      <c r="O21" s="2488"/>
      <c r="P21" s="3389"/>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812">
        <f t="shared" ref="AC21" si="10">D21/J21</f>
        <v>1</v>
      </c>
    </row>
    <row r="22" spans="1:29" ht="15">
      <c r="A22" s="367"/>
      <c r="B22" s="557"/>
      <c r="C22" s="1814" t="s">
        <v>3431</v>
      </c>
      <c r="D22" s="387"/>
      <c r="E22" s="1814" t="s">
        <v>3431</v>
      </c>
      <c r="F22" s="387"/>
      <c r="G22" s="1814" t="s">
        <v>3431</v>
      </c>
      <c r="H22" s="387"/>
      <c r="I22" s="1814" t="s">
        <v>3431</v>
      </c>
      <c r="J22" s="387"/>
      <c r="K22" s="1064"/>
      <c r="L22" s="2493"/>
      <c r="M22" s="2488"/>
      <c r="N22" s="2488"/>
      <c r="O22" s="2488"/>
      <c r="P22" s="3389"/>
      <c r="Q22" s="1263"/>
      <c r="R22" s="667"/>
      <c r="S22" s="668"/>
      <c r="T22" s="667"/>
      <c r="U22" s="668"/>
      <c r="V22" s="667"/>
      <c r="W22" s="668"/>
      <c r="X22" s="1265"/>
      <c r="Y22" s="3391"/>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3"/>
      <c r="M23" s="2488"/>
      <c r="N23" s="2488"/>
      <c r="O23" s="2488"/>
      <c r="P23" s="3389"/>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812">
        <f t="shared" si="5"/>
        <v>1</v>
      </c>
    </row>
    <row r="24" spans="1:29" ht="15.75" thickBot="1">
      <c r="A24" s="367"/>
      <c r="B24" s="557"/>
      <c r="C24" s="1758" t="s">
        <v>3412</v>
      </c>
      <c r="D24" s="387"/>
      <c r="E24" s="1758" t="s">
        <v>3412</v>
      </c>
      <c r="F24" s="387"/>
      <c r="G24" s="1758" t="s">
        <v>3412</v>
      </c>
      <c r="H24" s="387"/>
      <c r="I24" s="1758" t="s">
        <v>3412</v>
      </c>
      <c r="J24" s="387"/>
      <c r="K24" s="541"/>
      <c r="L24" s="2493"/>
      <c r="M24" s="2488"/>
      <c r="N24" s="2488"/>
      <c r="O24" s="2488"/>
      <c r="P24" s="3389"/>
      <c r="Q24" s="1263"/>
      <c r="R24" s="667"/>
      <c r="S24" s="668"/>
      <c r="T24" s="667"/>
      <c r="U24" s="668"/>
      <c r="V24" s="667"/>
      <c r="W24" s="668"/>
      <c r="X24" s="1265"/>
      <c r="Y24" s="3391"/>
      <c r="Z24" s="1264"/>
      <c r="AA24" s="1264">
        <v>1</v>
      </c>
      <c r="AB24" s="1264">
        <v>1</v>
      </c>
      <c r="AC24" s="1812">
        <v>1</v>
      </c>
    </row>
    <row r="25" spans="1:29" ht="27" hidden="1">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9"/>
      <c r="Q25" s="1263" t="str">
        <f>B25</f>
        <v>毗邻道路的类型与等级</v>
      </c>
      <c r="R25" s="667" t="s">
        <v>14</v>
      </c>
      <c r="S25" s="668">
        <f>F25</f>
        <v>100</v>
      </c>
      <c r="T25" s="667" t="s">
        <v>14</v>
      </c>
      <c r="U25" s="668">
        <f>H25</f>
        <v>100</v>
      </c>
      <c r="V25" s="667" t="s">
        <v>14</v>
      </c>
      <c r="W25" s="668">
        <f>J25</f>
        <v>100</v>
      </c>
      <c r="X25" s="1265"/>
      <c r="Y25" s="3391"/>
      <c r="Z25" s="1264" t="str">
        <f>Q25</f>
        <v>毗邻道路的类型与等级</v>
      </c>
      <c r="AA25" s="1264">
        <f t="shared" si="3"/>
        <v>1</v>
      </c>
      <c r="AB25" s="1264">
        <f t="shared" si="4"/>
        <v>1</v>
      </c>
      <c r="AC25" s="1812">
        <f t="shared" si="5"/>
        <v>1</v>
      </c>
    </row>
    <row r="26" spans="1:29" ht="15" hidden="1">
      <c r="A26" s="348"/>
      <c r="B26" s="401"/>
      <c r="C26" s="558"/>
      <c r="D26" s="374"/>
      <c r="E26" s="542"/>
      <c r="F26" s="374"/>
      <c r="G26" s="558"/>
      <c r="H26" s="374"/>
      <c r="I26" s="542"/>
      <c r="J26" s="374"/>
      <c r="K26" s="541"/>
      <c r="L26" s="2493"/>
      <c r="M26" s="2488"/>
      <c r="N26" s="2488"/>
      <c r="O26" s="2488"/>
      <c r="P26" s="3389"/>
      <c r="Q26" s="1263"/>
      <c r="R26" s="667"/>
      <c r="S26" s="668"/>
      <c r="T26" s="667"/>
      <c r="U26" s="668"/>
      <c r="V26" s="667"/>
      <c r="W26" s="668"/>
      <c r="X26" s="1265"/>
      <c r="Y26" s="3391"/>
      <c r="Z26" s="1264"/>
      <c r="AA26" s="1264">
        <v>1</v>
      </c>
      <c r="AB26" s="1264">
        <v>1</v>
      </c>
      <c r="AC26" s="1812">
        <v>1</v>
      </c>
    </row>
    <row r="27" spans="1:29" ht="15.75" hidden="1" thickBot="1">
      <c r="A27" s="367"/>
      <c r="B27" s="401" t="s">
        <v>1783</v>
      </c>
      <c r="C27" s="558" t="s">
        <v>3440</v>
      </c>
      <c r="D27" s="374">
        <v>100</v>
      </c>
      <c r="E27" s="542" t="s">
        <v>3438</v>
      </c>
      <c r="F27" s="374">
        <f>SUMIF(89:89,E27,90:90)-SUMIF(89:89,C27,90:90)+100</f>
        <v>100</v>
      </c>
      <c r="G27" s="558" t="s">
        <v>3440</v>
      </c>
      <c r="H27" s="374">
        <f>SUMIF(89:89,G27,90:90)-SUMIF(89:89,C27,90:90)+100</f>
        <v>100</v>
      </c>
      <c r="I27" s="542" t="s">
        <v>3436</v>
      </c>
      <c r="J27" s="374">
        <f>SUMIF(89:89,I27,90:90)-SUMIF(89:89,C27,90:90)+100</f>
        <v>100</v>
      </c>
      <c r="K27" s="538">
        <v>0</v>
      </c>
      <c r="L27" s="2493"/>
      <c r="M27" s="2488"/>
      <c r="N27" s="2488"/>
      <c r="O27" s="2488"/>
      <c r="P27" s="3389"/>
      <c r="Q27" s="1263" t="str">
        <f t="shared" ref="Q27:Q47" si="11">B27</f>
        <v>楼层</v>
      </c>
      <c r="R27" s="667" t="s">
        <v>14</v>
      </c>
      <c r="S27" s="668">
        <f>F27</f>
        <v>100</v>
      </c>
      <c r="T27" s="667" t="s">
        <v>14</v>
      </c>
      <c r="U27" s="668">
        <f>H27</f>
        <v>100</v>
      </c>
      <c r="V27" s="667" t="s">
        <v>14</v>
      </c>
      <c r="W27" s="668">
        <f>J27</f>
        <v>100</v>
      </c>
      <c r="X27" s="1265"/>
      <c r="Y27" s="3391"/>
      <c r="Z27" s="1264" t="str">
        <f>Q27</f>
        <v>楼层</v>
      </c>
      <c r="AA27" s="1264">
        <f t="shared" si="3"/>
        <v>1</v>
      </c>
      <c r="AB27" s="1264">
        <f t="shared" si="4"/>
        <v>1</v>
      </c>
      <c r="AC27" s="1812">
        <f t="shared" si="5"/>
        <v>1</v>
      </c>
    </row>
    <row r="28" spans="1:29" s="102" customFormat="1" ht="15" hidden="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9"/>
      <c r="Q28" s="530" t="str">
        <f t="shared" si="11"/>
        <v>朝向</v>
      </c>
      <c r="R28" s="664" t="s">
        <v>14</v>
      </c>
      <c r="S28" s="665">
        <f>F28</f>
        <v>100</v>
      </c>
      <c r="T28" s="664" t="s">
        <v>14</v>
      </c>
      <c r="U28" s="665">
        <f>H28</f>
        <v>100</v>
      </c>
      <c r="V28" s="664" t="s">
        <v>14</v>
      </c>
      <c r="W28" s="665">
        <f>J28</f>
        <v>100</v>
      </c>
      <c r="X28" s="666"/>
      <c r="Y28" s="3391"/>
      <c r="Z28" s="50" t="str">
        <f>Q28</f>
        <v>朝向</v>
      </c>
      <c r="AA28" s="1264">
        <f>D28/F28</f>
        <v>1</v>
      </c>
      <c r="AB28" s="1264">
        <f>D28/H28</f>
        <v>1</v>
      </c>
      <c r="AC28" s="1812">
        <f>D28/J28</f>
        <v>1</v>
      </c>
    </row>
    <row r="29" spans="1:29" ht="15" hidden="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9"/>
      <c r="Q29" s="1263">
        <f t="shared" si="11"/>
        <v>111</v>
      </c>
      <c r="R29" s="667" t="s">
        <v>14</v>
      </c>
      <c r="S29" s="668">
        <f t="shared" ref="S29:S47" si="12">F29</f>
        <v>100</v>
      </c>
      <c r="T29" s="667" t="s">
        <v>14</v>
      </c>
      <c r="U29" s="668">
        <f t="shared" ref="U29:U47" si="13">H29</f>
        <v>100</v>
      </c>
      <c r="V29" s="667" t="s">
        <v>14</v>
      </c>
      <c r="W29" s="668">
        <f t="shared" ref="W29:W47" si="14">J29</f>
        <v>100</v>
      </c>
      <c r="X29" s="1265"/>
      <c r="Y29" s="3391"/>
      <c r="Z29" s="1264">
        <f t="shared" ref="Z29:Z47" si="15">Q29</f>
        <v>111</v>
      </c>
      <c r="AA29" s="1264">
        <f t="shared" si="3"/>
        <v>1</v>
      </c>
      <c r="AB29" s="1264">
        <f t="shared" si="4"/>
        <v>1</v>
      </c>
      <c r="AC29" s="1812">
        <f t="shared" si="5"/>
        <v>1</v>
      </c>
    </row>
    <row r="30" spans="1:29" ht="15" hidden="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9"/>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812">
        <f t="shared" si="5"/>
        <v>1</v>
      </c>
    </row>
    <row r="31" spans="1:29" ht="15" hidden="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9"/>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9"/>
      <c r="Q32" s="1263">
        <f t="shared" si="11"/>
        <v>111</v>
      </c>
      <c r="R32" s="667" t="s">
        <v>14</v>
      </c>
      <c r="S32" s="668">
        <f t="shared" si="12"/>
        <v>100</v>
      </c>
      <c r="T32" s="667" t="s">
        <v>14</v>
      </c>
      <c r="U32" s="668">
        <f t="shared" si="13"/>
        <v>100</v>
      </c>
      <c r="V32" s="667" t="s">
        <v>14</v>
      </c>
      <c r="W32" s="668">
        <f t="shared" si="14"/>
        <v>100</v>
      </c>
      <c r="X32" s="1265"/>
      <c r="Y32" s="3391"/>
      <c r="Z32" s="1264">
        <f t="shared" si="15"/>
        <v>111</v>
      </c>
      <c r="AA32" s="1264">
        <f t="shared" si="3"/>
        <v>1</v>
      </c>
      <c r="AB32" s="1264">
        <f t="shared" si="4"/>
        <v>1</v>
      </c>
      <c r="AC32" s="1812">
        <f t="shared" si="5"/>
        <v>1</v>
      </c>
    </row>
    <row r="33" spans="1:29" ht="15">
      <c r="A33" s="379" t="s">
        <v>1694</v>
      </c>
      <c r="B33" s="60" t="s">
        <v>1817</v>
      </c>
      <c r="C33" s="1764" t="s">
        <v>3432</v>
      </c>
      <c r="D33" s="405">
        <v>100</v>
      </c>
      <c r="E33" s="1764" t="s">
        <v>3432</v>
      </c>
      <c r="F33" s="400">
        <f>SUMIF(101:101,E33,102:102)-SUMIF(101:101,C33,102:102)+100</f>
        <v>100</v>
      </c>
      <c r="G33" s="1764" t="s">
        <v>3432</v>
      </c>
      <c r="H33" s="374">
        <f>SUMIF(101:101,G33,102:102)-SUMIF(101:101,C33,102:102)+100</f>
        <v>100</v>
      </c>
      <c r="I33" s="1764" t="s">
        <v>3432</v>
      </c>
      <c r="J33" s="405">
        <f>SUMIF(101:101,I33,102:102)-SUMIF(101:101,C33,102:102)+100</f>
        <v>100</v>
      </c>
      <c r="K33" s="538">
        <v>1</v>
      </c>
      <c r="L33" s="2493"/>
      <c r="M33" s="2488"/>
      <c r="N33" s="2488"/>
      <c r="O33" s="2488"/>
      <c r="P33" s="3392" t="s">
        <v>1696</v>
      </c>
      <c r="Q33" s="1263" t="str">
        <f t="shared" si="11"/>
        <v>建筑类型</v>
      </c>
      <c r="R33" s="667" t="s">
        <v>14</v>
      </c>
      <c r="S33" s="668">
        <f t="shared" si="12"/>
        <v>100</v>
      </c>
      <c r="T33" s="667" t="s">
        <v>14</v>
      </c>
      <c r="U33" s="668">
        <f t="shared" si="13"/>
        <v>100</v>
      </c>
      <c r="V33" s="667" t="s">
        <v>14</v>
      </c>
      <c r="W33" s="668">
        <f t="shared" si="14"/>
        <v>100</v>
      </c>
      <c r="X33" s="1265"/>
      <c r="Y33" s="3395" t="s">
        <v>1696</v>
      </c>
      <c r="Z33" s="1264" t="str">
        <f t="shared" si="15"/>
        <v>建筑类型</v>
      </c>
      <c r="AA33" s="1264">
        <f t="shared" si="3"/>
        <v>1</v>
      </c>
      <c r="AB33" s="1264">
        <f t="shared" si="4"/>
        <v>1</v>
      </c>
      <c r="AC33" s="1812">
        <f t="shared" si="5"/>
        <v>1</v>
      </c>
    </row>
    <row r="34" spans="1:29" s="408" customFormat="1" ht="15">
      <c r="A34" s="406"/>
      <c r="B34" s="364" t="s">
        <v>1697</v>
      </c>
      <c r="C34" s="407">
        <f>'数据-汇总表'!E3</f>
        <v>606.78</v>
      </c>
      <c r="D34" s="119">
        <v>100</v>
      </c>
      <c r="E34" s="407">
        <v>608</v>
      </c>
      <c r="F34" s="364">
        <f>LOOKUP(E34,104:104,105:105)-LOOKUP(C34,104:104,105:105)+100</f>
        <v>100</v>
      </c>
      <c r="G34" s="407">
        <v>607</v>
      </c>
      <c r="H34" s="119">
        <f>LOOKUP(G34,104:104,105:105)-LOOKUP(C34,104:104,105:105)+100</f>
        <v>100</v>
      </c>
      <c r="I34" s="407">
        <v>620</v>
      </c>
      <c r="J34" s="119">
        <f>LOOKUP(I34,104:104,105:105)-LOOKUP(C34,104:104,105:105)+100</f>
        <v>100</v>
      </c>
      <c r="K34" s="539"/>
      <c r="L34" s="2492"/>
      <c r="M34" s="2494"/>
      <c r="N34" s="2494"/>
      <c r="O34" s="2494"/>
      <c r="P34" s="3393"/>
      <c r="Q34" s="531" t="str">
        <f t="shared" si="11"/>
        <v>项目建筑规模</v>
      </c>
      <c r="R34" s="669" t="s">
        <v>14</v>
      </c>
      <c r="S34" s="670">
        <f t="shared" si="12"/>
        <v>100</v>
      </c>
      <c r="T34" s="669" t="s">
        <v>14</v>
      </c>
      <c r="U34" s="670">
        <f t="shared" si="13"/>
        <v>100</v>
      </c>
      <c r="V34" s="669" t="s">
        <v>14</v>
      </c>
      <c r="W34" s="670">
        <f t="shared" si="14"/>
        <v>100</v>
      </c>
      <c r="X34" s="671"/>
      <c r="Y34" s="3395"/>
      <c r="Z34" s="672" t="str">
        <f t="shared" si="15"/>
        <v>项目建筑规模</v>
      </c>
      <c r="AA34" s="1264">
        <f t="shared" si="3"/>
        <v>1</v>
      </c>
      <c r="AB34" s="1264">
        <f t="shared" si="4"/>
        <v>1</v>
      </c>
      <c r="AC34" s="1812">
        <f t="shared" si="5"/>
        <v>1</v>
      </c>
    </row>
    <row r="35" spans="1:29" ht="15">
      <c r="A35" s="409"/>
      <c r="B35" s="364" t="s">
        <v>1698</v>
      </c>
      <c r="C35" s="399" t="s">
        <v>3433</v>
      </c>
      <c r="D35" s="374">
        <v>100</v>
      </c>
      <c r="E35" s="399" t="s">
        <v>3433</v>
      </c>
      <c r="F35" s="400">
        <f>SUMIF(106:106,E35,107:107)-SUMIF(106:106,C35,107:107)+100</f>
        <v>100</v>
      </c>
      <c r="G35" s="399" t="s">
        <v>3433</v>
      </c>
      <c r="H35" s="374">
        <f>SUMIF(106:106,G35,107:107)-SUMIF(106:106,C35,107:107)+100</f>
        <v>100</v>
      </c>
      <c r="I35" s="399" t="s">
        <v>3433</v>
      </c>
      <c r="J35" s="374">
        <f>SUMIF(106:106,I35,107:107)-SUMIF(106:106,C35,107:107)+100</f>
        <v>100</v>
      </c>
      <c r="K35" s="538">
        <v>1</v>
      </c>
      <c r="L35" s="2493"/>
      <c r="M35" s="2488"/>
      <c r="N35" s="2488"/>
      <c r="O35" s="2488"/>
      <c r="P35" s="3393"/>
      <c r="Q35" s="1263" t="str">
        <f t="shared" si="11"/>
        <v>建筑结构</v>
      </c>
      <c r="R35" s="667" t="s">
        <v>14</v>
      </c>
      <c r="S35" s="668">
        <f t="shared" si="12"/>
        <v>100</v>
      </c>
      <c r="T35" s="667" t="s">
        <v>14</v>
      </c>
      <c r="U35" s="668">
        <f t="shared" si="13"/>
        <v>100</v>
      </c>
      <c r="V35" s="667" t="s">
        <v>14</v>
      </c>
      <c r="W35" s="668">
        <f t="shared" si="14"/>
        <v>100</v>
      </c>
      <c r="X35" s="1265"/>
      <c r="Y35" s="3395"/>
      <c r="Z35" s="1264" t="str">
        <f t="shared" si="15"/>
        <v>建筑结构</v>
      </c>
      <c r="AA35" s="1264">
        <f t="shared" si="3"/>
        <v>1</v>
      </c>
      <c r="AB35" s="1264">
        <f t="shared" si="4"/>
        <v>1</v>
      </c>
      <c r="AC35" s="1812">
        <f t="shared" si="5"/>
        <v>1</v>
      </c>
    </row>
    <row r="36" spans="1:29" ht="15">
      <c r="A36" s="409"/>
      <c r="B36" s="364" t="s">
        <v>1785</v>
      </c>
      <c r="C36" s="399" t="s">
        <v>3434</v>
      </c>
      <c r="D36" s="374">
        <v>100</v>
      </c>
      <c r="E36" s="399" t="s">
        <v>3434</v>
      </c>
      <c r="F36" s="400">
        <f>SUMIF(108:108,E36,109:109)-SUMIF(108:108,C36,109:109)+100</f>
        <v>100</v>
      </c>
      <c r="G36" s="399" t="s">
        <v>3434</v>
      </c>
      <c r="H36" s="374">
        <f>SUMIF(108:108,G36,109:109)-SUMIF(108:108,C36,109:109)+100</f>
        <v>100</v>
      </c>
      <c r="I36" s="399" t="s">
        <v>3434</v>
      </c>
      <c r="J36" s="374">
        <f>SUMIF(108:108,I36,109:109)-SUMIF(108:108,C36,109:109)+100</f>
        <v>100</v>
      </c>
      <c r="K36" s="538">
        <v>1</v>
      </c>
      <c r="L36" s="2493"/>
      <c r="M36" s="2488"/>
      <c r="N36" s="2488"/>
      <c r="O36" s="2488"/>
      <c r="P36" s="3393"/>
      <c r="Q36" s="1263" t="str">
        <f t="shared" si="11"/>
        <v>公共部分装修</v>
      </c>
      <c r="R36" s="667" t="s">
        <v>14</v>
      </c>
      <c r="S36" s="668">
        <f t="shared" si="12"/>
        <v>100</v>
      </c>
      <c r="T36" s="667" t="s">
        <v>14</v>
      </c>
      <c r="U36" s="668">
        <f t="shared" si="13"/>
        <v>100</v>
      </c>
      <c r="V36" s="667" t="s">
        <v>14</v>
      </c>
      <c r="W36" s="668">
        <f t="shared" si="14"/>
        <v>100</v>
      </c>
      <c r="X36" s="1265"/>
      <c r="Y36" s="3395"/>
      <c r="Z36" s="1264" t="str">
        <f t="shared" si="15"/>
        <v>公共部分装修</v>
      </c>
      <c r="AA36" s="1264">
        <f t="shared" si="3"/>
        <v>1</v>
      </c>
      <c r="AB36" s="1264">
        <f t="shared" si="4"/>
        <v>1</v>
      </c>
      <c r="AC36" s="1812">
        <f t="shared" si="5"/>
        <v>1</v>
      </c>
    </row>
    <row r="37" spans="1:29" ht="1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f>C37</f>
        <v>0.83</v>
      </c>
      <c r="J37" s="374">
        <f>LOOKUP(I37,111:111,112:112)-LOOKUP(C37,111:111,112:112)+100</f>
        <v>100</v>
      </c>
      <c r="K37" s="538">
        <v>1</v>
      </c>
      <c r="L37" s="2493"/>
      <c r="M37" s="2488"/>
      <c r="N37" s="2488"/>
      <c r="O37" s="2488"/>
      <c r="P37" s="3393"/>
      <c r="Q37" s="1263" t="str">
        <f t="shared" si="11"/>
        <v>成新度</v>
      </c>
      <c r="R37" s="667" t="s">
        <v>14</v>
      </c>
      <c r="S37" s="668">
        <f t="shared" si="12"/>
        <v>100</v>
      </c>
      <c r="T37" s="667" t="s">
        <v>14</v>
      </c>
      <c r="U37" s="668">
        <f t="shared" si="13"/>
        <v>100</v>
      </c>
      <c r="V37" s="667" t="s">
        <v>14</v>
      </c>
      <c r="W37" s="668">
        <f t="shared" si="14"/>
        <v>100</v>
      </c>
      <c r="X37" s="1265"/>
      <c r="Y37" s="3395"/>
      <c r="Z37" s="1264" t="str">
        <f t="shared" si="15"/>
        <v>成新度</v>
      </c>
      <c r="AA37" s="1264">
        <f t="shared" si="3"/>
        <v>1</v>
      </c>
      <c r="AB37" s="1264">
        <f t="shared" si="4"/>
        <v>1</v>
      </c>
      <c r="AC37" s="1812">
        <f t="shared" si="5"/>
        <v>1</v>
      </c>
    </row>
    <row r="38" spans="1:29" s="102" customFormat="1" ht="15">
      <c r="A38" s="410"/>
      <c r="B38" s="364" t="s">
        <v>1818</v>
      </c>
      <c r="C38" s="399" t="s">
        <v>3435</v>
      </c>
      <c r="D38" s="119">
        <v>100</v>
      </c>
      <c r="E38" s="399" t="s">
        <v>3435</v>
      </c>
      <c r="F38" s="400">
        <f>SUMIF(113:113,E38,114:114)-SUMIF(113:113,C38,114:114)+100</f>
        <v>100</v>
      </c>
      <c r="G38" s="399" t="s">
        <v>3435</v>
      </c>
      <c r="H38" s="374">
        <f>SUMIF(113:113,G38,114:114)-SUMIF(113:113,C38,114:114)+100</f>
        <v>100</v>
      </c>
      <c r="I38" s="399" t="s">
        <v>3435</v>
      </c>
      <c r="J38" s="374">
        <f>SUMIF(113:113,I38,114:114)-SUMIF(113:113,C38,114:114)+100</f>
        <v>100</v>
      </c>
      <c r="K38" s="538">
        <v>1</v>
      </c>
      <c r="L38" s="2489"/>
      <c r="M38" s="2440"/>
      <c r="N38" s="2440"/>
      <c r="O38" s="2440"/>
      <c r="P38" s="3393"/>
      <c r="Q38" s="530" t="str">
        <f t="shared" si="11"/>
        <v>写字楼等级</v>
      </c>
      <c r="R38" s="664" t="s">
        <v>14</v>
      </c>
      <c r="S38" s="665">
        <f t="shared" si="12"/>
        <v>100</v>
      </c>
      <c r="T38" s="664" t="s">
        <v>14</v>
      </c>
      <c r="U38" s="665">
        <f t="shared" si="13"/>
        <v>100</v>
      </c>
      <c r="V38" s="664" t="s">
        <v>14</v>
      </c>
      <c r="W38" s="665">
        <f t="shared" si="14"/>
        <v>100</v>
      </c>
      <c r="X38" s="666"/>
      <c r="Y38" s="3395"/>
      <c r="Z38" s="50" t="str">
        <f t="shared" si="15"/>
        <v>写字楼等级</v>
      </c>
      <c r="AA38" s="50">
        <f t="shared" si="3"/>
        <v>1</v>
      </c>
      <c r="AB38" s="50">
        <f t="shared" si="4"/>
        <v>1</v>
      </c>
      <c r="AC38" s="802">
        <f t="shared" si="5"/>
        <v>1</v>
      </c>
    </row>
    <row r="39" spans="1:29" ht="15">
      <c r="A39" s="409"/>
      <c r="B39" s="364" t="s">
        <v>1819</v>
      </c>
      <c r="C39" s="399" t="s">
        <v>3442</v>
      </c>
      <c r="D39" s="374">
        <v>100</v>
      </c>
      <c r="E39" s="399" t="s">
        <v>3442</v>
      </c>
      <c r="F39" s="400">
        <f>SUMIF(115:115,E39,116:116)-SUMIF(115:115,C39,116:116)+100</f>
        <v>100</v>
      </c>
      <c r="G39" s="399" t="s">
        <v>3442</v>
      </c>
      <c r="H39" s="374">
        <f>SUMIF(115:115,G39,116:116)-SUMIF(115:115,C39,116:116)+100</f>
        <v>100</v>
      </c>
      <c r="I39" s="399" t="s">
        <v>3442</v>
      </c>
      <c r="J39" s="374">
        <f>SUMIF(115:115,I39,116:116)-SUMIF(115:115,C39,116:116)+100</f>
        <v>100</v>
      </c>
      <c r="K39" s="538">
        <v>1</v>
      </c>
      <c r="L39" s="2493"/>
      <c r="M39" s="2488"/>
      <c r="N39" s="2488"/>
      <c r="O39" s="2488"/>
      <c r="P39" s="3393" t="s">
        <v>1696</v>
      </c>
      <c r="Q39" s="1263" t="str">
        <f t="shared" si="11"/>
        <v>物业管理</v>
      </c>
      <c r="R39" s="667" t="s">
        <v>14</v>
      </c>
      <c r="S39" s="668">
        <f t="shared" si="12"/>
        <v>100</v>
      </c>
      <c r="T39" s="667" t="s">
        <v>14</v>
      </c>
      <c r="U39" s="668">
        <f t="shared" si="13"/>
        <v>100</v>
      </c>
      <c r="V39" s="667" t="s">
        <v>14</v>
      </c>
      <c r="W39" s="668">
        <f t="shared" si="14"/>
        <v>100</v>
      </c>
      <c r="X39" s="1265"/>
      <c r="Y39" s="3395" t="s">
        <v>1696</v>
      </c>
      <c r="Z39" s="1264" t="str">
        <f t="shared" si="15"/>
        <v>物业管理</v>
      </c>
      <c r="AA39" s="1264">
        <f t="shared" si="3"/>
        <v>1</v>
      </c>
      <c r="AB39" s="1264">
        <f t="shared" si="4"/>
        <v>1</v>
      </c>
      <c r="AC39" s="1812">
        <f t="shared" si="5"/>
        <v>1</v>
      </c>
    </row>
    <row r="40" spans="1:29" ht="15">
      <c r="A40" s="409"/>
      <c r="B40" s="364" t="s">
        <v>1787</v>
      </c>
      <c r="C40" s="399" t="s">
        <v>3443</v>
      </c>
      <c r="D40" s="374">
        <v>100</v>
      </c>
      <c r="E40" s="399" t="s">
        <v>3443</v>
      </c>
      <c r="F40" s="400">
        <f>SUMIF(117:117,E40,118:118)-SUMIF(117:117,C40,118:118)+100</f>
        <v>100</v>
      </c>
      <c r="G40" s="399" t="s">
        <v>3443</v>
      </c>
      <c r="H40" s="374">
        <f>SUMIF(117:117,G40,118:118)-SUMIF(117:117,C40,118:118)+100</f>
        <v>100</v>
      </c>
      <c r="I40" s="399" t="s">
        <v>3443</v>
      </c>
      <c r="J40" s="374">
        <f>SUMIF(117:117,I40,118:118)-SUMIF(117:117,C40,118:118)+100</f>
        <v>100</v>
      </c>
      <c r="K40" s="538">
        <v>1</v>
      </c>
      <c r="L40" s="2493"/>
      <c r="M40" s="2488"/>
      <c r="N40" s="2488"/>
      <c r="O40" s="2488"/>
      <c r="P40" s="3393"/>
      <c r="Q40" s="1263" t="str">
        <f t="shared" si="11"/>
        <v>市政基础设施</v>
      </c>
      <c r="R40" s="667" t="s">
        <v>14</v>
      </c>
      <c r="S40" s="668">
        <f t="shared" si="12"/>
        <v>100</v>
      </c>
      <c r="T40" s="667" t="s">
        <v>14</v>
      </c>
      <c r="U40" s="668">
        <f t="shared" si="13"/>
        <v>100</v>
      </c>
      <c r="V40" s="667" t="s">
        <v>14</v>
      </c>
      <c r="W40" s="668">
        <f t="shared" si="14"/>
        <v>100</v>
      </c>
      <c r="X40" s="1265"/>
      <c r="Y40" s="3395"/>
      <c r="Z40" s="1264" t="str">
        <f t="shared" si="15"/>
        <v>市政基础设施</v>
      </c>
      <c r="AA40" s="1264">
        <f t="shared" si="3"/>
        <v>1</v>
      </c>
      <c r="AB40" s="1264">
        <f t="shared" si="4"/>
        <v>1</v>
      </c>
      <c r="AC40" s="1812">
        <f t="shared" si="5"/>
        <v>1</v>
      </c>
    </row>
    <row r="41" spans="1:29" ht="15">
      <c r="A41" s="409"/>
      <c r="B41" s="364" t="s">
        <v>1789</v>
      </c>
      <c r="C41" s="542" t="s">
        <v>3444</v>
      </c>
      <c r="D41" s="374">
        <v>100</v>
      </c>
      <c r="E41" s="542" t="s">
        <v>3444</v>
      </c>
      <c r="F41" s="400">
        <f>SUMIF(119:119,E41,120:120)-SUMIF(119:119,C41,120:120)+100</f>
        <v>100</v>
      </c>
      <c r="G41" s="542" t="s">
        <v>3444</v>
      </c>
      <c r="H41" s="374">
        <f>SUMIF(119:119,G41,120:120)-SUMIF(119:119,C41,120:120)+100</f>
        <v>100</v>
      </c>
      <c r="I41" s="542" t="s">
        <v>3444</v>
      </c>
      <c r="J41" s="374">
        <f>SUMIF(119:119,I41,120:120)-SUMIF(119:119,C41,120:120)+100</f>
        <v>100</v>
      </c>
      <c r="K41" s="538">
        <v>1</v>
      </c>
      <c r="L41" s="2493"/>
      <c r="M41" s="2488"/>
      <c r="N41" s="2488"/>
      <c r="O41" s="2488"/>
      <c r="P41" s="3393"/>
      <c r="Q41" s="1263" t="str">
        <f t="shared" si="11"/>
        <v>层高</v>
      </c>
      <c r="R41" s="667" t="s">
        <v>14</v>
      </c>
      <c r="S41" s="668">
        <f t="shared" si="12"/>
        <v>100</v>
      </c>
      <c r="T41" s="667" t="s">
        <v>14</v>
      </c>
      <c r="U41" s="668">
        <f t="shared" si="13"/>
        <v>100</v>
      </c>
      <c r="V41" s="667" t="s">
        <v>14</v>
      </c>
      <c r="W41" s="668">
        <f t="shared" si="14"/>
        <v>100</v>
      </c>
      <c r="X41" s="1265"/>
      <c r="Y41" s="3395"/>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3"/>
      <c r="Q42" s="531" t="str">
        <f t="shared" si="11"/>
        <v>单套建筑面积</v>
      </c>
      <c r="R42" s="669" t="s">
        <v>14</v>
      </c>
      <c r="S42" s="670">
        <f t="shared" si="12"/>
        <v>100</v>
      </c>
      <c r="T42" s="669" t="s">
        <v>14</v>
      </c>
      <c r="U42" s="670">
        <f t="shared" si="13"/>
        <v>100</v>
      </c>
      <c r="V42" s="669" t="s">
        <v>14</v>
      </c>
      <c r="W42" s="670">
        <f t="shared" si="14"/>
        <v>100</v>
      </c>
      <c r="X42" s="671"/>
      <c r="Y42" s="3395"/>
      <c r="Z42" s="672" t="str">
        <f t="shared" si="15"/>
        <v>单套建筑面积</v>
      </c>
      <c r="AA42" s="1264">
        <f t="shared" si="3"/>
        <v>1</v>
      </c>
      <c r="AB42" s="1264">
        <f t="shared" si="4"/>
        <v>1</v>
      </c>
      <c r="AC42" s="1812">
        <f t="shared" si="5"/>
        <v>1</v>
      </c>
    </row>
    <row r="43" spans="1:29" ht="15">
      <c r="A43" s="409"/>
      <c r="B43" s="364" t="s">
        <v>1792</v>
      </c>
      <c r="C43" s="399" t="s">
        <v>3445</v>
      </c>
      <c r="D43" s="374">
        <v>100</v>
      </c>
      <c r="E43" s="399" t="s">
        <v>3445</v>
      </c>
      <c r="F43" s="400">
        <f>SUMIF(123:123,E43,124:124)-SUMIF(123:123,C43,124:124)+100</f>
        <v>100</v>
      </c>
      <c r="G43" s="399" t="s">
        <v>3445</v>
      </c>
      <c r="H43" s="374">
        <f>SUMIF(123:123,G43,124:124)-SUMIF(123:123,C43,124:124)+100</f>
        <v>100</v>
      </c>
      <c r="I43" s="399" t="s">
        <v>3445</v>
      </c>
      <c r="J43" s="374">
        <f>SUMIF(123:123,I43,124:124)-SUMIF(123:123,C43,124:124)+100</f>
        <v>100</v>
      </c>
      <c r="K43" s="538">
        <v>1</v>
      </c>
      <c r="L43" s="2493"/>
      <c r="M43" s="2488"/>
      <c r="N43" s="2488"/>
      <c r="O43" s="2488"/>
      <c r="P43" s="3393"/>
      <c r="Q43" s="1263" t="str">
        <f t="shared" si="11"/>
        <v>内部装修</v>
      </c>
      <c r="R43" s="667" t="s">
        <v>14</v>
      </c>
      <c r="S43" s="668">
        <f t="shared" si="12"/>
        <v>100</v>
      </c>
      <c r="T43" s="667" t="s">
        <v>14</v>
      </c>
      <c r="U43" s="668">
        <f t="shared" si="13"/>
        <v>100</v>
      </c>
      <c r="V43" s="667" t="s">
        <v>14</v>
      </c>
      <c r="W43" s="668">
        <f t="shared" si="14"/>
        <v>100</v>
      </c>
      <c r="X43" s="1265"/>
      <c r="Y43" s="3395"/>
      <c r="Z43" s="1264" t="str">
        <f t="shared" si="15"/>
        <v>内部装修</v>
      </c>
      <c r="AA43" s="1264">
        <f t="shared" si="3"/>
        <v>1</v>
      </c>
      <c r="AB43" s="1264">
        <f t="shared" si="4"/>
        <v>1</v>
      </c>
      <c r="AC43" s="1812">
        <f t="shared" si="5"/>
        <v>1</v>
      </c>
    </row>
    <row r="44" spans="1:29" ht="15">
      <c r="A44" s="409"/>
      <c r="B44" s="364" t="s">
        <v>1707</v>
      </c>
      <c r="C44" s="399" t="s">
        <v>3411</v>
      </c>
      <c r="D44" s="374">
        <v>100</v>
      </c>
      <c r="E44" s="399" t="s">
        <v>3411</v>
      </c>
      <c r="F44" s="400">
        <f>SUMIF(125:125,E44,126:126)-SUMIF(125:125,C44,126:126)+100</f>
        <v>100</v>
      </c>
      <c r="G44" s="399" t="s">
        <v>3411</v>
      </c>
      <c r="H44" s="374">
        <f>SUMIF(125:125,G44,126:126)-SUMIF(125:125,C44,126:126)+100</f>
        <v>100</v>
      </c>
      <c r="I44" s="399" t="s">
        <v>3411</v>
      </c>
      <c r="J44" s="374">
        <f>SUMIF(125:125,I44,126:126)-SUMIF(125:125,C44,126:126)+100</f>
        <v>100</v>
      </c>
      <c r="K44" s="538">
        <v>1</v>
      </c>
      <c r="L44" s="2493"/>
      <c r="M44" s="2488"/>
      <c r="N44" s="2488"/>
      <c r="O44" s="2488"/>
      <c r="P44" s="3393"/>
      <c r="Q44" s="1263" t="str">
        <f t="shared" si="11"/>
        <v>内部装修维护情况</v>
      </c>
      <c r="R44" s="667" t="s">
        <v>14</v>
      </c>
      <c r="S44" s="668">
        <f t="shared" si="12"/>
        <v>100</v>
      </c>
      <c r="T44" s="667" t="s">
        <v>14</v>
      </c>
      <c r="U44" s="668">
        <f t="shared" si="13"/>
        <v>100</v>
      </c>
      <c r="V44" s="667" t="s">
        <v>14</v>
      </c>
      <c r="W44" s="668">
        <f t="shared" si="14"/>
        <v>100</v>
      </c>
      <c r="X44" s="1265"/>
      <c r="Y44" s="3395"/>
      <c r="Z44" s="1264" t="str">
        <f t="shared" si="15"/>
        <v>内部装修维护情况</v>
      </c>
      <c r="AA44" s="1264">
        <f t="shared" si="3"/>
        <v>1</v>
      </c>
      <c r="AB44" s="1264">
        <f t="shared" si="4"/>
        <v>1</v>
      </c>
      <c r="AC44" s="1812">
        <f t="shared" si="5"/>
        <v>1</v>
      </c>
    </row>
    <row r="45" spans="1:29" s="102" customFormat="1" ht="15.75" thickBot="1">
      <c r="A45" s="410"/>
      <c r="B45" s="3160" t="s">
        <v>3450</v>
      </c>
      <c r="C45" s="3161" t="s">
        <v>3451</v>
      </c>
      <c r="D45" s="119">
        <v>100</v>
      </c>
      <c r="E45" s="3162" t="s">
        <v>3452</v>
      </c>
      <c r="F45" s="364">
        <f>SUMIF(127:127,E45,128:128)-SUMIF(127:127,C45,128:128)+100</f>
        <v>98</v>
      </c>
      <c r="G45" s="3162" t="s">
        <v>3452</v>
      </c>
      <c r="H45" s="119">
        <f>SUMIF(127:127,G45,128:128)-SUMIF(127:127,C45,128:128)+100</f>
        <v>98</v>
      </c>
      <c r="I45" s="3162" t="s">
        <v>3452</v>
      </c>
      <c r="J45" s="119">
        <f>SUMIF(127:127,I45,128:128)-SUMIF(127:127,C45,128:128)+100</f>
        <v>98</v>
      </c>
      <c r="K45" s="539"/>
      <c r="L45" s="2489"/>
      <c r="M45" s="2440"/>
      <c r="N45" s="2440"/>
      <c r="O45" s="2440"/>
      <c r="P45" s="3393"/>
      <c r="Q45" s="530" t="str">
        <f t="shared" si="11"/>
        <v>赠送部分</v>
      </c>
      <c r="R45" s="664" t="s">
        <v>14</v>
      </c>
      <c r="S45" s="665">
        <f t="shared" si="12"/>
        <v>98</v>
      </c>
      <c r="T45" s="664" t="s">
        <v>14</v>
      </c>
      <c r="U45" s="665">
        <f t="shared" si="13"/>
        <v>98</v>
      </c>
      <c r="V45" s="664" t="s">
        <v>14</v>
      </c>
      <c r="W45" s="665">
        <f t="shared" si="14"/>
        <v>98</v>
      </c>
      <c r="X45" s="666"/>
      <c r="Y45" s="3395"/>
      <c r="Z45" s="50" t="str">
        <f t="shared" si="15"/>
        <v>赠送部分</v>
      </c>
      <c r="AA45" s="50">
        <f t="shared" si="3"/>
        <v>1.0204081632653061</v>
      </c>
      <c r="AB45" s="50">
        <f t="shared" si="4"/>
        <v>1.0204081632653061</v>
      </c>
      <c r="AC45" s="802">
        <f t="shared" si="5"/>
        <v>1.0204081632653061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4"/>
      <c r="Q47" s="1263">
        <f t="shared" si="11"/>
        <v>111</v>
      </c>
      <c r="R47" s="667" t="s">
        <v>14</v>
      </c>
      <c r="S47" s="668">
        <f t="shared" si="12"/>
        <v>100</v>
      </c>
      <c r="T47" s="667" t="s">
        <v>14</v>
      </c>
      <c r="U47" s="668">
        <f t="shared" si="13"/>
        <v>100</v>
      </c>
      <c r="V47" s="667" t="s">
        <v>14</v>
      </c>
      <c r="W47" s="668">
        <f t="shared" si="14"/>
        <v>100</v>
      </c>
      <c r="X47" s="1265"/>
      <c r="Y47" s="3396"/>
      <c r="Z47" s="1264">
        <f t="shared" si="15"/>
        <v>111</v>
      </c>
      <c r="AA47" s="1264">
        <f t="shared" si="3"/>
        <v>1</v>
      </c>
      <c r="AB47" s="1264">
        <f t="shared" si="4"/>
        <v>1</v>
      </c>
      <c r="AC47" s="1812">
        <f t="shared" si="5"/>
        <v>1</v>
      </c>
    </row>
    <row r="48" spans="1:29" ht="15">
      <c r="A48" s="416" t="s">
        <v>1708</v>
      </c>
      <c r="B48" s="417"/>
      <c r="C48" s="1081" t="s">
        <v>0</v>
      </c>
      <c r="D48" s="418"/>
      <c r="E48" s="419">
        <v>21000</v>
      </c>
      <c r="F48" s="420"/>
      <c r="G48" s="421">
        <v>22000</v>
      </c>
      <c r="H48" s="422"/>
      <c r="I48" s="419">
        <v>21000</v>
      </c>
      <c r="J48" s="422"/>
      <c r="K48" s="674"/>
      <c r="L48" s="2495"/>
      <c r="M48" s="2488"/>
      <c r="N48" s="2488"/>
      <c r="O48" s="2488"/>
      <c r="P48" s="3368" t="str">
        <f>A48</f>
        <v>成交单价（元/平方米）</v>
      </c>
      <c r="Q48" s="3397"/>
      <c r="R48" s="3385">
        <f>E48</f>
        <v>21000</v>
      </c>
      <c r="S48" s="3385"/>
      <c r="T48" s="3385">
        <f>G48</f>
        <v>22000</v>
      </c>
      <c r="U48" s="3385"/>
      <c r="V48" s="3385">
        <f>I48</f>
        <v>21000</v>
      </c>
      <c r="W48" s="3385"/>
      <c r="X48" s="385"/>
      <c r="Y48" s="673"/>
      <c r="Z48" s="385"/>
      <c r="AA48" s="385"/>
      <c r="AB48" s="385"/>
      <c r="AC48" s="555"/>
    </row>
    <row r="49" spans="1:29" ht="15.75" thickBot="1">
      <c r="A49" s="423" t="s">
        <v>1793</v>
      </c>
      <c r="B49" s="424"/>
      <c r="C49" s="1082">
        <f>R50</f>
        <v>21134</v>
      </c>
      <c r="D49" s="2141" t="s">
        <v>2138</v>
      </c>
      <c r="E49" s="1083">
        <f>R49</f>
        <v>20804</v>
      </c>
      <c r="F49" s="2142"/>
      <c r="G49" s="1082">
        <f>T49</f>
        <v>21795</v>
      </c>
      <c r="H49" s="2142"/>
      <c r="I49" s="1083">
        <f>V49</f>
        <v>20804</v>
      </c>
      <c r="J49" s="2142"/>
      <c r="K49" s="2144">
        <f>F49+H49+J49</f>
        <v>0</v>
      </c>
      <c r="L49" s="2495"/>
      <c r="M49" s="2488"/>
      <c r="N49" s="2488"/>
      <c r="O49" s="2488"/>
      <c r="P49" s="3368" t="str">
        <f>A49</f>
        <v>比较价值（元/平方米）</v>
      </c>
      <c r="Q49" s="3397"/>
      <c r="R49" s="3385">
        <f>IF(F1="售价",ROUND(PRODUCT(R48,AA7:AA47),0),ROUND(PRODUCT(R48,AA7:AA47),1))</f>
        <v>20804</v>
      </c>
      <c r="S49" s="3385"/>
      <c r="T49" s="3385">
        <f>IF(F1="售价",ROUND(PRODUCT(T48,AB7:AB47),0),ROUND(PRODUCT(T48,AB7:AB47),1))</f>
        <v>21795</v>
      </c>
      <c r="U49" s="3385"/>
      <c r="V49" s="3385">
        <f>IF(F1="售价",ROUND(PRODUCT(V48,AC7:AC47),0),ROUND(PRODUCT(V48,AC7:AC47),1))</f>
        <v>20804</v>
      </c>
      <c r="W49" s="3385"/>
      <c r="X49" s="385"/>
      <c r="Y49" s="385"/>
      <c r="Z49" s="385"/>
      <c r="AA49" s="385"/>
      <c r="AB49" s="385"/>
      <c r="AC49" s="555"/>
    </row>
    <row r="50" spans="1:29" ht="15.75" thickBot="1">
      <c r="A50" s="427" t="s">
        <v>1794</v>
      </c>
      <c r="B50" s="428"/>
      <c r="C50" s="351">
        <f>R50</f>
        <v>21134</v>
      </c>
      <c r="D50" s="351"/>
      <c r="E50" s="351"/>
      <c r="F50" s="351"/>
      <c r="G50" s="351"/>
      <c r="H50" s="351"/>
      <c r="I50" s="351"/>
      <c r="J50" s="429"/>
      <c r="K50" s="675"/>
      <c r="L50" s="2495"/>
      <c r="M50" s="2488"/>
      <c r="N50" s="2488"/>
      <c r="O50" s="2488"/>
      <c r="P50" s="3398" t="str">
        <f>A50</f>
        <v>估价对象XX用房的比较价值（楼面单价，元/平方米）</v>
      </c>
      <c r="Q50" s="3399"/>
      <c r="R50" s="3400">
        <f>IF(F1="售价",ROUND(IF(D49="简单平均",AVERAGE(R49:V49),R49*F49+T49*H49+V49*J49),0),ROUND(IF(D49="简单平均",AVERAGE(R49:V49),R49*F49+T49*H49+V49*J49),1))</f>
        <v>21134</v>
      </c>
      <c r="S50" s="3400"/>
      <c r="T50" s="3400"/>
      <c r="U50" s="3400"/>
      <c r="V50" s="3400"/>
      <c r="W50" s="340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f>IF(E48&lt;E49,E49/E48-1,E48/E49-1)</f>
        <v>9.421265141319024E-3</v>
      </c>
      <c r="F53" s="435" t="str">
        <f>IF(OR(E53&gt;=0.3,E53&lt;=-0.3),"超过30%","")</f>
        <v/>
      </c>
      <c r="G53" s="434">
        <f>IF(G48&lt;G49,G49/G48-1,G48/G49-1)</f>
        <v>9.4058270245469533E-3</v>
      </c>
      <c r="H53" s="435" t="str">
        <f>IF(OR(G53&gt;=0.3,G53&lt;=-0.3),"超过30%","")</f>
        <v/>
      </c>
      <c r="I53" s="434">
        <f>IF(I48&lt;I49,I49/I48-1,I48/I49-1)</f>
        <v>9.421265141319024E-3</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f>IF(E49&lt;G49,G49/E49-1,E49/G49-1)</f>
        <v>4.7635070178811745E-2</v>
      </c>
      <c r="F54" s="435" t="str">
        <f>IF(OR(E54&gt;=0.2,E54&lt;=-0.2),"超过20%","")</f>
        <v/>
      </c>
      <c r="G54" s="434">
        <f>IF(G49&lt;I49,I49/G49-1,G49/I49-1)</f>
        <v>4.7635070178811745E-2</v>
      </c>
      <c r="H54" s="435" t="str">
        <f>IF(OR(G54&gt;=0.2,G54&lt;=-0.2),"超过20%","")</f>
        <v/>
      </c>
      <c r="I54" s="434">
        <f>IF(I49&lt;E49,E49/I49-1,I49/E49-1)</f>
        <v>0</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f>IF(E48&lt;G48,G48/E48-1,E48/G48-1)</f>
        <v>4.7619047619047672E-2</v>
      </c>
      <c r="F55" s="435" t="str">
        <f>IF(OR(E55&gt;=0.3,E55&lt;=-0.3),"超过30%","")</f>
        <v/>
      </c>
      <c r="G55" s="434">
        <f>IF(G48&lt;I48,I48/G48-1,G48/I48-1)</f>
        <v>4.7619047619047672E-2</v>
      </c>
      <c r="H55" s="435" t="str">
        <f>IF(OR(G55&gt;=0.3,G55&lt;=-0.3),"超过30%","")</f>
        <v/>
      </c>
      <c r="I55" s="434">
        <f>IF(I48&lt;E48,E48/I48-1,I48/E48-1)</f>
        <v>0</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55" t="s">
        <v>3417</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103</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0（含）-1</v>
      </c>
      <c r="D68" s="478" t="str">
        <f t="shared" ref="D68:L68" si="17">D69&amp;"（含）"&amp;"-"&amp;E69</f>
        <v>1（含）-2</v>
      </c>
      <c r="E68" s="478" t="str">
        <f t="shared" si="17"/>
        <v>2（含）-3</v>
      </c>
      <c r="F68" s="478" t="str">
        <f t="shared" si="17"/>
        <v>3（含）-4</v>
      </c>
      <c r="G68" s="478" t="str">
        <f t="shared" si="17"/>
        <v>4（含）-5</v>
      </c>
      <c r="H68" s="478" t="str">
        <f t="shared" si="17"/>
        <v>5（含）-6</v>
      </c>
      <c r="I68" s="478" t="str">
        <f t="shared" si="17"/>
        <v>6（含）-7</v>
      </c>
      <c r="J68" s="478" t="str">
        <f t="shared" si="17"/>
        <v>7（含）-8</v>
      </c>
      <c r="K68" s="478" t="str">
        <f t="shared" si="17"/>
        <v>8（含）-9</v>
      </c>
      <c r="L68" s="478" t="str">
        <f t="shared" si="17"/>
        <v>9（含）-10</v>
      </c>
      <c r="M68" s="387" t="str">
        <f>M69&amp;"（含）"&amp;"-"&amp;P69</f>
        <v>10（含）-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1</v>
      </c>
      <c r="E69" s="480">
        <v>2</v>
      </c>
      <c r="F69" s="480">
        <v>3</v>
      </c>
      <c r="G69" s="480">
        <v>4</v>
      </c>
      <c r="H69" s="480">
        <v>5</v>
      </c>
      <c r="I69" s="480">
        <v>6</v>
      </c>
      <c r="J69" s="480">
        <v>7</v>
      </c>
      <c r="K69" s="480">
        <v>8</v>
      </c>
      <c r="L69" s="480">
        <v>9</v>
      </c>
      <c r="M69" s="480">
        <v>10</v>
      </c>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98</v>
      </c>
      <c r="E78" s="475">
        <f>D78-$K15</f>
        <v>96</v>
      </c>
      <c r="F78" s="475">
        <f>E78-$K15</f>
        <v>94</v>
      </c>
      <c r="G78" s="475">
        <f>F78-$K15</f>
        <v>92</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98</v>
      </c>
      <c r="E84" s="475">
        <f>D84-$K21</f>
        <v>96</v>
      </c>
      <c r="F84" s="475">
        <f>E84-$K21</f>
        <v>94</v>
      </c>
      <c r="G84" s="475">
        <f>F84-$K21</f>
        <v>92</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3157" t="s">
        <v>3437</v>
      </c>
      <c r="D89" s="3157" t="s">
        <v>3439</v>
      </c>
      <c r="E89" s="3157" t="s">
        <v>3441</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156" t="s">
        <v>3418</v>
      </c>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99</v>
      </c>
      <c r="E102" s="475">
        <f t="shared" si="22"/>
        <v>98</v>
      </c>
      <c r="F102" s="475">
        <f t="shared" si="22"/>
        <v>97</v>
      </c>
      <c r="G102" s="475">
        <f t="shared" si="22"/>
        <v>96</v>
      </c>
      <c r="H102" s="475">
        <f t="shared" si="22"/>
        <v>95</v>
      </c>
      <c r="I102" s="475">
        <f t="shared" si="22"/>
        <v>94</v>
      </c>
      <c r="J102" s="475">
        <f t="shared" si="22"/>
        <v>93</v>
      </c>
      <c r="K102" s="475">
        <f t="shared" si="22"/>
        <v>92</v>
      </c>
      <c r="L102" s="475">
        <f t="shared" si="22"/>
        <v>91</v>
      </c>
      <c r="M102" s="476">
        <f t="shared" si="22"/>
        <v>90</v>
      </c>
      <c r="N102" s="2523"/>
      <c r="O102" s="2523"/>
      <c r="P102" s="2531"/>
      <c r="Q102" s="2509"/>
      <c r="R102" s="2488"/>
      <c r="S102" s="2488"/>
      <c r="T102" s="2488"/>
      <c r="U102" s="2488"/>
      <c r="V102" s="2488"/>
      <c r="W102" s="2488"/>
      <c r="X102" s="2488"/>
      <c r="Y102" s="2488"/>
      <c r="Z102" s="2488"/>
      <c r="AA102" s="2488"/>
      <c r="AB102" s="2488"/>
      <c r="AC102" s="2488"/>
    </row>
    <row r="103" spans="1:29" ht="29.25" thickTop="1">
      <c r="A103" s="367"/>
      <c r="B103" s="469" t="s">
        <v>1737</v>
      </c>
      <c r="C103" s="509" t="str">
        <f>C104&amp;"(含)"&amp;"-"&amp;D104</f>
        <v>0(含)-200</v>
      </c>
      <c r="D103" s="509" t="str">
        <f t="shared" ref="D103:L103" si="23">D104&amp;"(含)"&amp;"-"&amp;E104</f>
        <v>200(含)-400</v>
      </c>
      <c r="E103" s="509" t="str">
        <f t="shared" si="23"/>
        <v>400(含)-600</v>
      </c>
      <c r="F103" s="509" t="str">
        <f t="shared" si="23"/>
        <v>600(含)-800</v>
      </c>
      <c r="G103" s="509" t="str">
        <f t="shared" si="23"/>
        <v>800(含)-1000</v>
      </c>
      <c r="H103" s="509" t="str">
        <f t="shared" si="23"/>
        <v>1000(含)-1200</v>
      </c>
      <c r="I103" s="509" t="str">
        <f t="shared" si="23"/>
        <v>1200(含)-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200</v>
      </c>
      <c r="E104" s="6">
        <v>400</v>
      </c>
      <c r="F104" s="6">
        <v>600</v>
      </c>
      <c r="G104" s="6">
        <v>800</v>
      </c>
      <c r="H104" s="6">
        <v>1000</v>
      </c>
      <c r="I104" s="6">
        <v>1200</v>
      </c>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v>99</v>
      </c>
      <c r="E105" s="491">
        <v>98</v>
      </c>
      <c r="F105" s="467">
        <v>97</v>
      </c>
      <c r="G105" s="491">
        <v>96</v>
      </c>
      <c r="H105" s="467">
        <v>95</v>
      </c>
      <c r="I105" s="491">
        <v>94</v>
      </c>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3157" t="s">
        <v>3419</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157" t="s">
        <v>3420</v>
      </c>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3157" t="s">
        <v>3421</v>
      </c>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99</v>
      </c>
      <c r="E114" s="475">
        <f t="shared" ref="E114:M114" si="27">D114-$K38</f>
        <v>98</v>
      </c>
      <c r="F114" s="475">
        <f t="shared" si="27"/>
        <v>97</v>
      </c>
      <c r="G114" s="475">
        <f t="shared" si="27"/>
        <v>96</v>
      </c>
      <c r="H114" s="475">
        <f t="shared" si="27"/>
        <v>95</v>
      </c>
      <c r="I114" s="475">
        <f t="shared" si="27"/>
        <v>94</v>
      </c>
      <c r="J114" s="475">
        <f t="shared" si="27"/>
        <v>93</v>
      </c>
      <c r="K114" s="475">
        <f t="shared" si="27"/>
        <v>92</v>
      </c>
      <c r="L114" s="475">
        <f t="shared" si="27"/>
        <v>91</v>
      </c>
      <c r="M114" s="475">
        <f t="shared" si="27"/>
        <v>90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3157" t="s">
        <v>3422</v>
      </c>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3157" t="s">
        <v>3423</v>
      </c>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3158" t="s">
        <v>3424</v>
      </c>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157" t="s">
        <v>3420</v>
      </c>
      <c r="D123" s="3157" t="s">
        <v>3425</v>
      </c>
      <c r="E123" s="3157" t="s">
        <v>3426</v>
      </c>
      <c r="F123" s="3158" t="s">
        <v>3427</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t="str">
        <f>B45</f>
        <v>赠送部分</v>
      </c>
      <c r="C127" s="3157" t="s">
        <v>3451</v>
      </c>
      <c r="D127" s="3157" t="s">
        <v>3452</v>
      </c>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v>100</v>
      </c>
      <c r="D128" s="467">
        <v>98</v>
      </c>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46" priority="16" stopIfTrue="1">
      <formula>$F$53="超过30%"</formula>
    </cfRule>
  </conditionalFormatting>
  <conditionalFormatting sqref="E54">
    <cfRule type="expression" dxfId="145" priority="15" stopIfTrue="1">
      <formula>$F$54="超过20%"</formula>
    </cfRule>
  </conditionalFormatting>
  <conditionalFormatting sqref="E55">
    <cfRule type="expression" dxfId="144" priority="14" stopIfTrue="1">
      <formula>$F$55="超过30%"</formula>
    </cfRule>
  </conditionalFormatting>
  <conditionalFormatting sqref="F7:F47 H7:H47 J7:J47">
    <cfRule type="cellIs" dxfId="143" priority="1" operator="notEqual">
      <formula>100</formula>
    </cfRule>
  </conditionalFormatting>
  <conditionalFormatting sqref="F49">
    <cfRule type="expression" dxfId="142" priority="4">
      <formula>$D$49="简单平均"</formula>
    </cfRule>
  </conditionalFormatting>
  <conditionalFormatting sqref="F53:F55 H53:H55">
    <cfRule type="containsText" dxfId="141" priority="17" stopIfTrue="1" operator="containsText" text="超过">
      <formula>NOT(ISERROR(SEARCH("超过",F53)))</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G55">
    <cfRule type="expression" dxfId="138" priority="13" stopIfTrue="1">
      <formula>$H$55="超过30%"</formula>
    </cfRule>
  </conditionalFormatting>
  <conditionalFormatting sqref="H49">
    <cfRule type="expression" dxfId="137" priority="3">
      <formula>$D$49="简单平均"</formula>
    </cfRule>
  </conditionalFormatting>
  <conditionalFormatting sqref="I53">
    <cfRule type="expression" dxfId="136" priority="7" stopIfTrue="1">
      <formula>$J$53="超过30%"</formula>
    </cfRule>
  </conditionalFormatting>
  <conditionalFormatting sqref="I54">
    <cfRule type="expression" dxfId="135" priority="6" stopIfTrue="1">
      <formula>$J$53+$J$54="超过20%"</formula>
    </cfRule>
  </conditionalFormatting>
  <conditionalFormatting sqref="I55">
    <cfRule type="expression" dxfId="134" priority="5" stopIfTrue="1">
      <formula>$J$55="超过30%"</formula>
    </cfRule>
  </conditionalFormatting>
  <conditionalFormatting sqref="J49">
    <cfRule type="expression" dxfId="133" priority="2">
      <formula>$D$49="简单平均"</formula>
    </cfRule>
  </conditionalFormatting>
  <conditionalFormatting sqref="J53:J55">
    <cfRule type="containsText" dxfId="132" priority="8" stopIfTrue="1" operator="containsText" text="超过">
      <formula>NOT(ISERROR(SEARCH("超过",J53)))</formula>
    </cfRule>
  </conditionalFormatting>
  <dataValidations disablePrompts="1"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606.78</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606.78</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-0.13560000000000016</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12</v>
      </c>
      <c r="D20" s="796">
        <f ca="1">IF(C1="",'数据-汇总表'!E6,IF(INDIRECT("'数据-取费表'!c"&amp;$K$1)="住宅",INDIRECT("'数据-取费表'!s"&amp;$K$1),INDIRECT("'数据-取费表'!k"&amp;$K$1)+INDIRECT("'数据-取费表'!s"&amp;$K$1)))</f>
        <v>606.78</v>
      </c>
      <c r="E20" s="21">
        <f>'数据-取费表'!B28</f>
        <v>200</v>
      </c>
      <c r="F20" s="756"/>
      <c r="G20" s="12"/>
      <c r="H20" s="761"/>
      <c r="I20" s="761"/>
      <c r="J20" s="761"/>
      <c r="K20" s="762"/>
    </row>
    <row r="21" spans="1:33" s="755" customFormat="1" ht="13.5" customHeight="1">
      <c r="A21" s="744" t="s">
        <v>357</v>
      </c>
      <c r="B21" s="765" t="s">
        <v>1628</v>
      </c>
      <c r="C21" s="766">
        <f ca="1">C16+C17+C18</f>
        <v>-0.13560000000000016</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03" t="s">
        <v>694</v>
      </c>
      <c r="C6" s="1011">
        <f ca="1">ROUND(F6*F8*F7*(1-F9)/10000,0)</f>
        <v>0</v>
      </c>
      <c r="D6" s="147" t="s">
        <v>2109</v>
      </c>
      <c r="E6" s="294" t="s">
        <v>696</v>
      </c>
      <c r="F6" s="295">
        <f ca="1">INDIRECT("'数据-取费表'!u"&amp;$G$1)</f>
        <v>0</v>
      </c>
      <c r="G6" s="1292"/>
      <c r="H6" s="1006" t="s">
        <v>398</v>
      </c>
      <c r="I6" s="3403" t="s">
        <v>694</v>
      </c>
      <c r="J6" s="293">
        <f ca="1">ROUND(M6*M8*M7*(1-M9)/10000,0)</f>
        <v>0</v>
      </c>
      <c r="K6" s="147" t="s">
        <v>2108</v>
      </c>
      <c r="L6" s="294" t="s">
        <v>696</v>
      </c>
      <c r="M6" s="295">
        <f ca="1">INDIRECT("'数据-取费表'!z"&amp;$G$1)</f>
        <v>0</v>
      </c>
    </row>
    <row r="7" spans="1:37" ht="18" customHeight="1">
      <c r="A7" s="1010"/>
      <c r="B7" s="3404"/>
      <c r="C7" s="1012"/>
      <c r="D7" s="299"/>
      <c r="E7" s="1013" t="s">
        <v>697</v>
      </c>
      <c r="F7" s="295">
        <f ca="1">IF(INDIRECT("'数据-取费表'!ah"&amp;$G$1)="",INDIRECT("'数据-取费表'!k"&amp;$G$1),INDIRECT("'数据-取费表'!ah"&amp;$G$1))</f>
        <v>0</v>
      </c>
      <c r="G7" s="1292"/>
      <c r="H7" s="296"/>
      <c r="I7" s="3404"/>
      <c r="J7" s="298"/>
      <c r="K7" s="299"/>
      <c r="L7" s="294" t="s">
        <v>697</v>
      </c>
      <c r="M7" s="295">
        <f ca="1">F7</f>
        <v>0</v>
      </c>
    </row>
    <row r="8" spans="1:37" ht="18" customHeight="1">
      <c r="A8" s="296"/>
      <c r="B8" s="3404"/>
      <c r="C8" s="298"/>
      <c r="D8" s="299"/>
      <c r="E8" s="294" t="s">
        <v>698</v>
      </c>
      <c r="F8" s="295">
        <f ca="1">INDIRECT("'数据-取费表'!ai"&amp;$G$1)</f>
        <v>0</v>
      </c>
      <c r="G8" s="1292"/>
      <c r="H8" s="296"/>
      <c r="I8" s="3404"/>
      <c r="J8" s="298"/>
      <c r="K8" s="299"/>
      <c r="L8" s="294" t="s">
        <v>698</v>
      </c>
      <c r="M8" s="295">
        <f ca="1">INDIRECT("'数据-取费表'!ai"&amp;$G$1)</f>
        <v>0</v>
      </c>
    </row>
    <row r="9" spans="1:37" ht="18" customHeight="1">
      <c r="A9" s="296"/>
      <c r="B9" s="3405"/>
      <c r="C9" s="298"/>
      <c r="D9" s="299"/>
      <c r="E9" s="294" t="s">
        <v>699</v>
      </c>
      <c r="F9" s="304">
        <f ca="1">INDIRECT("'数据-取费表'!w"&amp;$G$1)</f>
        <v>0</v>
      </c>
      <c r="G9" s="1292"/>
      <c r="H9" s="296"/>
      <c r="I9" s="3405"/>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ROUND(C13*F37,2)</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01" t="s">
        <v>837</v>
      </c>
      <c r="L53" s="3402"/>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I42" sqref="I4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21</v>
      </c>
      <c r="D1" s="1271" t="s">
        <v>43</v>
      </c>
      <c r="E1" s="1272" t="s">
        <v>678</v>
      </c>
      <c r="F1" s="999">
        <f ca="1">J53</f>
        <v>38.200000000000003</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f ca="1">ROUND(D2/10000,4)</f>
        <v>1230.5503000000001</v>
      </c>
      <c r="C2" s="1289" t="s">
        <v>879</v>
      </c>
      <c r="D2" s="1375">
        <f ca="1">C40+J29+L46</f>
        <v>12305503</v>
      </c>
      <c r="E2" s="1295" t="s">
        <v>880</v>
      </c>
      <c r="F2" s="1296"/>
      <c r="G2" s="2479"/>
      <c r="H2" s="2469"/>
      <c r="I2" s="2469"/>
      <c r="J2" s="2469"/>
      <c r="K2" s="2470"/>
      <c r="L2" s="2469"/>
      <c r="M2" s="2469"/>
    </row>
    <row r="3" spans="1:37" ht="18" customHeight="1" thickBot="1">
      <c r="A3" s="1297" t="s">
        <v>881</v>
      </c>
      <c r="B3" s="1298">
        <f ca="1">IF(ISERROR(D2/F43),0,ROUND(D2/F43,0))</f>
        <v>20280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678560</v>
      </c>
      <c r="D5" s="1273" t="s">
        <v>889</v>
      </c>
      <c r="E5" s="1008"/>
      <c r="F5" s="1009"/>
      <c r="G5" s="1292"/>
      <c r="H5" s="291">
        <v>1</v>
      </c>
      <c r="I5" s="292" t="s">
        <v>888</v>
      </c>
      <c r="J5" s="1007">
        <f ca="1">J6+J10+J12</f>
        <v>0</v>
      </c>
      <c r="K5" s="1273" t="s">
        <v>889</v>
      </c>
      <c r="L5" s="1008"/>
      <c r="M5" s="1009"/>
    </row>
    <row r="6" spans="1:37" ht="18" customHeight="1">
      <c r="A6" s="1006" t="s">
        <v>398</v>
      </c>
      <c r="B6" s="3403" t="s">
        <v>694</v>
      </c>
      <c r="C6" s="1011">
        <f ca="1">ROUND(F6*F8*F7*(1-F9),0)</f>
        <v>677713</v>
      </c>
      <c r="D6" s="147" t="s">
        <v>2106</v>
      </c>
      <c r="E6" s="294" t="s">
        <v>696</v>
      </c>
      <c r="F6" s="295">
        <f ca="1">INDIRECT("'数据-取费表'!u"&amp;$G$1)</f>
        <v>3.4</v>
      </c>
      <c r="G6" s="1292"/>
      <c r="H6" s="1006" t="s">
        <v>398</v>
      </c>
      <c r="I6" s="3403" t="s">
        <v>694</v>
      </c>
      <c r="J6" s="293">
        <f ca="1">ROUND(M6*M8*M7*(1-M9),0)</f>
        <v>0</v>
      </c>
      <c r="K6" s="1284" t="s">
        <v>2107</v>
      </c>
      <c r="L6" s="294" t="s">
        <v>696</v>
      </c>
      <c r="M6" s="295">
        <f ca="1">INDIRECT("'数据-取费表'!z"&amp;$G$1)</f>
        <v>0</v>
      </c>
    </row>
    <row r="7" spans="1:37" ht="18" customHeight="1">
      <c r="A7" s="1010"/>
      <c r="B7" s="3404"/>
      <c r="C7" s="1012"/>
      <c r="D7" s="299"/>
      <c r="E7" s="1013" t="s">
        <v>697</v>
      </c>
      <c r="F7" s="295">
        <f ca="1">IF(INDIRECT("'数据-取费表'!ah"&amp;$G$1)="",INDIRECT("'数据-取费表'!k"&amp;$G$1),INDIRECT("'数据-取费表'!ah"&amp;$G$1))</f>
        <v>606.78</v>
      </c>
      <c r="G7" s="1292"/>
      <c r="H7" s="296"/>
      <c r="I7" s="3404"/>
      <c r="J7" s="298"/>
      <c r="K7" s="299"/>
      <c r="L7" s="294" t="s">
        <v>697</v>
      </c>
      <c r="M7" s="295">
        <f ca="1">F7</f>
        <v>606.78</v>
      </c>
    </row>
    <row r="8" spans="1:37" ht="18" customHeight="1">
      <c r="A8" s="296"/>
      <c r="B8" s="3404"/>
      <c r="C8" s="298"/>
      <c r="D8" s="299"/>
      <c r="E8" s="294" t="s">
        <v>698</v>
      </c>
      <c r="F8" s="295">
        <f ca="1">INDIRECT("'数据-取费表'!ai"&amp;$G$1)</f>
        <v>365</v>
      </c>
      <c r="G8" s="1292"/>
      <c r="H8" s="296"/>
      <c r="I8" s="3404"/>
      <c r="J8" s="298"/>
      <c r="K8" s="299"/>
      <c r="L8" s="294" t="s">
        <v>698</v>
      </c>
      <c r="M8" s="295">
        <f ca="1">INDIRECT("'数据-取费表'!ai"&amp;$G$1)</f>
        <v>365</v>
      </c>
    </row>
    <row r="9" spans="1:37" ht="18" customHeight="1">
      <c r="A9" s="296"/>
      <c r="B9" s="3405"/>
      <c r="C9" s="298"/>
      <c r="D9" s="299"/>
      <c r="E9" s="294" t="s">
        <v>699</v>
      </c>
      <c r="F9" s="304">
        <f ca="1">INDIRECT("'数据-取费表'!w"&amp;$G$1)</f>
        <v>0.1</v>
      </c>
      <c r="G9" s="1292"/>
      <c r="H9" s="296"/>
      <c r="I9" s="3405"/>
      <c r="J9" s="298"/>
      <c r="K9" s="299"/>
      <c r="L9" s="305" t="s">
        <v>699</v>
      </c>
      <c r="M9" s="306">
        <f ca="1">INDIRECT("'数据-取费表'!ab"&amp;$G$1)</f>
        <v>0</v>
      </c>
    </row>
    <row r="10" spans="1:37" ht="18" customHeight="1">
      <c r="A10" s="1006" t="s">
        <v>402</v>
      </c>
      <c r="B10" s="1274" t="s">
        <v>700</v>
      </c>
      <c r="C10" s="308">
        <f ca="1">ROUND(IF(F10="押一",C6/12*F11,IF(F10="押二",C6/12*2*F11,IF(F10="押三",C6/12*3*F11,C11*F11))),0)</f>
        <v>847</v>
      </c>
      <c r="D10" s="150" t="s">
        <v>2116</v>
      </c>
      <c r="E10" s="305" t="s">
        <v>701</v>
      </c>
      <c r="F10" s="1053" t="s">
        <v>3446</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2941476</v>
      </c>
      <c r="D13" s="1018" t="s">
        <v>705</v>
      </c>
      <c r="E13" s="1018" t="s">
        <v>706</v>
      </c>
      <c r="F13" s="1019">
        <f ca="1">INDIRECT("'数据-取费表'!y"&amp;$G$1)</f>
        <v>0.83</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2427120</v>
      </c>
      <c r="D14" s="1257" t="s">
        <v>708</v>
      </c>
      <c r="E14" s="1255"/>
      <c r="F14" s="311"/>
      <c r="G14" s="1292"/>
      <c r="H14" s="928" t="s">
        <v>398</v>
      </c>
      <c r="I14" s="294" t="s">
        <v>709</v>
      </c>
      <c r="J14" s="21">
        <f ca="1">C29</f>
        <v>3543947</v>
      </c>
      <c r="K14" s="12"/>
      <c r="L14" s="759"/>
      <c r="M14" s="760"/>
    </row>
    <row r="15" spans="1:37" s="1304" customFormat="1" ht="18" customHeight="1" thickBot="1">
      <c r="A15" s="928" t="s">
        <v>399</v>
      </c>
      <c r="B15" s="294" t="s">
        <v>710</v>
      </c>
      <c r="C15" s="21">
        <f ca="1">ROUND(C14*F15,0)</f>
        <v>121356</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7088</v>
      </c>
      <c r="K16" s="1024" t="s">
        <v>715</v>
      </c>
      <c r="L16" s="1025"/>
      <c r="M16" s="1009"/>
    </row>
    <row r="17" spans="1:37" s="1304" customFormat="1" ht="18" customHeight="1">
      <c r="A17" s="928" t="s">
        <v>681</v>
      </c>
      <c r="B17" s="294" t="s">
        <v>716</v>
      </c>
      <c r="C17" s="21">
        <f ca="1">ROUND(F17*(F43+INDIRECT("'数据-取费表'!S"&amp;$G$1)),0)</f>
        <v>121356</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48542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2718374</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54367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7088</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85955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-7088</v>
      </c>
      <c r="K25" s="1032" t="s">
        <v>753</v>
      </c>
      <c r="L25" s="1033"/>
      <c r="M25" s="1034"/>
    </row>
    <row r="26" spans="1:37" ht="18" customHeight="1">
      <c r="A26" s="928" t="s">
        <v>397</v>
      </c>
      <c r="B26" s="294" t="s">
        <v>754</v>
      </c>
      <c r="C26" s="21">
        <f ca="1">ROUND((C19+C20)*F26,0)</f>
        <v>415911</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3543947</v>
      </c>
      <c r="D29" s="1029"/>
      <c r="E29" s="1027"/>
      <c r="F29" s="1030"/>
      <c r="G29" s="1303"/>
      <c r="H29" s="325" t="s">
        <v>396</v>
      </c>
      <c r="I29" s="326" t="s">
        <v>768</v>
      </c>
      <c r="J29" s="327">
        <f ca="1">ROUND(J26/(1+F40)^F41,0)</f>
        <v>0</v>
      </c>
      <c r="K29" s="328" t="s">
        <v>769</v>
      </c>
      <c r="L29" s="329"/>
      <c r="M29" s="330">
        <f ca="1">INDIRECT("'数据-取费表'!k"&amp;$G$1)</f>
        <v>606.78</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129767</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112952</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35499</v>
      </c>
      <c r="D32" s="1256" t="s">
        <v>724</v>
      </c>
      <c r="E32" s="294" t="s">
        <v>712</v>
      </c>
      <c r="F32" s="322">
        <f>'数据-取费表'!B41</f>
        <v>5.5000000000000007E-2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77453</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7088</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ROUND(C13*F37,0)</f>
        <v>2941</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ROUND(C5*F38,0)</f>
        <v>6786</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548793</v>
      </c>
      <c r="D39" s="1032" t="s">
        <v>773</v>
      </c>
      <c r="E39" s="1033"/>
      <c r="F39" s="1034"/>
      <c r="G39" s="1292"/>
      <c r="H39" s="2474"/>
      <c r="I39" s="1305"/>
      <c r="J39" s="1306"/>
      <c r="K39" s="2472"/>
      <c r="L39" s="2474"/>
      <c r="M39" s="2474"/>
    </row>
    <row r="40" spans="1:18" ht="18" customHeight="1">
      <c r="A40" s="291" t="s">
        <v>395</v>
      </c>
      <c r="B40" s="292" t="s">
        <v>774</v>
      </c>
      <c r="C40" s="293">
        <f ca="1">ROUND(C39*(1-((1+F42)/(1+F40))^F41)/(F40-F42),0)</f>
        <v>12216019</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38.200000000000003</v>
      </c>
      <c r="G41" s="1292"/>
      <c r="H41" s="121"/>
      <c r="I41" s="1305"/>
      <c r="J41" s="1306"/>
      <c r="K41" s="2331"/>
      <c r="L41" s="121"/>
      <c r="M41" s="121"/>
    </row>
    <row r="42" spans="1:18" ht="18" customHeight="1">
      <c r="A42" s="300"/>
      <c r="B42" s="301"/>
      <c r="C42" s="302"/>
      <c r="D42" s="319"/>
      <c r="E42" s="294" t="s">
        <v>766</v>
      </c>
      <c r="F42" s="304">
        <f ca="1">INDIRECT("'数据-取费表'!v"&amp;$G$1)</f>
        <v>2.5000000000000001E-2</v>
      </c>
      <c r="G42" s="1292"/>
      <c r="H42" s="121"/>
      <c r="I42" s="1305"/>
      <c r="J42" s="1306"/>
      <c r="K42" s="2331"/>
      <c r="L42" s="121"/>
      <c r="M42" s="121"/>
    </row>
    <row r="43" spans="1:18" ht="18" customHeight="1" thickBot="1">
      <c r="A43" s="325" t="s">
        <v>396</v>
      </c>
      <c r="B43" s="326" t="s">
        <v>776</v>
      </c>
      <c r="C43" s="327">
        <f ca="1">ROUND(C40/F43,0)</f>
        <v>20133</v>
      </c>
      <c r="D43" s="328" t="s">
        <v>777</v>
      </c>
      <c r="E43" s="329" t="s">
        <v>778</v>
      </c>
      <c r="F43" s="330">
        <f ca="1">INDIRECT("'数据-取费表'!k"&amp;$G$1)</f>
        <v>606.78</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3342</v>
      </c>
      <c r="B45" s="1307"/>
      <c r="C45" s="1376">
        <f ca="1">ROUND((C68-C40)/10000,4)</f>
        <v>-1237.4779000000001</v>
      </c>
      <c r="D45" s="3131" t="s">
        <v>3343</v>
      </c>
      <c r="E45" s="1307"/>
      <c r="F45" s="1307"/>
      <c r="O45" s="1310" t="s">
        <v>808</v>
      </c>
      <c r="P45" s="1366"/>
      <c r="Q45" s="1366"/>
      <c r="R45" s="1366"/>
    </row>
    <row r="46" spans="1:18" s="1292" customFormat="1" ht="13.5" thickBot="1">
      <c r="A46" s="1311" t="s">
        <v>809</v>
      </c>
      <c r="C46" s="1312">
        <f ca="1">ROUND(C45,0)</f>
        <v>-1237</v>
      </c>
      <c r="D46" s="1313" t="str">
        <f>C2</f>
        <v>万元</v>
      </c>
      <c r="I46" s="1314" t="s">
        <v>810</v>
      </c>
      <c r="J46" s="1315"/>
      <c r="K46" s="1316"/>
      <c r="L46" s="1317">
        <f ca="1">IF(M47="住宅",0,IF(L48&gt;J51,L60,J60))</f>
        <v>89484</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3433</v>
      </c>
      <c r="K47" s="1323" t="s">
        <v>816</v>
      </c>
      <c r="L47" s="1324">
        <f ca="1">INDIRECT("'数据-取费表'!d"&amp;$G$1)</f>
        <v>50</v>
      </c>
      <c r="M47" s="1288" t="str">
        <f>IF(ISNUMBER(FIND("住宅",C1)),"住宅","非住宅")</f>
        <v>非住宅</v>
      </c>
      <c r="O47" s="1325" t="s">
        <v>403</v>
      </c>
      <c r="P47" s="1326" t="s">
        <v>817</v>
      </c>
      <c r="Q47" s="1327">
        <f ca="1">C40+J29</f>
        <v>12216019</v>
      </c>
      <c r="R47" s="1327" t="s">
        <v>818</v>
      </c>
    </row>
    <row r="48" spans="1:18" s="1292" customFormat="1" ht="28.5" thickBot="1">
      <c r="A48" s="1047" t="s">
        <v>438</v>
      </c>
      <c r="B48" s="292" t="s">
        <v>692</v>
      </c>
      <c r="C48" s="1268">
        <f ca="1">C49+C53+C55</f>
        <v>0</v>
      </c>
      <c r="D48" s="1049"/>
      <c r="E48" s="1050"/>
      <c r="F48" s="908"/>
      <c r="G48" s="681"/>
      <c r="H48" s="682"/>
      <c r="I48" s="1328" t="s">
        <v>819</v>
      </c>
      <c r="J48" s="1329" t="s">
        <v>3447</v>
      </c>
      <c r="K48" s="1330" t="s">
        <v>820</v>
      </c>
      <c r="L48" s="1331">
        <f ca="1">INDIRECT("'数据-取费表'!f"&amp;$G$1)</f>
        <v>38.200000000000003</v>
      </c>
      <c r="O48" s="1325" t="s">
        <v>404</v>
      </c>
      <c r="P48" s="1326" t="s">
        <v>821</v>
      </c>
      <c r="Q48" s="1327">
        <f ca="1">J60</f>
        <v>89484</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2015</v>
      </c>
      <c r="K49" s="1330" t="s">
        <v>824</v>
      </c>
      <c r="L49" s="1333"/>
      <c r="O49" s="1334" t="s">
        <v>405</v>
      </c>
      <c r="P49" s="1326" t="s">
        <v>825</v>
      </c>
      <c r="Q49" s="1327">
        <f ca="1">C29</f>
        <v>3543947</v>
      </c>
      <c r="R49" s="1327" t="s">
        <v>818</v>
      </c>
    </row>
    <row r="50" spans="1:18" s="1292" customFormat="1" ht="13.5" thickBot="1">
      <c r="A50" s="922"/>
      <c r="B50" s="925"/>
      <c r="C50" s="926"/>
      <c r="D50" s="899"/>
      <c r="E50" s="993" t="s">
        <v>697</v>
      </c>
      <c r="F50" s="994">
        <f ca="1">F7</f>
        <v>606.78</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50</v>
      </c>
      <c r="K51" s="1339" t="s">
        <v>830</v>
      </c>
      <c r="L51" s="1340">
        <f ca="1">ROUND(-PV(INDIRECT("'数据-取费表'!h"&amp;$G$1),J51,(C39-C13*C76),0),0)</f>
        <v>6259768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38.200000000000003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38.200000000000003</v>
      </c>
      <c r="K53" s="3401" t="s">
        <v>837</v>
      </c>
      <c r="L53" s="3402"/>
      <c r="O53" s="1325" t="s">
        <v>409</v>
      </c>
      <c r="P53" s="1326" t="s">
        <v>838</v>
      </c>
      <c r="Q53" s="1327">
        <f ca="1">Q47+Q48</f>
        <v>12305503</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0.19700000000000001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2941476</v>
      </c>
      <c r="D56" s="1352"/>
      <c r="E56" s="1353"/>
      <c r="F56" s="1345"/>
      <c r="I56" s="1354" t="s">
        <v>842</v>
      </c>
      <c r="J56" s="1355" t="s">
        <v>3448</v>
      </c>
      <c r="K56" s="1328" t="s">
        <v>843</v>
      </c>
      <c r="L56" s="1331" t="str">
        <f ca="1">IF(L48&lt;J51,"——",L48-J51)</f>
        <v>——</v>
      </c>
      <c r="O56" s="1325" t="s">
        <v>403</v>
      </c>
      <c r="P56" s="1326" t="s">
        <v>817</v>
      </c>
      <c r="Q56" s="1327">
        <f ca="1">C40+J29</f>
        <v>12216019</v>
      </c>
      <c r="R56" s="1327" t="s">
        <v>818</v>
      </c>
    </row>
    <row r="57" spans="1:18" s="1292" customFormat="1" ht="24.75" thickBot="1">
      <c r="A57" s="1356"/>
      <c r="B57" s="896" t="s">
        <v>767</v>
      </c>
      <c r="C57" s="230">
        <f ca="1">C29</f>
        <v>3543947</v>
      </c>
      <c r="D57" s="1357"/>
      <c r="E57" s="1358"/>
      <c r="F57" s="1359"/>
      <c r="I57" s="1360" t="s">
        <v>844</v>
      </c>
      <c r="J57" s="1361">
        <f ca="1">IF(OR(M47="住宅",J51&lt;L48,J56="是"),"——",J51-L48)</f>
        <v>11.799999999999997</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10029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1417579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89484</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12216019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7088</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2941</v>
      </c>
      <c r="D65" s="910" t="s">
        <v>743</v>
      </c>
      <c r="E65" s="896" t="s">
        <v>744</v>
      </c>
      <c r="F65" s="321">
        <f t="shared" ca="1" si="0"/>
        <v>1E-3</v>
      </c>
      <c r="I65" s="1367" t="s">
        <v>867</v>
      </c>
      <c r="J65" s="610">
        <v>40</v>
      </c>
      <c r="K65" s="610">
        <v>30</v>
      </c>
      <c r="L65" s="610">
        <v>50</v>
      </c>
      <c r="M65" s="1369">
        <v>0.02</v>
      </c>
      <c r="O65" s="1325" t="s">
        <v>403</v>
      </c>
      <c r="P65" s="1326" t="s">
        <v>868</v>
      </c>
      <c r="Q65" s="1327">
        <f ca="1">C40+J29</f>
        <v>12216019</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-10029</v>
      </c>
      <c r="D67" s="909" t="s">
        <v>753</v>
      </c>
      <c r="E67" s="914"/>
      <c r="F67" s="915"/>
      <c r="O67" s="1334" t="s">
        <v>405</v>
      </c>
      <c r="P67" s="1326" t="s">
        <v>850</v>
      </c>
      <c r="Q67" s="1370">
        <f ca="1">L51</f>
        <v>6259768</v>
      </c>
      <c r="R67" s="1327" t="s">
        <v>870</v>
      </c>
    </row>
    <row r="68" spans="1:18" s="1292" customFormat="1" ht="16.5" thickBot="1">
      <c r="A68" s="893" t="s">
        <v>395</v>
      </c>
      <c r="B68" s="894" t="s">
        <v>774</v>
      </c>
      <c r="C68" s="293">
        <f ca="1">ROUND(C67*(1-((1+F70)/(1+F68))^F69)/(F68-F70),0)</f>
        <v>-158760</v>
      </c>
      <c r="D68" s="911" t="s">
        <v>758</v>
      </c>
      <c r="E68" s="896" t="s">
        <v>759</v>
      </c>
      <c r="F68" s="304">
        <f ca="1">F40</f>
        <v>5.5E-2</v>
      </c>
      <c r="O68" s="1334" t="s">
        <v>406</v>
      </c>
      <c r="P68" s="1371" t="s">
        <v>871</v>
      </c>
      <c r="Q68" s="1327">
        <f ca="1">ROUND(Q69-Q70*Q71,0)</f>
        <v>342890</v>
      </c>
      <c r="R68" s="1327" t="s">
        <v>414</v>
      </c>
    </row>
    <row r="69" spans="1:18" s="1292" customFormat="1" ht="13.5" thickBot="1">
      <c r="A69" s="897"/>
      <c r="B69" s="898"/>
      <c r="C69" s="298"/>
      <c r="D69" s="916" t="s">
        <v>762</v>
      </c>
      <c r="E69" s="896" t="s">
        <v>763</v>
      </c>
      <c r="F69" s="324">
        <f ca="1">F41</f>
        <v>38.200000000000003</v>
      </c>
      <c r="O69" s="1334" t="s">
        <v>411</v>
      </c>
      <c r="P69" s="1371" t="s">
        <v>872</v>
      </c>
      <c r="Q69" s="1327">
        <f ca="1">C39</f>
        <v>548793</v>
      </c>
      <c r="R69" s="1327" t="s">
        <v>818</v>
      </c>
    </row>
    <row r="70" spans="1:18" s="1292" customFormat="1" ht="13.5" thickBot="1">
      <c r="A70" s="900"/>
      <c r="B70" s="901"/>
      <c r="C70" s="302"/>
      <c r="D70" s="912"/>
      <c r="E70" s="896" t="s">
        <v>766</v>
      </c>
      <c r="F70" s="991"/>
      <c r="O70" s="1334" t="s">
        <v>412</v>
      </c>
      <c r="P70" s="1371" t="s">
        <v>873</v>
      </c>
      <c r="Q70" s="1327">
        <f ca="1">C13</f>
        <v>2941476</v>
      </c>
      <c r="R70" s="1327" t="s">
        <v>818</v>
      </c>
    </row>
    <row r="71" spans="1:18" s="1292" customFormat="1" ht="13.5" thickBot="1">
      <c r="A71" s="917" t="s">
        <v>396</v>
      </c>
      <c r="B71" s="918" t="s">
        <v>776</v>
      </c>
      <c r="C71" s="327">
        <f ca="1">ROUND(C68/F71,0)</f>
        <v>-262</v>
      </c>
      <c r="D71" s="919" t="s">
        <v>777</v>
      </c>
      <c r="E71" s="920" t="s">
        <v>778</v>
      </c>
      <c r="F71" s="330">
        <f ca="1">F43</f>
        <v>606.78</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205903</v>
      </c>
      <c r="D75" s="1292"/>
      <c r="E75" s="1292"/>
      <c r="F75" s="1292"/>
      <c r="K75" s="1309"/>
      <c r="L75" s="1292"/>
      <c r="O75" s="1325" t="s">
        <v>409</v>
      </c>
      <c r="P75" s="1326" t="s">
        <v>838</v>
      </c>
      <c r="Q75" s="1327">
        <f ca="1">Q65+Q66</f>
        <v>12216019</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0.625</v>
      </c>
    </row>
    <row r="80" spans="1:18">
      <c r="B80" s="331" t="s">
        <v>800</v>
      </c>
      <c r="C80" s="266">
        <f ca="1">ROUND(C75/C39,3)</f>
        <v>0.375</v>
      </c>
    </row>
    <row r="81" spans="2:3">
      <c r="B81" s="262" t="s">
        <v>801</v>
      </c>
      <c r="C81" s="230"/>
    </row>
    <row r="82" spans="2:3">
      <c r="B82" s="265" t="s">
        <v>802</v>
      </c>
      <c r="C82" s="267">
        <f ca="1">1-C83</f>
        <v>0.75900000000000001</v>
      </c>
    </row>
    <row r="83" spans="2:3">
      <c r="B83" s="265" t="s">
        <v>803</v>
      </c>
      <c r="C83" s="266">
        <f ca="1">ROUND(C13/C40,3)</f>
        <v>0.24099999999999999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3349</v>
      </c>
      <c r="E2" s="3140"/>
      <c r="F2" s="2598"/>
      <c r="G2" s="2599"/>
      <c r="H2" s="2600"/>
      <c r="I2" s="2601"/>
      <c r="J2" s="3406" t="s">
        <v>2308</v>
      </c>
      <c r="K2" s="3407"/>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408" t="s">
        <v>2318</v>
      </c>
      <c r="K3" s="3409"/>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408" t="s">
        <v>2320</v>
      </c>
      <c r="K4" s="3409"/>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410" t="s">
        <v>2324</v>
      </c>
      <c r="B6" s="3411"/>
      <c r="C6" s="3412"/>
      <c r="D6" s="2622"/>
      <c r="E6" s="2623"/>
      <c r="F6" s="2624"/>
      <c r="G6" s="2625"/>
      <c r="H6" s="2600"/>
      <c r="I6" s="2601"/>
      <c r="J6" s="3413">
        <v>1</v>
      </c>
      <c r="K6" s="3414"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413"/>
      <c r="K7" s="3415"/>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417" t="s">
        <v>2338</v>
      </c>
      <c r="C8" s="3418"/>
      <c r="D8" s="2641" t="s">
        <v>2339</v>
      </c>
      <c r="E8" s="2642" t="s">
        <v>2340</v>
      </c>
      <c r="F8" s="2643" t="s">
        <v>2341</v>
      </c>
      <c r="G8" s="2644"/>
      <c r="H8" s="2600"/>
      <c r="I8" s="2601"/>
      <c r="J8" s="3413"/>
      <c r="K8" s="3415"/>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417" t="s">
        <v>2344</v>
      </c>
      <c r="C9" s="3418"/>
      <c r="D9" s="2641">
        <f>ROUND(D6*E9,0)</f>
        <v>0</v>
      </c>
      <c r="E9" s="2645"/>
      <c r="F9" s="2646" t="s">
        <v>2345</v>
      </c>
      <c r="G9" s="2625"/>
      <c r="H9" s="2600"/>
      <c r="I9" s="2601"/>
      <c r="J9" s="3413"/>
      <c r="K9" s="3415"/>
      <c r="L9" s="2635" t="s">
        <v>2346</v>
      </c>
      <c r="M9" s="2636"/>
      <c r="N9" s="2612"/>
      <c r="O9" s="2637"/>
      <c r="P9" s="2637"/>
      <c r="Q9" s="2638">
        <v>365</v>
      </c>
      <c r="R9" s="2639">
        <f t="shared" si="0"/>
        <v>0</v>
      </c>
      <c r="S9" s="2593"/>
      <c r="T9" s="2593"/>
      <c r="U9" s="2593"/>
      <c r="V9" s="2601"/>
    </row>
    <row r="10" spans="1:22" s="2605" customFormat="1" ht="13.15" customHeight="1">
      <c r="A10" s="2640">
        <v>2</v>
      </c>
      <c r="B10" s="3417" t="s">
        <v>2347</v>
      </c>
      <c r="C10" s="3418"/>
      <c r="D10" s="2641">
        <f>ROUND(D6*E10,0)</f>
        <v>0</v>
      </c>
      <c r="E10" s="2645"/>
      <c r="F10" s="2646" t="s">
        <v>2348</v>
      </c>
      <c r="G10" s="2625"/>
      <c r="H10" s="2600"/>
      <c r="I10" s="2601"/>
      <c r="J10" s="3413"/>
      <c r="K10" s="3415"/>
      <c r="L10" s="2635" t="s">
        <v>2349</v>
      </c>
      <c r="M10" s="2636"/>
      <c r="N10" s="2612"/>
      <c r="O10" s="2637"/>
      <c r="P10" s="2637"/>
      <c r="Q10" s="2638">
        <v>365</v>
      </c>
      <c r="R10" s="2639">
        <f t="shared" si="0"/>
        <v>0</v>
      </c>
      <c r="S10" s="2593"/>
      <c r="T10" s="2593"/>
      <c r="U10" s="2593"/>
      <c r="V10" s="2601"/>
    </row>
    <row r="11" spans="1:22" s="2605" customFormat="1" ht="13.15" customHeight="1">
      <c r="A11" s="2640">
        <v>3</v>
      </c>
      <c r="B11" s="3417" t="s">
        <v>2350</v>
      </c>
      <c r="C11" s="3418"/>
      <c r="D11" s="2641">
        <f>D12+D14+D15+D16</f>
        <v>0</v>
      </c>
      <c r="E11" s="2647" t="e">
        <f>D11/D6</f>
        <v>#DIV/0!</v>
      </c>
      <c r="F11" s="2643"/>
      <c r="G11" s="2644"/>
      <c r="H11" s="2600"/>
      <c r="I11" s="2601"/>
      <c r="J11" s="3413"/>
      <c r="K11" s="3415"/>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419" t="s">
        <v>2353</v>
      </c>
      <c r="C12" s="3420"/>
      <c r="D12" s="2649">
        <f>ROUND(D13*1.2%*(1-30%),0)</f>
        <v>0</v>
      </c>
      <c r="E12" s="2650">
        <v>1.2E-2</v>
      </c>
      <c r="F12" s="2643" t="s">
        <v>2354</v>
      </c>
      <c r="G12" s="2644"/>
      <c r="H12" s="2600"/>
      <c r="I12" s="2601"/>
      <c r="J12" s="3413"/>
      <c r="K12" s="3415"/>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413"/>
      <c r="K13" s="3415"/>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419" t="s">
        <v>2359</v>
      </c>
      <c r="C14" s="3420"/>
      <c r="D14" s="2649">
        <f>ROUND(E14*B5/10000,0)</f>
        <v>0</v>
      </c>
      <c r="E14" s="2638"/>
      <c r="F14" s="2643" t="s">
        <v>2360</v>
      </c>
      <c r="G14" s="2644"/>
      <c r="H14" s="2600"/>
      <c r="I14" s="2601"/>
      <c r="J14" s="3413"/>
      <c r="K14" s="3416"/>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419" t="s">
        <v>2363</v>
      </c>
      <c r="C15" s="3420"/>
      <c r="D15" s="2649">
        <f>ROUND(D6*E15,0)</f>
        <v>0</v>
      </c>
      <c r="E15" s="2650">
        <v>5.5E-2</v>
      </c>
      <c r="F15" s="2643" t="s">
        <v>2364</v>
      </c>
      <c r="G15" s="2625"/>
      <c r="H15" s="2600"/>
      <c r="I15" s="2601"/>
      <c r="J15" s="3413">
        <v>2</v>
      </c>
      <c r="K15" s="3414"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419" t="s">
        <v>2372</v>
      </c>
      <c r="C16" s="3420"/>
      <c r="D16" s="2660">
        <f>D6*E16</f>
        <v>0</v>
      </c>
      <c r="E16" s="2661"/>
      <c r="F16" s="2646" t="s">
        <v>2373</v>
      </c>
      <c r="G16" s="2625"/>
      <c r="H16" s="2600"/>
      <c r="I16" s="2601"/>
      <c r="J16" s="3413"/>
      <c r="K16" s="3415"/>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421" t="s">
        <v>2375</v>
      </c>
      <c r="C17" s="3422"/>
      <c r="D17" s="2663">
        <f>ROUND(D6*E17,0)</f>
        <v>0</v>
      </c>
      <c r="E17" s="2664"/>
      <c r="F17" s="2665" t="s">
        <v>2376</v>
      </c>
      <c r="G17" s="2625"/>
      <c r="H17" s="2600"/>
      <c r="I17" s="2601"/>
      <c r="J17" s="3413"/>
      <c r="K17" s="3415"/>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413"/>
      <c r="K18" s="3415"/>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413"/>
      <c r="K19" s="3416"/>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413">
        <v>3</v>
      </c>
      <c r="K20" s="3414"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413"/>
      <c r="K21" s="3415"/>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413"/>
      <c r="K22" s="3415"/>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413"/>
      <c r="K23" s="3415"/>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413"/>
      <c r="K24" s="3416"/>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423">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424"/>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406" t="s">
        <v>2308</v>
      </c>
      <c r="K32" s="3407"/>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408" t="s">
        <v>2318</v>
      </c>
      <c r="K33" s="3409"/>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408" t="s">
        <v>2320</v>
      </c>
      <c r="K34" s="3409"/>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413">
        <v>1</v>
      </c>
      <c r="K36" s="3414"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413"/>
      <c r="K37" s="3415"/>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413"/>
      <c r="K38" s="3415"/>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413"/>
      <c r="K39" s="3415"/>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413"/>
      <c r="K40" s="3416"/>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423">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424"/>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1230.5503000000001</v>
      </c>
      <c r="C2" s="1729" t="s">
        <v>1651</v>
      </c>
      <c r="D2" s="1730" t="s">
        <v>1652</v>
      </c>
      <c r="E2" s="2393">
        <f>SUM(E6:E13)</f>
        <v>606.78</v>
      </c>
      <c r="F2" s="2480"/>
      <c r="G2" s="459"/>
      <c r="H2" s="459"/>
      <c r="I2" s="459"/>
      <c r="J2" s="459"/>
      <c r="K2" s="459"/>
      <c r="L2" s="459"/>
      <c r="M2" s="459"/>
      <c r="N2" s="459"/>
      <c r="O2" s="459"/>
      <c r="P2" s="459"/>
      <c r="Q2" s="459"/>
      <c r="R2" s="459"/>
      <c r="S2" s="459"/>
    </row>
    <row r="3" spans="1:22" ht="15.75">
      <c r="A3" s="1728" t="s">
        <v>686</v>
      </c>
      <c r="B3" s="2387">
        <f ca="1">ROUND(B2*10000/E2,0)</f>
        <v>20280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25" t="s">
        <v>1654</v>
      </c>
      <c r="C5" s="3426"/>
      <c r="D5" s="2481"/>
      <c r="E5" s="1731" t="s">
        <v>1655</v>
      </c>
      <c r="F5" s="129" t="s">
        <v>1656</v>
      </c>
      <c r="G5" s="459"/>
      <c r="H5" s="459"/>
      <c r="I5" s="459"/>
      <c r="J5" s="459"/>
      <c r="K5" s="459"/>
      <c r="L5" s="459"/>
      <c r="M5" s="459"/>
      <c r="N5" s="459"/>
      <c r="O5" s="459"/>
      <c r="P5" s="459"/>
      <c r="Q5" s="459"/>
      <c r="R5" s="459"/>
      <c r="S5" s="459"/>
    </row>
    <row r="6" spans="1:22">
      <c r="A6" s="2390" t="str">
        <f>'数据-取费表'!AN6</f>
        <v>收益法 (元)</v>
      </c>
      <c r="B6" s="2388">
        <f ca="1">IF(F6="是",'数据-取费表'!AO6,0)</f>
        <v>1230.5503000000001</v>
      </c>
      <c r="C6" s="1729" t="s">
        <v>1651</v>
      </c>
      <c r="D6" s="2480"/>
      <c r="E6" s="2392">
        <f>IF(OR(A6=0,F6="否"),0,'数据-取费表'!K6+'数据-取费表'!S6)</f>
        <v>606.78</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606.78</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72" t="s">
        <v>1667</v>
      </c>
      <c r="D4" s="3373"/>
      <c r="E4" s="3374" t="s">
        <v>1668</v>
      </c>
      <c r="F4" s="3375"/>
      <c r="G4" s="3372" t="s">
        <v>1669</v>
      </c>
      <c r="H4" s="3373"/>
      <c r="I4" s="3372" t="s">
        <v>1670</v>
      </c>
      <c r="J4" s="3373"/>
      <c r="K4" s="1744" t="s">
        <v>1671</v>
      </c>
      <c r="L4" s="2487"/>
      <c r="M4" s="2488"/>
      <c r="N4" s="2488"/>
      <c r="O4" s="2488"/>
      <c r="P4" s="3431" t="s">
        <v>1672</v>
      </c>
      <c r="Q4" s="3432"/>
      <c r="R4" s="3428" t="s">
        <v>1668</v>
      </c>
      <c r="S4" s="3429"/>
      <c r="T4" s="3428" t="s">
        <v>1669</v>
      </c>
      <c r="U4" s="3429"/>
      <c r="V4" s="3385" t="s">
        <v>1670</v>
      </c>
      <c r="W4" s="3385"/>
      <c r="X4" s="1265"/>
      <c r="Y4" s="3428" t="s">
        <v>1672</v>
      </c>
      <c r="Z4" s="3429"/>
      <c r="AA4" s="3427" t="s">
        <v>1668</v>
      </c>
      <c r="AB4" s="3427" t="s">
        <v>1669</v>
      </c>
      <c r="AC4" s="3427" t="s">
        <v>1670</v>
      </c>
    </row>
    <row r="5" spans="1:29" ht="15">
      <c r="A5" s="348"/>
      <c r="B5" s="349"/>
      <c r="C5" s="3361" t="s">
        <v>1673</v>
      </c>
      <c r="D5" s="3362"/>
      <c r="E5" s="3430" t="s">
        <v>1674</v>
      </c>
      <c r="F5" s="3360"/>
      <c r="G5" s="3361" t="s">
        <v>1675</v>
      </c>
      <c r="H5" s="3362"/>
      <c r="I5" s="3361" t="s">
        <v>1676</v>
      </c>
      <c r="J5" s="3362"/>
      <c r="K5" s="1745"/>
      <c r="L5" s="2487"/>
      <c r="M5" s="2488"/>
      <c r="N5" s="2488"/>
      <c r="O5" s="2488"/>
      <c r="P5" s="3433"/>
      <c r="Q5" s="3379"/>
      <c r="R5" s="3357"/>
      <c r="S5" s="3358"/>
      <c r="T5" s="3357"/>
      <c r="U5" s="3358"/>
      <c r="V5" s="3385"/>
      <c r="W5" s="3385"/>
      <c r="X5" s="1265"/>
      <c r="Y5" s="3357"/>
      <c r="Z5" s="3358"/>
      <c r="AA5" s="3351"/>
      <c r="AB5" s="3351"/>
      <c r="AC5" s="3351"/>
    </row>
    <row r="6" spans="1:29" ht="15.75" thickBot="1">
      <c r="A6" s="350"/>
      <c r="B6" s="351"/>
      <c r="C6" s="3363" t="s">
        <v>1677</v>
      </c>
      <c r="D6" s="3364"/>
      <c r="E6" s="3366" t="s">
        <v>1677</v>
      </c>
      <c r="F6" s="3367"/>
      <c r="G6" s="3363" t="s">
        <v>1677</v>
      </c>
      <c r="H6" s="3364"/>
      <c r="I6" s="3363" t="s">
        <v>1677</v>
      </c>
      <c r="J6" s="3364"/>
      <c r="K6" s="1745" t="s">
        <v>1678</v>
      </c>
      <c r="L6" s="2487"/>
      <c r="M6" s="2488"/>
      <c r="N6" s="2488"/>
      <c r="O6" s="2488"/>
      <c r="P6" s="3434"/>
      <c r="Q6" s="3381"/>
      <c r="R6" s="3357"/>
      <c r="S6" s="3358"/>
      <c r="T6" s="3382"/>
      <c r="U6" s="3383"/>
      <c r="V6" s="3385"/>
      <c r="W6" s="3385"/>
      <c r="X6" s="1265"/>
      <c r="Y6" s="3382"/>
      <c r="Z6" s="3383"/>
      <c r="AA6" s="3352"/>
      <c r="AB6" s="3352"/>
      <c r="AC6" s="3352"/>
    </row>
    <row r="7" spans="1:29" s="102" customFormat="1" ht="15.75" thickBot="1">
      <c r="A7" s="352" t="s">
        <v>1679</v>
      </c>
      <c r="B7" s="353"/>
      <c r="C7" s="354">
        <f>'数据-取费表'!B2</f>
        <v>45693</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53" t="s">
        <v>1680</v>
      </c>
      <c r="Q7" s="3387"/>
      <c r="R7" s="664" t="s">
        <v>20</v>
      </c>
      <c r="S7" s="665">
        <f t="shared" ref="S7:S15" si="0">F7</f>
        <v>0</v>
      </c>
      <c r="T7" s="664" t="s">
        <v>20</v>
      </c>
      <c r="U7" s="665">
        <f t="shared" ref="U7:U15" si="1">H7</f>
        <v>0</v>
      </c>
      <c r="V7" s="664" t="s">
        <v>20</v>
      </c>
      <c r="W7" s="665">
        <f t="shared" ref="W7:W15" si="2">J7</f>
        <v>0</v>
      </c>
      <c r="X7" s="666"/>
      <c r="Y7" s="3353" t="s">
        <v>1680</v>
      </c>
      <c r="Z7" s="335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53" t="s">
        <v>1683</v>
      </c>
      <c r="Q8" s="3354"/>
      <c r="R8" s="664" t="s">
        <v>20</v>
      </c>
      <c r="S8" s="665">
        <f t="shared" si="0"/>
        <v>100</v>
      </c>
      <c r="T8" s="664" t="s">
        <v>20</v>
      </c>
      <c r="U8" s="665">
        <f t="shared" si="1"/>
        <v>100</v>
      </c>
      <c r="V8" s="664" t="s">
        <v>20</v>
      </c>
      <c r="W8" s="665">
        <f t="shared" si="2"/>
        <v>100</v>
      </c>
      <c r="X8" s="666"/>
      <c r="Y8" s="3353" t="s">
        <v>1683</v>
      </c>
      <c r="Z8" s="335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68"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68"/>
      <c r="Q11" s="530" t="str">
        <f t="shared" si="6"/>
        <v>容积率</v>
      </c>
      <c r="R11" s="664" t="s">
        <v>18</v>
      </c>
      <c r="S11" s="665" t="e">
        <f t="shared" si="0"/>
        <v>#N/A</v>
      </c>
      <c r="T11" s="664" t="s">
        <v>18</v>
      </c>
      <c r="U11" s="665" t="e">
        <f t="shared" si="1"/>
        <v>#N/A</v>
      </c>
      <c r="V11" s="664" t="s">
        <v>18</v>
      </c>
      <c r="W11" s="665" t="e">
        <f t="shared" si="2"/>
        <v>#N/A</v>
      </c>
      <c r="X11" s="666"/>
      <c r="Y11" s="332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68"/>
      <c r="Q12" s="530">
        <f t="shared" si="6"/>
        <v>111</v>
      </c>
      <c r="R12" s="664" t="s">
        <v>18</v>
      </c>
      <c r="S12" s="665">
        <f t="shared" si="0"/>
        <v>100</v>
      </c>
      <c r="T12" s="664" t="s">
        <v>18</v>
      </c>
      <c r="U12" s="665">
        <f t="shared" si="1"/>
        <v>100</v>
      </c>
      <c r="V12" s="664" t="s">
        <v>18</v>
      </c>
      <c r="W12" s="665">
        <f t="shared" si="2"/>
        <v>100</v>
      </c>
      <c r="X12" s="666"/>
      <c r="Y12" s="332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68"/>
      <c r="Q13" s="530">
        <f t="shared" si="6"/>
        <v>111</v>
      </c>
      <c r="R13" s="664" t="s">
        <v>18</v>
      </c>
      <c r="S13" s="665">
        <f t="shared" si="0"/>
        <v>100</v>
      </c>
      <c r="T13" s="664" t="s">
        <v>18</v>
      </c>
      <c r="U13" s="665">
        <f t="shared" si="1"/>
        <v>100</v>
      </c>
      <c r="V13" s="664" t="s">
        <v>18</v>
      </c>
      <c r="W13" s="665">
        <f t="shared" si="2"/>
        <v>100</v>
      </c>
      <c r="X13" s="666"/>
      <c r="Y13" s="332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68"/>
      <c r="Q14" s="530">
        <f t="shared" si="6"/>
        <v>111</v>
      </c>
      <c r="R14" s="664" t="s">
        <v>18</v>
      </c>
      <c r="S14" s="665">
        <f t="shared" si="0"/>
        <v>100</v>
      </c>
      <c r="T14" s="664" t="s">
        <v>18</v>
      </c>
      <c r="U14" s="665">
        <f t="shared" si="1"/>
        <v>100</v>
      </c>
      <c r="V14" s="664" t="s">
        <v>18</v>
      </c>
      <c r="W14" s="665">
        <f t="shared" si="2"/>
        <v>100</v>
      </c>
      <c r="X14" s="666"/>
      <c r="Y14" s="3323"/>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88" t="s">
        <v>1691</v>
      </c>
      <c r="Q15" s="1263" t="str">
        <f t="shared" si="6"/>
        <v>居住社区成熟度</v>
      </c>
      <c r="R15" s="667" t="s">
        <v>18</v>
      </c>
      <c r="S15" s="668">
        <f t="shared" si="0"/>
        <v>100</v>
      </c>
      <c r="T15" s="667" t="s">
        <v>18</v>
      </c>
      <c r="U15" s="668">
        <f t="shared" si="1"/>
        <v>100</v>
      </c>
      <c r="V15" s="667" t="s">
        <v>18</v>
      </c>
      <c r="W15" s="668">
        <f t="shared" si="2"/>
        <v>100</v>
      </c>
      <c r="X15" s="1265"/>
      <c r="Y15" s="339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89"/>
      <c r="Q16" s="1263"/>
      <c r="R16" s="667"/>
      <c r="S16" s="668"/>
      <c r="T16" s="667"/>
      <c r="U16" s="668"/>
      <c r="V16" s="667"/>
      <c r="W16" s="668"/>
      <c r="X16" s="1265"/>
      <c r="Y16" s="3391"/>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89"/>
      <c r="Q17" s="1263" t="str">
        <f>B17</f>
        <v>交通便捷度</v>
      </c>
      <c r="R17" s="667" t="s">
        <v>18</v>
      </c>
      <c r="S17" s="668">
        <f>F17</f>
        <v>100</v>
      </c>
      <c r="T17" s="667" t="s">
        <v>18</v>
      </c>
      <c r="U17" s="668">
        <f>H17</f>
        <v>100</v>
      </c>
      <c r="V17" s="667" t="s">
        <v>18</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89"/>
      <c r="Q18" s="1263"/>
      <c r="R18" s="667"/>
      <c r="S18" s="668"/>
      <c r="T18" s="667"/>
      <c r="U18" s="668"/>
      <c r="V18" s="667"/>
      <c r="W18" s="668"/>
      <c r="X18" s="1265"/>
      <c r="Y18" s="3391"/>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89"/>
      <c r="Q19" s="1263" t="str">
        <f>B19</f>
        <v>公共配套设施</v>
      </c>
      <c r="R19" s="667" t="s">
        <v>18</v>
      </c>
      <c r="S19" s="668">
        <f>F19</f>
        <v>100</v>
      </c>
      <c r="T19" s="667" t="s">
        <v>18</v>
      </c>
      <c r="U19" s="668">
        <f>H19</f>
        <v>100</v>
      </c>
      <c r="V19" s="667" t="s">
        <v>18</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89"/>
      <c r="Q20" s="1263"/>
      <c r="R20" s="667"/>
      <c r="S20" s="668"/>
      <c r="T20" s="667"/>
      <c r="U20" s="668"/>
      <c r="V20" s="667"/>
      <c r="W20" s="668"/>
      <c r="X20" s="1265"/>
      <c r="Y20" s="3391"/>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89"/>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89"/>
      <c r="Q22" s="1263"/>
      <c r="R22" s="667"/>
      <c r="S22" s="668"/>
      <c r="T22" s="667"/>
      <c r="U22" s="668"/>
      <c r="V22" s="667"/>
      <c r="W22" s="668"/>
      <c r="X22" s="1265"/>
      <c r="Y22" s="3391"/>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89"/>
      <c r="Q23" s="1263" t="str">
        <f>B23</f>
        <v>自然及人文环境</v>
      </c>
      <c r="R23" s="667" t="s">
        <v>18</v>
      </c>
      <c r="S23" s="668">
        <f>F23</f>
        <v>100</v>
      </c>
      <c r="T23" s="667" t="s">
        <v>18</v>
      </c>
      <c r="U23" s="668">
        <f>H23</f>
        <v>100</v>
      </c>
      <c r="V23" s="667" t="s">
        <v>18</v>
      </c>
      <c r="W23" s="668">
        <f>J23</f>
        <v>100</v>
      </c>
      <c r="X23" s="1265"/>
      <c r="Y23" s="339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89"/>
      <c r="Q24" s="1263"/>
      <c r="R24" s="667"/>
      <c r="S24" s="668"/>
      <c r="T24" s="667"/>
      <c r="U24" s="668"/>
      <c r="V24" s="667"/>
      <c r="W24" s="668"/>
      <c r="X24" s="1265"/>
      <c r="Y24" s="339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8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89"/>
      <c r="Q26" s="1263" t="str">
        <f t="shared" si="11"/>
        <v>朝向</v>
      </c>
      <c r="R26" s="667" t="s">
        <v>18</v>
      </c>
      <c r="S26" s="668">
        <f t="shared" si="12"/>
        <v>100</v>
      </c>
      <c r="T26" s="667" t="s">
        <v>18</v>
      </c>
      <c r="U26" s="668">
        <f t="shared" si="13"/>
        <v>100</v>
      </c>
      <c r="V26" s="667" t="s">
        <v>18</v>
      </c>
      <c r="W26" s="668">
        <f t="shared" si="14"/>
        <v>100</v>
      </c>
      <c r="X26" s="1265"/>
      <c r="Y26" s="339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89"/>
      <c r="Q27" s="530">
        <f t="shared" si="11"/>
        <v>111</v>
      </c>
      <c r="R27" s="664" t="s">
        <v>18</v>
      </c>
      <c r="S27" s="665">
        <f t="shared" si="12"/>
        <v>100</v>
      </c>
      <c r="T27" s="664" t="s">
        <v>18</v>
      </c>
      <c r="U27" s="665">
        <f t="shared" si="13"/>
        <v>100</v>
      </c>
      <c r="V27" s="664" t="s">
        <v>18</v>
      </c>
      <c r="W27" s="665">
        <f t="shared" si="14"/>
        <v>100</v>
      </c>
      <c r="X27" s="666"/>
      <c r="Y27" s="339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89"/>
      <c r="Q28" s="1263">
        <f t="shared" si="11"/>
        <v>111</v>
      </c>
      <c r="R28" s="667" t="s">
        <v>18</v>
      </c>
      <c r="S28" s="668">
        <f t="shared" si="12"/>
        <v>100</v>
      </c>
      <c r="T28" s="667" t="s">
        <v>18</v>
      </c>
      <c r="U28" s="668">
        <f t="shared" si="13"/>
        <v>100</v>
      </c>
      <c r="V28" s="667" t="s">
        <v>18</v>
      </c>
      <c r="W28" s="668">
        <f t="shared" si="14"/>
        <v>100</v>
      </c>
      <c r="X28" s="1265"/>
      <c r="Y28" s="339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89"/>
      <c r="Q29" s="1263">
        <f t="shared" si="11"/>
        <v>111</v>
      </c>
      <c r="R29" s="667" t="s">
        <v>18</v>
      </c>
      <c r="S29" s="668">
        <f t="shared" si="12"/>
        <v>100</v>
      </c>
      <c r="T29" s="667" t="s">
        <v>18</v>
      </c>
      <c r="U29" s="668">
        <f t="shared" si="13"/>
        <v>100</v>
      </c>
      <c r="V29" s="667" t="s">
        <v>18</v>
      </c>
      <c r="W29" s="668">
        <f t="shared" si="14"/>
        <v>100</v>
      </c>
      <c r="X29" s="1265"/>
      <c r="Y29" s="339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89"/>
      <c r="Q30" s="1263">
        <f t="shared" si="11"/>
        <v>111</v>
      </c>
      <c r="R30" s="667" t="s">
        <v>18</v>
      </c>
      <c r="S30" s="668">
        <f t="shared" si="12"/>
        <v>100</v>
      </c>
      <c r="T30" s="667" t="s">
        <v>18</v>
      </c>
      <c r="U30" s="668">
        <f t="shared" si="13"/>
        <v>100</v>
      </c>
      <c r="V30" s="667" t="s">
        <v>18</v>
      </c>
      <c r="W30" s="668">
        <f t="shared" si="14"/>
        <v>100</v>
      </c>
      <c r="X30" s="1265"/>
      <c r="Y30" s="339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89"/>
      <c r="Q31" s="1263">
        <f t="shared" si="11"/>
        <v>111</v>
      </c>
      <c r="R31" s="667" t="s">
        <v>18</v>
      </c>
      <c r="S31" s="668">
        <f t="shared" si="12"/>
        <v>100</v>
      </c>
      <c r="T31" s="667" t="s">
        <v>18</v>
      </c>
      <c r="U31" s="668">
        <f t="shared" si="13"/>
        <v>100</v>
      </c>
      <c r="V31" s="667" t="s">
        <v>18</v>
      </c>
      <c r="W31" s="668">
        <f t="shared" si="14"/>
        <v>100</v>
      </c>
      <c r="X31" s="1265"/>
      <c r="Y31" s="339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2" t="s">
        <v>1696</v>
      </c>
      <c r="Q32" s="1263" t="str">
        <f t="shared" si="11"/>
        <v>建筑类型</v>
      </c>
      <c r="R32" s="667" t="s">
        <v>18</v>
      </c>
      <c r="S32" s="668">
        <f t="shared" si="12"/>
        <v>100</v>
      </c>
      <c r="T32" s="667" t="s">
        <v>18</v>
      </c>
      <c r="U32" s="668">
        <f t="shared" si="13"/>
        <v>100</v>
      </c>
      <c r="V32" s="667" t="s">
        <v>18</v>
      </c>
      <c r="W32" s="668">
        <f t="shared" si="14"/>
        <v>100</v>
      </c>
      <c r="X32" s="1265"/>
      <c r="Y32" s="339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93"/>
      <c r="Q33" s="531" t="str">
        <f t="shared" si="11"/>
        <v>项目建筑规模</v>
      </c>
      <c r="R33" s="669" t="s">
        <v>18</v>
      </c>
      <c r="S33" s="670" t="e">
        <f t="shared" si="12"/>
        <v>#N/A</v>
      </c>
      <c r="T33" s="669" t="s">
        <v>18</v>
      </c>
      <c r="U33" s="670" t="e">
        <f t="shared" si="13"/>
        <v>#N/A</v>
      </c>
      <c r="V33" s="669" t="s">
        <v>18</v>
      </c>
      <c r="W33" s="670" t="e">
        <f t="shared" si="14"/>
        <v>#N/A</v>
      </c>
      <c r="X33" s="671"/>
      <c r="Y33" s="339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93"/>
      <c r="Q34" s="1263" t="str">
        <f t="shared" si="11"/>
        <v>建筑结构</v>
      </c>
      <c r="R34" s="667" t="s">
        <v>18</v>
      </c>
      <c r="S34" s="668">
        <f t="shared" si="12"/>
        <v>100</v>
      </c>
      <c r="T34" s="667" t="s">
        <v>18</v>
      </c>
      <c r="U34" s="668">
        <f t="shared" si="13"/>
        <v>100</v>
      </c>
      <c r="V34" s="667" t="s">
        <v>18</v>
      </c>
      <c r="W34" s="668">
        <f t="shared" si="14"/>
        <v>100</v>
      </c>
      <c r="X34" s="1265"/>
      <c r="Y34" s="339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93"/>
      <c r="Q35" s="1263" t="str">
        <f t="shared" si="11"/>
        <v>建筑品质</v>
      </c>
      <c r="R35" s="667" t="s">
        <v>18</v>
      </c>
      <c r="S35" s="668">
        <f t="shared" si="12"/>
        <v>100</v>
      </c>
      <c r="T35" s="667" t="s">
        <v>18</v>
      </c>
      <c r="U35" s="668">
        <f t="shared" si="13"/>
        <v>100</v>
      </c>
      <c r="V35" s="667" t="s">
        <v>18</v>
      </c>
      <c r="W35" s="668">
        <f t="shared" si="14"/>
        <v>100</v>
      </c>
      <c r="X35" s="1265"/>
      <c r="Y35" s="339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93"/>
      <c r="Q36" s="1263" t="str">
        <f t="shared" si="11"/>
        <v>公共部分装修</v>
      </c>
      <c r="R36" s="667" t="s">
        <v>18</v>
      </c>
      <c r="S36" s="668">
        <f t="shared" si="12"/>
        <v>100</v>
      </c>
      <c r="T36" s="667" t="s">
        <v>18</v>
      </c>
      <c r="U36" s="668">
        <f t="shared" si="13"/>
        <v>100</v>
      </c>
      <c r="V36" s="667" t="s">
        <v>18</v>
      </c>
      <c r="W36" s="668">
        <f t="shared" si="14"/>
        <v>100</v>
      </c>
      <c r="X36" s="1265"/>
      <c r="Y36" s="339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93"/>
      <c r="Q37" s="530" t="str">
        <f t="shared" si="11"/>
        <v>成新度</v>
      </c>
      <c r="R37" s="664" t="s">
        <v>18</v>
      </c>
      <c r="S37" s="665" t="e">
        <f t="shared" si="12"/>
        <v>#N/A</v>
      </c>
      <c r="T37" s="664" t="s">
        <v>18</v>
      </c>
      <c r="U37" s="665" t="e">
        <f t="shared" si="13"/>
        <v>#N/A</v>
      </c>
      <c r="V37" s="664" t="s">
        <v>18</v>
      </c>
      <c r="W37" s="665" t="e">
        <f t="shared" si="14"/>
        <v>#N/A</v>
      </c>
      <c r="X37" s="666"/>
      <c r="Y37" s="339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93" t="s">
        <v>1696</v>
      </c>
      <c r="Q38" s="1263" t="str">
        <f t="shared" si="11"/>
        <v>物业管理</v>
      </c>
      <c r="R38" s="667" t="s">
        <v>18</v>
      </c>
      <c r="S38" s="668">
        <f t="shared" si="12"/>
        <v>100</v>
      </c>
      <c r="T38" s="667" t="s">
        <v>18</v>
      </c>
      <c r="U38" s="668">
        <f t="shared" si="13"/>
        <v>100</v>
      </c>
      <c r="V38" s="667" t="s">
        <v>18</v>
      </c>
      <c r="W38" s="668">
        <f t="shared" si="14"/>
        <v>100</v>
      </c>
      <c r="X38" s="1265"/>
      <c r="Y38" s="339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93"/>
      <c r="Q39" s="1263" t="str">
        <f t="shared" si="11"/>
        <v>市政基础设施</v>
      </c>
      <c r="R39" s="667" t="s">
        <v>18</v>
      </c>
      <c r="S39" s="668">
        <f t="shared" si="12"/>
        <v>100</v>
      </c>
      <c r="T39" s="667" t="s">
        <v>18</v>
      </c>
      <c r="U39" s="668">
        <f t="shared" si="13"/>
        <v>100</v>
      </c>
      <c r="V39" s="667" t="s">
        <v>18</v>
      </c>
      <c r="W39" s="668">
        <f t="shared" si="14"/>
        <v>100</v>
      </c>
      <c r="X39" s="1265"/>
      <c r="Y39" s="339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93"/>
      <c r="Q40" s="1263" t="str">
        <f t="shared" si="11"/>
        <v>房型</v>
      </c>
      <c r="R40" s="667" t="s">
        <v>18</v>
      </c>
      <c r="S40" s="668">
        <f t="shared" si="12"/>
        <v>100</v>
      </c>
      <c r="T40" s="667" t="s">
        <v>18</v>
      </c>
      <c r="U40" s="668">
        <f t="shared" si="13"/>
        <v>100</v>
      </c>
      <c r="V40" s="667" t="s">
        <v>18</v>
      </c>
      <c r="W40" s="668">
        <f t="shared" si="14"/>
        <v>100</v>
      </c>
      <c r="X40" s="1265"/>
      <c r="Y40" s="339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93"/>
      <c r="Q41" s="531" t="str">
        <f t="shared" si="11"/>
        <v>单套/主力户型建筑面积</v>
      </c>
      <c r="R41" s="669" t="s">
        <v>18</v>
      </c>
      <c r="S41" s="670">
        <f t="shared" si="12"/>
        <v>100</v>
      </c>
      <c r="T41" s="669" t="s">
        <v>18</v>
      </c>
      <c r="U41" s="670">
        <f t="shared" si="13"/>
        <v>100</v>
      </c>
      <c r="V41" s="669" t="s">
        <v>18</v>
      </c>
      <c r="W41" s="670">
        <f t="shared" si="14"/>
        <v>100</v>
      </c>
      <c r="X41" s="671"/>
      <c r="Y41" s="339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93"/>
      <c r="Q42" s="1263" t="str">
        <f t="shared" si="11"/>
        <v>内部装修</v>
      </c>
      <c r="R42" s="667" t="s">
        <v>18</v>
      </c>
      <c r="S42" s="668">
        <f t="shared" si="12"/>
        <v>100</v>
      </c>
      <c r="T42" s="667" t="s">
        <v>18</v>
      </c>
      <c r="U42" s="668">
        <f t="shared" si="13"/>
        <v>100</v>
      </c>
      <c r="V42" s="667" t="s">
        <v>18</v>
      </c>
      <c r="W42" s="668">
        <f t="shared" si="14"/>
        <v>100</v>
      </c>
      <c r="X42" s="1265"/>
      <c r="Y42" s="339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93"/>
      <c r="Q43" s="1263" t="str">
        <f t="shared" si="11"/>
        <v>内部装修维护情况</v>
      </c>
      <c r="R43" s="667" t="s">
        <v>18</v>
      </c>
      <c r="S43" s="668">
        <f t="shared" si="12"/>
        <v>100</v>
      </c>
      <c r="T43" s="667" t="s">
        <v>18</v>
      </c>
      <c r="U43" s="668">
        <f t="shared" si="13"/>
        <v>100</v>
      </c>
      <c r="V43" s="667" t="s">
        <v>18</v>
      </c>
      <c r="W43" s="668">
        <f t="shared" si="14"/>
        <v>100</v>
      </c>
      <c r="X43" s="1265"/>
      <c r="Y43" s="339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93"/>
      <c r="Q44" s="530">
        <f t="shared" si="11"/>
        <v>111</v>
      </c>
      <c r="R44" s="664" t="s">
        <v>18</v>
      </c>
      <c r="S44" s="665">
        <f t="shared" si="12"/>
        <v>100</v>
      </c>
      <c r="T44" s="664" t="s">
        <v>18</v>
      </c>
      <c r="U44" s="665">
        <f t="shared" si="13"/>
        <v>100</v>
      </c>
      <c r="V44" s="664" t="s">
        <v>18</v>
      </c>
      <c r="W44" s="665">
        <f t="shared" si="14"/>
        <v>100</v>
      </c>
      <c r="X44" s="666"/>
      <c r="Y44" s="339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93"/>
      <c r="Q45" s="1263">
        <f t="shared" si="11"/>
        <v>111</v>
      </c>
      <c r="R45" s="667" t="s">
        <v>18</v>
      </c>
      <c r="S45" s="668">
        <f t="shared" si="12"/>
        <v>100</v>
      </c>
      <c r="T45" s="667" t="s">
        <v>18</v>
      </c>
      <c r="U45" s="668">
        <f t="shared" si="13"/>
        <v>100</v>
      </c>
      <c r="V45" s="667" t="s">
        <v>18</v>
      </c>
      <c r="W45" s="668">
        <f t="shared" si="14"/>
        <v>100</v>
      </c>
      <c r="X45" s="1265"/>
      <c r="Y45" s="339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94"/>
      <c r="Q46" s="1263">
        <f t="shared" si="11"/>
        <v>111</v>
      </c>
      <c r="R46" s="667" t="s">
        <v>17</v>
      </c>
      <c r="S46" s="668">
        <f t="shared" si="12"/>
        <v>100</v>
      </c>
      <c r="T46" s="667" t="s">
        <v>17</v>
      </c>
      <c r="U46" s="668">
        <f t="shared" si="13"/>
        <v>100</v>
      </c>
      <c r="V46" s="667" t="s">
        <v>17</v>
      </c>
      <c r="W46" s="668">
        <f t="shared" si="14"/>
        <v>100</v>
      </c>
      <c r="X46" s="1265"/>
      <c r="Y46" s="339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97" t="str">
        <f>A47</f>
        <v>成交单价（元/平方米）</v>
      </c>
      <c r="Q47" s="3397"/>
      <c r="R47" s="3385">
        <f>E47</f>
        <v>0</v>
      </c>
      <c r="S47" s="3385"/>
      <c r="T47" s="3385">
        <f>G47</f>
        <v>0</v>
      </c>
      <c r="U47" s="3385"/>
      <c r="V47" s="3385">
        <f>I47</f>
        <v>0</v>
      </c>
      <c r="W47" s="338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7" t="str">
        <f>A48</f>
        <v>比较价值（元/平方米）</v>
      </c>
      <c r="Q48" s="3397"/>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606.78</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72" t="s">
        <v>1770</v>
      </c>
      <c r="D4" s="3373"/>
      <c r="E4" s="3374" t="s">
        <v>1771</v>
      </c>
      <c r="F4" s="3375"/>
      <c r="G4" s="3372" t="s">
        <v>1772</v>
      </c>
      <c r="H4" s="3373"/>
      <c r="I4" s="3372" t="s">
        <v>1773</v>
      </c>
      <c r="J4" s="3373"/>
      <c r="K4" s="537" t="s">
        <v>1774</v>
      </c>
      <c r="L4" s="2487"/>
      <c r="M4" s="2488"/>
      <c r="N4" s="2488"/>
      <c r="O4" s="2488"/>
      <c r="P4" s="3431" t="s">
        <v>1775</v>
      </c>
      <c r="Q4" s="3432"/>
      <c r="R4" s="3428" t="s">
        <v>1771</v>
      </c>
      <c r="S4" s="3429"/>
      <c r="T4" s="3428" t="s">
        <v>1772</v>
      </c>
      <c r="U4" s="3429"/>
      <c r="V4" s="3385" t="s">
        <v>1773</v>
      </c>
      <c r="W4" s="3385"/>
      <c r="X4" s="1265"/>
      <c r="Y4" s="3428" t="s">
        <v>1775</v>
      </c>
      <c r="Z4" s="3429"/>
      <c r="AA4" s="3427" t="s">
        <v>1771</v>
      </c>
      <c r="AB4" s="3385" t="s">
        <v>1772</v>
      </c>
      <c r="AC4" s="3427" t="s">
        <v>1773</v>
      </c>
    </row>
    <row r="5" spans="1:29" ht="15">
      <c r="A5" s="348"/>
      <c r="B5" s="349"/>
      <c r="C5" s="3361" t="s">
        <v>1673</v>
      </c>
      <c r="D5" s="3362"/>
      <c r="E5" s="3430" t="s">
        <v>1674</v>
      </c>
      <c r="F5" s="3360"/>
      <c r="G5" s="3361" t="s">
        <v>1675</v>
      </c>
      <c r="H5" s="3362"/>
      <c r="I5" s="3361" t="s">
        <v>1676</v>
      </c>
      <c r="J5" s="3362"/>
      <c r="K5" s="537"/>
      <c r="L5" s="2487"/>
      <c r="M5" s="2488"/>
      <c r="N5" s="2488"/>
      <c r="O5" s="2488"/>
      <c r="P5" s="3433"/>
      <c r="Q5" s="3379"/>
      <c r="R5" s="3357"/>
      <c r="S5" s="3358"/>
      <c r="T5" s="3357"/>
      <c r="U5" s="3358"/>
      <c r="V5" s="3385"/>
      <c r="W5" s="3385"/>
      <c r="X5" s="1265"/>
      <c r="Y5" s="3357"/>
      <c r="Z5" s="3358"/>
      <c r="AA5" s="3351"/>
      <c r="AB5" s="3385"/>
      <c r="AC5" s="3351"/>
    </row>
    <row r="6" spans="1:29" ht="15.75" thickBot="1">
      <c r="A6" s="350"/>
      <c r="B6" s="351"/>
      <c r="C6" s="3363" t="s">
        <v>1677</v>
      </c>
      <c r="D6" s="3364"/>
      <c r="E6" s="3366" t="s">
        <v>1677</v>
      </c>
      <c r="F6" s="3367"/>
      <c r="G6" s="3363" t="s">
        <v>1677</v>
      </c>
      <c r="H6" s="3364"/>
      <c r="I6" s="3363" t="s">
        <v>1677</v>
      </c>
      <c r="J6" s="3364"/>
      <c r="K6" s="537" t="s">
        <v>1678</v>
      </c>
      <c r="L6" s="2487"/>
      <c r="M6" s="2488"/>
      <c r="N6" s="2488"/>
      <c r="O6" s="2488"/>
      <c r="P6" s="3434"/>
      <c r="Q6" s="3381"/>
      <c r="R6" s="3357"/>
      <c r="S6" s="3358"/>
      <c r="T6" s="3382"/>
      <c r="U6" s="3383"/>
      <c r="V6" s="3385"/>
      <c r="W6" s="3385"/>
      <c r="X6" s="1265"/>
      <c r="Y6" s="3382"/>
      <c r="Z6" s="3383"/>
      <c r="AA6" s="3352"/>
      <c r="AB6" s="3385"/>
      <c r="AC6" s="3352"/>
    </row>
    <row r="7" spans="1:29" s="102" customFormat="1" ht="15.75" thickBot="1">
      <c r="A7" s="352" t="s">
        <v>1679</v>
      </c>
      <c r="B7" s="353"/>
      <c r="C7" s="354">
        <f>'数据-取费表'!B2</f>
        <v>45693</v>
      </c>
      <c r="D7" s="355">
        <v>100</v>
      </c>
      <c r="E7" s="356"/>
      <c r="F7" s="357">
        <f>SUMIF(58:58,YEAR(E7)&amp;"-"&amp;MONTH(E7),59:59)</f>
        <v>0</v>
      </c>
      <c r="G7" s="356"/>
      <c r="H7" s="355">
        <f>SUMIF(58:58,YEAR(G7)&amp;"-"&amp;MONTH(G7),59:59)</f>
        <v>0</v>
      </c>
      <c r="I7" s="356"/>
      <c r="J7" s="355">
        <f>SUMIF(58:58,YEAR(I7)&amp;"-"&amp;MONTH(I7),59:59)</f>
        <v>0</v>
      </c>
      <c r="K7" s="38"/>
      <c r="L7" s="2489"/>
      <c r="M7" s="2440"/>
      <c r="N7" s="2440"/>
      <c r="O7" s="2440"/>
      <c r="P7" s="3353" t="s">
        <v>1680</v>
      </c>
      <c r="Q7" s="3387"/>
      <c r="R7" s="664" t="s">
        <v>14</v>
      </c>
      <c r="S7" s="665">
        <f t="shared" ref="S7:S15" si="0">F7</f>
        <v>0</v>
      </c>
      <c r="T7" s="664" t="s">
        <v>14</v>
      </c>
      <c r="U7" s="665">
        <f t="shared" ref="U7:U15" si="1">H7</f>
        <v>0</v>
      </c>
      <c r="V7" s="664" t="s">
        <v>14</v>
      </c>
      <c r="W7" s="665">
        <f t="shared" ref="W7:W15" si="2">J7</f>
        <v>0</v>
      </c>
      <c r="X7" s="666"/>
      <c r="Y7" s="3353" t="s">
        <v>1680</v>
      </c>
      <c r="Z7" s="335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53" t="s">
        <v>1683</v>
      </c>
      <c r="Q8" s="3354"/>
      <c r="R8" s="664" t="s">
        <v>14</v>
      </c>
      <c r="S8" s="665">
        <f t="shared" si="0"/>
        <v>100</v>
      </c>
      <c r="T8" s="664" t="s">
        <v>14</v>
      </c>
      <c r="U8" s="665">
        <f t="shared" si="1"/>
        <v>100</v>
      </c>
      <c r="V8" s="664" t="s">
        <v>14</v>
      </c>
      <c r="W8" s="665">
        <f t="shared" si="2"/>
        <v>100</v>
      </c>
      <c r="X8" s="666"/>
      <c r="Y8" s="3353" t="s">
        <v>1683</v>
      </c>
      <c r="Z8" s="335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68"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68"/>
      <c r="Q11" s="530" t="str">
        <f t="shared" si="6"/>
        <v>容积率</v>
      </c>
      <c r="R11" s="664" t="s">
        <v>14</v>
      </c>
      <c r="S11" s="665" t="e">
        <f t="shared" si="0"/>
        <v>#N/A</v>
      </c>
      <c r="T11" s="664" t="s">
        <v>14</v>
      </c>
      <c r="U11" s="665" t="e">
        <f t="shared" si="1"/>
        <v>#N/A</v>
      </c>
      <c r="V11" s="664" t="s">
        <v>14</v>
      </c>
      <c r="W11" s="665" t="e">
        <f t="shared" si="2"/>
        <v>#N/A</v>
      </c>
      <c r="X11" s="666"/>
      <c r="Y11" s="332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68"/>
      <c r="Q14" s="530">
        <f t="shared" si="6"/>
        <v>111</v>
      </c>
      <c r="R14" s="664" t="s">
        <v>14</v>
      </c>
      <c r="S14" s="665">
        <f t="shared" si="0"/>
        <v>100</v>
      </c>
      <c r="T14" s="664" t="s">
        <v>14</v>
      </c>
      <c r="U14" s="665">
        <f t="shared" si="1"/>
        <v>100</v>
      </c>
      <c r="V14" s="664" t="s">
        <v>14</v>
      </c>
      <c r="W14" s="665">
        <f t="shared" si="2"/>
        <v>100</v>
      </c>
      <c r="X14" s="666"/>
      <c r="Y14" s="3323"/>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88" t="s">
        <v>1691</v>
      </c>
      <c r="Q15" s="1263" t="str">
        <f t="shared" si="6"/>
        <v>商业繁华度</v>
      </c>
      <c r="R15" s="667" t="s">
        <v>14</v>
      </c>
      <c r="S15" s="668">
        <f t="shared" si="0"/>
        <v>100</v>
      </c>
      <c r="T15" s="667" t="s">
        <v>14</v>
      </c>
      <c r="U15" s="668">
        <f t="shared" si="1"/>
        <v>100</v>
      </c>
      <c r="V15" s="667" t="s">
        <v>14</v>
      </c>
      <c r="W15" s="668">
        <f t="shared" si="2"/>
        <v>100</v>
      </c>
      <c r="X15" s="1265"/>
      <c r="Y15" s="339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89"/>
      <c r="Q16" s="1263"/>
      <c r="R16" s="667"/>
      <c r="S16" s="668"/>
      <c r="T16" s="667"/>
      <c r="U16" s="668"/>
      <c r="V16" s="667"/>
      <c r="W16" s="668"/>
      <c r="X16" s="1265"/>
      <c r="Y16" s="3391"/>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89"/>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89"/>
      <c r="Q18" s="1263"/>
      <c r="R18" s="667"/>
      <c r="S18" s="668"/>
      <c r="T18" s="667"/>
      <c r="U18" s="668"/>
      <c r="V18" s="667"/>
      <c r="W18" s="668"/>
      <c r="X18" s="1265"/>
      <c r="Y18" s="3391"/>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89"/>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89"/>
      <c r="Q20" s="1263"/>
      <c r="R20" s="667"/>
      <c r="S20" s="668"/>
      <c r="T20" s="667"/>
      <c r="U20" s="668"/>
      <c r="V20" s="667"/>
      <c r="W20" s="668"/>
      <c r="X20" s="1265"/>
      <c r="Y20" s="3391"/>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89"/>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89"/>
      <c r="Q22" s="1263"/>
      <c r="R22" s="667"/>
      <c r="S22" s="668"/>
      <c r="T22" s="667"/>
      <c r="U22" s="668"/>
      <c r="V22" s="667"/>
      <c r="W22" s="668"/>
      <c r="X22" s="1265"/>
      <c r="Y22" s="3391"/>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89"/>
      <c r="Q23" s="1263" t="str">
        <f>B23</f>
        <v>自然及人文环境</v>
      </c>
      <c r="R23" s="667" t="s">
        <v>14</v>
      </c>
      <c r="S23" s="668">
        <f>F23</f>
        <v>100</v>
      </c>
      <c r="T23" s="667" t="s">
        <v>14</v>
      </c>
      <c r="U23" s="668">
        <f>H23</f>
        <v>100</v>
      </c>
      <c r="V23" s="667" t="s">
        <v>14</v>
      </c>
      <c r="W23" s="668">
        <f>J23</f>
        <v>100</v>
      </c>
      <c r="X23" s="1265"/>
      <c r="Y23" s="339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89"/>
      <c r="Q24" s="1263"/>
      <c r="R24" s="667"/>
      <c r="S24" s="668"/>
      <c r="T24" s="667"/>
      <c r="U24" s="668"/>
      <c r="V24" s="667"/>
      <c r="W24" s="668"/>
      <c r="X24" s="1265"/>
      <c r="Y24" s="339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89"/>
      <c r="Q25" s="1263" t="str">
        <f t="shared" ref="Q25:Q46" si="11">B25</f>
        <v>临街状况</v>
      </c>
      <c r="R25" s="667" t="s">
        <v>14</v>
      </c>
      <c r="S25" s="668">
        <f>F25</f>
        <v>100</v>
      </c>
      <c r="T25" s="667" t="s">
        <v>14</v>
      </c>
      <c r="U25" s="668">
        <f>H25</f>
        <v>100</v>
      </c>
      <c r="V25" s="667" t="s">
        <v>14</v>
      </c>
      <c r="W25" s="668">
        <f>J25</f>
        <v>100</v>
      </c>
      <c r="X25" s="1265"/>
      <c r="Y25" s="339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89"/>
      <c r="Q26" s="1263" t="str">
        <f t="shared" si="11"/>
        <v>平面位置/可视性</v>
      </c>
      <c r="R26" s="667" t="s">
        <v>14</v>
      </c>
      <c r="S26" s="668">
        <f>F26</f>
        <v>100</v>
      </c>
      <c r="T26" s="667" t="s">
        <v>14</v>
      </c>
      <c r="U26" s="668">
        <f>H26</f>
        <v>100</v>
      </c>
      <c r="V26" s="667" t="s">
        <v>14</v>
      </c>
      <c r="W26" s="668">
        <f>J26</f>
        <v>100</v>
      </c>
      <c r="X26" s="1265"/>
      <c r="Y26" s="339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89"/>
      <c r="Q27" s="530" t="str">
        <f t="shared" si="11"/>
        <v>人流量</v>
      </c>
      <c r="R27" s="664" t="s">
        <v>14</v>
      </c>
      <c r="S27" s="665">
        <f>F27</f>
        <v>100</v>
      </c>
      <c r="T27" s="664" t="s">
        <v>14</v>
      </c>
      <c r="U27" s="665">
        <f>H27</f>
        <v>100</v>
      </c>
      <c r="V27" s="664" t="s">
        <v>14</v>
      </c>
      <c r="W27" s="665">
        <f>J27</f>
        <v>100</v>
      </c>
      <c r="X27" s="666"/>
      <c r="Y27" s="339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8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89"/>
      <c r="Q29" s="1263">
        <f t="shared" si="11"/>
        <v>111</v>
      </c>
      <c r="R29" s="667" t="s">
        <v>14</v>
      </c>
      <c r="S29" s="668">
        <f t="shared" si="12"/>
        <v>100</v>
      </c>
      <c r="T29" s="667" t="s">
        <v>14</v>
      </c>
      <c r="U29" s="668">
        <f t="shared" si="13"/>
        <v>100</v>
      </c>
      <c r="V29" s="667" t="s">
        <v>14</v>
      </c>
      <c r="W29" s="668">
        <f t="shared" si="14"/>
        <v>100</v>
      </c>
      <c r="X29" s="1265"/>
      <c r="Y29" s="339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89"/>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89"/>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2" t="s">
        <v>1696</v>
      </c>
      <c r="Q32" s="1263" t="str">
        <f t="shared" si="11"/>
        <v>商业类型</v>
      </c>
      <c r="R32" s="667" t="s">
        <v>14</v>
      </c>
      <c r="S32" s="668">
        <f t="shared" si="12"/>
        <v>100</v>
      </c>
      <c r="T32" s="667" t="s">
        <v>14</v>
      </c>
      <c r="U32" s="668">
        <f t="shared" si="13"/>
        <v>100</v>
      </c>
      <c r="V32" s="667" t="s">
        <v>14</v>
      </c>
      <c r="W32" s="668">
        <f t="shared" si="14"/>
        <v>100</v>
      </c>
      <c r="X32" s="1265"/>
      <c r="Y32" s="339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93"/>
      <c r="Q33" s="531" t="str">
        <f t="shared" si="11"/>
        <v>项目建筑规模</v>
      </c>
      <c r="R33" s="669" t="s">
        <v>14</v>
      </c>
      <c r="S33" s="670" t="e">
        <f t="shared" si="12"/>
        <v>#N/A</v>
      </c>
      <c r="T33" s="669" t="s">
        <v>14</v>
      </c>
      <c r="U33" s="670" t="e">
        <f t="shared" si="13"/>
        <v>#N/A</v>
      </c>
      <c r="V33" s="669" t="s">
        <v>14</v>
      </c>
      <c r="W33" s="670" t="e">
        <f t="shared" si="14"/>
        <v>#N/A</v>
      </c>
      <c r="X33" s="671"/>
      <c r="Y33" s="339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93"/>
      <c r="Q34" s="1263" t="str">
        <f t="shared" si="11"/>
        <v>建筑结构</v>
      </c>
      <c r="R34" s="667" t="s">
        <v>14</v>
      </c>
      <c r="S34" s="668">
        <f t="shared" si="12"/>
        <v>100</v>
      </c>
      <c r="T34" s="667" t="s">
        <v>14</v>
      </c>
      <c r="U34" s="668">
        <f t="shared" si="13"/>
        <v>100</v>
      </c>
      <c r="V34" s="667" t="s">
        <v>14</v>
      </c>
      <c r="W34" s="668">
        <f t="shared" si="14"/>
        <v>100</v>
      </c>
      <c r="X34" s="1265"/>
      <c r="Y34" s="339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93"/>
      <c r="Q35" s="1263" t="str">
        <f t="shared" si="11"/>
        <v>公共部分装修</v>
      </c>
      <c r="R35" s="667" t="s">
        <v>14</v>
      </c>
      <c r="S35" s="668">
        <f t="shared" si="12"/>
        <v>100</v>
      </c>
      <c r="T35" s="667" t="s">
        <v>14</v>
      </c>
      <c r="U35" s="668">
        <f t="shared" si="13"/>
        <v>100</v>
      </c>
      <c r="V35" s="667" t="s">
        <v>14</v>
      </c>
      <c r="W35" s="668">
        <f t="shared" si="14"/>
        <v>100</v>
      </c>
      <c r="X35" s="1265"/>
      <c r="Y35" s="339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93"/>
      <c r="Q36" s="1263" t="str">
        <f t="shared" si="11"/>
        <v>成新度</v>
      </c>
      <c r="R36" s="667" t="s">
        <v>14</v>
      </c>
      <c r="S36" s="668" t="e">
        <f t="shared" si="12"/>
        <v>#N/A</v>
      </c>
      <c r="T36" s="667" t="s">
        <v>14</v>
      </c>
      <c r="U36" s="668" t="e">
        <f t="shared" si="13"/>
        <v>#N/A</v>
      </c>
      <c r="V36" s="667" t="s">
        <v>14</v>
      </c>
      <c r="W36" s="668" t="e">
        <f t="shared" si="14"/>
        <v>#N/A</v>
      </c>
      <c r="X36" s="1265"/>
      <c r="Y36" s="339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93"/>
      <c r="Q37" s="530" t="str">
        <f t="shared" si="11"/>
        <v>市政基础设施</v>
      </c>
      <c r="R37" s="664" t="s">
        <v>14</v>
      </c>
      <c r="S37" s="665">
        <f t="shared" si="12"/>
        <v>100</v>
      </c>
      <c r="T37" s="664" t="s">
        <v>14</v>
      </c>
      <c r="U37" s="665">
        <f t="shared" si="13"/>
        <v>100</v>
      </c>
      <c r="V37" s="664" t="s">
        <v>14</v>
      </c>
      <c r="W37" s="665">
        <f t="shared" si="14"/>
        <v>100</v>
      </c>
      <c r="X37" s="666"/>
      <c r="Y37" s="339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93" t="s">
        <v>1696</v>
      </c>
      <c r="Q38" s="1263" t="str">
        <f t="shared" si="11"/>
        <v>业态</v>
      </c>
      <c r="R38" s="667" t="s">
        <v>14</v>
      </c>
      <c r="S38" s="668">
        <f t="shared" si="12"/>
        <v>100</v>
      </c>
      <c r="T38" s="667" t="s">
        <v>14</v>
      </c>
      <c r="U38" s="668">
        <f t="shared" si="13"/>
        <v>100</v>
      </c>
      <c r="V38" s="667" t="s">
        <v>14</v>
      </c>
      <c r="W38" s="668">
        <f t="shared" si="14"/>
        <v>100</v>
      </c>
      <c r="X38" s="1265"/>
      <c r="Y38" s="339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93"/>
      <c r="Q39" s="1263" t="str">
        <f t="shared" si="11"/>
        <v>层高</v>
      </c>
      <c r="R39" s="667" t="s">
        <v>14</v>
      </c>
      <c r="S39" s="668">
        <f t="shared" si="12"/>
        <v>100</v>
      </c>
      <c r="T39" s="667" t="s">
        <v>14</v>
      </c>
      <c r="U39" s="668">
        <f t="shared" si="13"/>
        <v>100</v>
      </c>
      <c r="V39" s="667" t="s">
        <v>14</v>
      </c>
      <c r="W39" s="668">
        <f t="shared" si="14"/>
        <v>100</v>
      </c>
      <c r="X39" s="1265"/>
      <c r="Y39" s="339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93"/>
      <c r="Q40" s="1263" t="str">
        <f t="shared" si="11"/>
        <v>单套建筑面积</v>
      </c>
      <c r="R40" s="667" t="s">
        <v>14</v>
      </c>
      <c r="S40" s="668">
        <f t="shared" si="12"/>
        <v>100</v>
      </c>
      <c r="T40" s="667" t="s">
        <v>14</v>
      </c>
      <c r="U40" s="668">
        <f t="shared" si="13"/>
        <v>100</v>
      </c>
      <c r="V40" s="667" t="s">
        <v>14</v>
      </c>
      <c r="W40" s="668">
        <f t="shared" si="14"/>
        <v>100</v>
      </c>
      <c r="X40" s="1265"/>
      <c r="Y40" s="339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93"/>
      <c r="Q41" s="531" t="str">
        <f t="shared" si="11"/>
        <v>进深比</v>
      </c>
      <c r="R41" s="669" t="s">
        <v>14</v>
      </c>
      <c r="S41" s="670">
        <f t="shared" si="12"/>
        <v>100</v>
      </c>
      <c r="T41" s="669" t="s">
        <v>14</v>
      </c>
      <c r="U41" s="670">
        <f t="shared" si="13"/>
        <v>100</v>
      </c>
      <c r="V41" s="669" t="s">
        <v>14</v>
      </c>
      <c r="W41" s="670">
        <f t="shared" si="14"/>
        <v>100</v>
      </c>
      <c r="X41" s="671"/>
      <c r="Y41" s="339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93"/>
      <c r="Q42" s="1263" t="str">
        <f t="shared" si="11"/>
        <v>内部装修</v>
      </c>
      <c r="R42" s="667" t="s">
        <v>14</v>
      </c>
      <c r="S42" s="668">
        <f t="shared" si="12"/>
        <v>100</v>
      </c>
      <c r="T42" s="667" t="s">
        <v>14</v>
      </c>
      <c r="U42" s="668">
        <f t="shared" si="13"/>
        <v>100</v>
      </c>
      <c r="V42" s="667" t="s">
        <v>14</v>
      </c>
      <c r="W42" s="668">
        <f t="shared" si="14"/>
        <v>100</v>
      </c>
      <c r="X42" s="1265"/>
      <c r="Y42" s="339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93"/>
      <c r="Q43" s="1263" t="str">
        <f t="shared" si="11"/>
        <v>内部装修维护情况</v>
      </c>
      <c r="R43" s="667" t="s">
        <v>14</v>
      </c>
      <c r="S43" s="668">
        <f t="shared" si="12"/>
        <v>100</v>
      </c>
      <c r="T43" s="667" t="s">
        <v>14</v>
      </c>
      <c r="U43" s="668">
        <f t="shared" si="13"/>
        <v>100</v>
      </c>
      <c r="V43" s="667" t="s">
        <v>14</v>
      </c>
      <c r="W43" s="668">
        <f t="shared" si="14"/>
        <v>100</v>
      </c>
      <c r="X43" s="1265"/>
      <c r="Y43" s="339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93"/>
      <c r="Q44" s="530">
        <f t="shared" si="11"/>
        <v>111</v>
      </c>
      <c r="R44" s="664" t="s">
        <v>14</v>
      </c>
      <c r="S44" s="665">
        <f t="shared" si="12"/>
        <v>100</v>
      </c>
      <c r="T44" s="664" t="s">
        <v>14</v>
      </c>
      <c r="U44" s="665">
        <f t="shared" si="13"/>
        <v>100</v>
      </c>
      <c r="V44" s="664" t="s">
        <v>14</v>
      </c>
      <c r="W44" s="665">
        <f t="shared" si="14"/>
        <v>100</v>
      </c>
      <c r="X44" s="666"/>
      <c r="Y44" s="339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93"/>
      <c r="Q45" s="1263">
        <f t="shared" si="11"/>
        <v>111</v>
      </c>
      <c r="R45" s="667" t="s">
        <v>14</v>
      </c>
      <c r="S45" s="668">
        <f t="shared" si="12"/>
        <v>100</v>
      </c>
      <c r="T45" s="667" t="s">
        <v>14</v>
      </c>
      <c r="U45" s="668">
        <f t="shared" si="13"/>
        <v>100</v>
      </c>
      <c r="V45" s="667" t="s">
        <v>14</v>
      </c>
      <c r="W45" s="668">
        <f t="shared" si="14"/>
        <v>100</v>
      </c>
      <c r="X45" s="1265"/>
      <c r="Y45" s="339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94"/>
      <c r="Q46" s="1263">
        <f t="shared" si="11"/>
        <v>111</v>
      </c>
      <c r="R46" s="667" t="s">
        <v>14</v>
      </c>
      <c r="S46" s="668">
        <f t="shared" si="12"/>
        <v>100</v>
      </c>
      <c r="T46" s="667" t="s">
        <v>14</v>
      </c>
      <c r="U46" s="668">
        <f t="shared" si="13"/>
        <v>100</v>
      </c>
      <c r="V46" s="667" t="s">
        <v>14</v>
      </c>
      <c r="W46" s="668">
        <f t="shared" si="14"/>
        <v>100</v>
      </c>
      <c r="X46" s="1265"/>
      <c r="Y46" s="339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97" t="str">
        <f>A47</f>
        <v>成交单价（元/平方米）</v>
      </c>
      <c r="Q47" s="3397"/>
      <c r="R47" s="3385">
        <f>E47</f>
        <v>0</v>
      </c>
      <c r="S47" s="3385"/>
      <c r="T47" s="3385">
        <f>G47</f>
        <v>0</v>
      </c>
      <c r="U47" s="3385"/>
      <c r="V47" s="3385">
        <f>I47</f>
        <v>0</v>
      </c>
      <c r="W47" s="3385"/>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7" t="str">
        <f>A48</f>
        <v>比较价值（元/平方米）</v>
      </c>
      <c r="Q48" s="3397"/>
      <c r="R48" s="3385" t="e">
        <f>IF(F1="售价",ROUND(PRODUCT(R47,AA7:AA46),0),ROUND(PRODUCT(R47,AA7:AA46),1))</f>
        <v>#DIV/0!</v>
      </c>
      <c r="S48" s="3385"/>
      <c r="T48" s="3385" t="e">
        <f>IF(F1="售价",ROUND(PRODUCT(T47,AB7:AB46),0),ROUND(PRODUCT(T47,AB7:AB46),1))</f>
        <v>#DIV/0!</v>
      </c>
      <c r="U48" s="3385"/>
      <c r="V48" s="3385" t="e">
        <f>IF(F1="售价",ROUND(PRODUCT(V47,AC7:AC46),0),ROUND(PRODUCT(V47,AC7:AC46),1))</f>
        <v>#DIV/0!</v>
      </c>
      <c r="W48" s="3385"/>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35" t="str">
        <f>A49</f>
        <v>估价对象XX用房的比较价值（楼面单价，元/平方米）</v>
      </c>
      <c r="Q49" s="3436"/>
      <c r="R49" s="3437" t="e">
        <f>IF(F1="售价",ROUND(IF(D48="简单平均",AVERAGE(R48:V48),R48*F48+T48*H48+V48*J48),0),ROUND(IF(D48="简单平均",AVERAGE(R48:V48),R48*F48+T48*H48+V48*J48),1))</f>
        <v>#DIV/0!</v>
      </c>
      <c r="S49" s="3437"/>
      <c r="T49" s="3437"/>
      <c r="U49" s="3437"/>
      <c r="V49" s="3437"/>
      <c r="W49" s="343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606.78</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72" t="s">
        <v>1770</v>
      </c>
      <c r="D4" s="3373"/>
      <c r="E4" s="3374" t="s">
        <v>1771</v>
      </c>
      <c r="F4" s="3375"/>
      <c r="G4" s="3372" t="s">
        <v>1772</v>
      </c>
      <c r="H4" s="3373"/>
      <c r="I4" s="3372" t="s">
        <v>1773</v>
      </c>
      <c r="J4" s="3373"/>
      <c r="K4" s="537" t="s">
        <v>1774</v>
      </c>
      <c r="L4" s="860"/>
      <c r="M4" s="861"/>
      <c r="N4" s="861"/>
      <c r="O4" s="861"/>
      <c r="P4" s="3431" t="s">
        <v>1775</v>
      </c>
      <c r="Q4" s="3432"/>
      <c r="R4" s="3428" t="s">
        <v>1771</v>
      </c>
      <c r="S4" s="3429"/>
      <c r="T4" s="3428" t="s">
        <v>1772</v>
      </c>
      <c r="U4" s="3429"/>
      <c r="V4" s="3385" t="s">
        <v>1773</v>
      </c>
      <c r="W4" s="3385"/>
      <c r="X4" s="1265"/>
      <c r="Y4" s="3428" t="s">
        <v>1775</v>
      </c>
      <c r="Z4" s="3429"/>
      <c r="AA4" s="3427" t="s">
        <v>1771</v>
      </c>
      <c r="AB4" s="3351" t="s">
        <v>1772</v>
      </c>
      <c r="AC4" s="3427" t="s">
        <v>1773</v>
      </c>
    </row>
    <row r="5" spans="1:29" ht="15">
      <c r="A5" s="348"/>
      <c r="B5" s="349"/>
      <c r="C5" s="3361" t="s">
        <v>1673</v>
      </c>
      <c r="D5" s="3362"/>
      <c r="E5" s="3430" t="s">
        <v>1674</v>
      </c>
      <c r="F5" s="3360"/>
      <c r="G5" s="3361" t="s">
        <v>1675</v>
      </c>
      <c r="H5" s="3362"/>
      <c r="I5" s="3361" t="s">
        <v>1676</v>
      </c>
      <c r="J5" s="3362"/>
      <c r="K5" s="537"/>
      <c r="L5" s="860"/>
      <c r="M5" s="861"/>
      <c r="N5" s="861"/>
      <c r="O5" s="861"/>
      <c r="P5" s="3433"/>
      <c r="Q5" s="3379"/>
      <c r="R5" s="3357"/>
      <c r="S5" s="3358"/>
      <c r="T5" s="3357"/>
      <c r="U5" s="3358"/>
      <c r="V5" s="3385"/>
      <c r="W5" s="3385"/>
      <c r="X5" s="1265"/>
      <c r="Y5" s="3357"/>
      <c r="Z5" s="3358"/>
      <c r="AA5" s="3351"/>
      <c r="AB5" s="3351"/>
      <c r="AC5" s="3351"/>
    </row>
    <row r="6" spans="1:29" ht="15.75" thickBot="1">
      <c r="A6" s="350"/>
      <c r="B6" s="351"/>
      <c r="C6" s="3363" t="s">
        <v>1677</v>
      </c>
      <c r="D6" s="3364"/>
      <c r="E6" s="3366" t="s">
        <v>1677</v>
      </c>
      <c r="F6" s="3367"/>
      <c r="G6" s="3363" t="s">
        <v>1677</v>
      </c>
      <c r="H6" s="3364"/>
      <c r="I6" s="3363" t="s">
        <v>1677</v>
      </c>
      <c r="J6" s="3364"/>
      <c r="K6" s="537" t="s">
        <v>1678</v>
      </c>
      <c r="L6" s="860"/>
      <c r="M6" s="861"/>
      <c r="N6" s="861"/>
      <c r="O6" s="861"/>
      <c r="P6" s="3434"/>
      <c r="Q6" s="3381"/>
      <c r="R6" s="3357"/>
      <c r="S6" s="3358"/>
      <c r="T6" s="3382"/>
      <c r="U6" s="3383"/>
      <c r="V6" s="3385"/>
      <c r="W6" s="3385"/>
      <c r="X6" s="1265"/>
      <c r="Y6" s="3382"/>
      <c r="Z6" s="3383"/>
      <c r="AA6" s="3352"/>
      <c r="AB6" s="3352"/>
      <c r="AC6" s="3352"/>
    </row>
    <row r="7" spans="1:29" s="102" customFormat="1" ht="15.75" thickBot="1">
      <c r="A7" s="352" t="s">
        <v>1679</v>
      </c>
      <c r="B7" s="353"/>
      <c r="C7" s="354">
        <f>'数据-取费表'!B2</f>
        <v>45693</v>
      </c>
      <c r="D7" s="355">
        <v>100</v>
      </c>
      <c r="E7" s="356"/>
      <c r="F7" s="357">
        <f>SUMIF(52:52,YEAR(E7)&amp;"-"&amp;MONTH(E7),53:53)</f>
        <v>0</v>
      </c>
      <c r="G7" s="356"/>
      <c r="H7" s="355">
        <f>SUMIF(52:52,YEAR(G7)&amp;"-"&amp;MONTH(G7),53:53)</f>
        <v>0</v>
      </c>
      <c r="I7" s="356"/>
      <c r="J7" s="355">
        <f>SUMIF(52:52,YEAR(I7)&amp;"-"&amp;MONTH(I7),53:53)</f>
        <v>0</v>
      </c>
      <c r="K7" s="38"/>
      <c r="L7" s="862"/>
      <c r="M7" s="863"/>
      <c r="N7" s="863"/>
      <c r="O7" s="863"/>
      <c r="P7" s="3353" t="s">
        <v>1680</v>
      </c>
      <c r="Q7" s="3387"/>
      <c r="R7" s="664" t="s">
        <v>14</v>
      </c>
      <c r="S7" s="665">
        <f t="shared" ref="S7:S15" si="0">F7</f>
        <v>0</v>
      </c>
      <c r="T7" s="664" t="s">
        <v>14</v>
      </c>
      <c r="U7" s="665">
        <f t="shared" ref="U7:U15" si="1">H7</f>
        <v>0</v>
      </c>
      <c r="V7" s="664" t="s">
        <v>14</v>
      </c>
      <c r="W7" s="665">
        <f t="shared" ref="W7:W15" si="2">J7</f>
        <v>0</v>
      </c>
      <c r="X7" s="666"/>
      <c r="Y7" s="3353" t="s">
        <v>1680</v>
      </c>
      <c r="Z7" s="335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53" t="s">
        <v>1683</v>
      </c>
      <c r="Q8" s="3354"/>
      <c r="R8" s="664" t="s">
        <v>14</v>
      </c>
      <c r="S8" s="665">
        <f t="shared" si="0"/>
        <v>100</v>
      </c>
      <c r="T8" s="664" t="s">
        <v>14</v>
      </c>
      <c r="U8" s="665">
        <f t="shared" si="1"/>
        <v>100</v>
      </c>
      <c r="V8" s="664" t="s">
        <v>14</v>
      </c>
      <c r="W8" s="665">
        <f t="shared" si="2"/>
        <v>100</v>
      </c>
      <c r="X8" s="666"/>
      <c r="Y8" s="3353" t="s">
        <v>1683</v>
      </c>
      <c r="Z8" s="335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7"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7"/>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7"/>
      <c r="Q11" s="530" t="str">
        <f t="shared" si="6"/>
        <v>容积率</v>
      </c>
      <c r="R11" s="664" t="s">
        <v>14</v>
      </c>
      <c r="S11" s="665">
        <f t="shared" si="0"/>
        <v>100</v>
      </c>
      <c r="T11" s="664" t="s">
        <v>14</v>
      </c>
      <c r="U11" s="665">
        <f t="shared" si="1"/>
        <v>100</v>
      </c>
      <c r="V11" s="664" t="s">
        <v>14</v>
      </c>
      <c r="W11" s="665">
        <f t="shared" si="2"/>
        <v>100</v>
      </c>
      <c r="X11" s="666"/>
      <c r="Y11" s="332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7"/>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7"/>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7"/>
      <c r="Q14" s="530">
        <f t="shared" si="6"/>
        <v>111</v>
      </c>
      <c r="R14" s="664" t="s">
        <v>14</v>
      </c>
      <c r="S14" s="665">
        <f t="shared" si="0"/>
        <v>100</v>
      </c>
      <c r="T14" s="664" t="s">
        <v>14</v>
      </c>
      <c r="U14" s="665">
        <f t="shared" si="1"/>
        <v>100</v>
      </c>
      <c r="V14" s="664" t="s">
        <v>14</v>
      </c>
      <c r="W14" s="665">
        <f t="shared" si="2"/>
        <v>100</v>
      </c>
      <c r="X14" s="666"/>
      <c r="Y14" s="3323"/>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0" t="s">
        <v>1691</v>
      </c>
      <c r="Q15" s="1263" t="str">
        <f t="shared" si="6"/>
        <v>产业集聚程度</v>
      </c>
      <c r="R15" s="667" t="s">
        <v>14</v>
      </c>
      <c r="S15" s="668">
        <f t="shared" si="0"/>
        <v>100</v>
      </c>
      <c r="T15" s="667" t="s">
        <v>14</v>
      </c>
      <c r="U15" s="668">
        <f t="shared" si="1"/>
        <v>100</v>
      </c>
      <c r="V15" s="667" t="s">
        <v>14</v>
      </c>
      <c r="W15" s="668">
        <f t="shared" si="2"/>
        <v>100</v>
      </c>
      <c r="X15" s="1265"/>
      <c r="Y15" s="339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1"/>
      <c r="Q16" s="1263"/>
      <c r="R16" s="667"/>
      <c r="S16" s="668"/>
      <c r="T16" s="667"/>
      <c r="U16" s="668"/>
      <c r="V16" s="667"/>
      <c r="W16" s="668"/>
      <c r="X16" s="1265"/>
      <c r="Y16" s="3391"/>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1"/>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1"/>
      <c r="Q18" s="1263"/>
      <c r="R18" s="667"/>
      <c r="S18" s="668"/>
      <c r="T18" s="667"/>
      <c r="U18" s="668"/>
      <c r="V18" s="667"/>
      <c r="W18" s="668"/>
      <c r="X18" s="1265"/>
      <c r="Y18" s="3391"/>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1"/>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1"/>
      <c r="Q20" s="1263"/>
      <c r="R20" s="667"/>
      <c r="S20" s="668"/>
      <c r="T20" s="667"/>
      <c r="U20" s="668"/>
      <c r="V20" s="667"/>
      <c r="W20" s="668"/>
      <c r="X20" s="1265"/>
      <c r="Y20" s="3391"/>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1"/>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1"/>
      <c r="Q22" s="1263"/>
      <c r="R22" s="667"/>
      <c r="S22" s="668"/>
      <c r="T22" s="667"/>
      <c r="U22" s="668"/>
      <c r="V22" s="667"/>
      <c r="W22" s="668"/>
      <c r="X22" s="1265"/>
      <c r="Y22" s="3391"/>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1"/>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1"/>
      <c r="Q24" s="1263"/>
      <c r="R24" s="667"/>
      <c r="S24" s="668"/>
      <c r="T24" s="667"/>
      <c r="U24" s="668"/>
      <c r="V24" s="667"/>
      <c r="W24" s="668"/>
      <c r="X24" s="1265"/>
      <c r="Y24" s="339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1"/>
      <c r="Q25" s="1263">
        <f>B25</f>
        <v>111</v>
      </c>
      <c r="R25" s="667" t="s">
        <v>14</v>
      </c>
      <c r="S25" s="668">
        <f>F25</f>
        <v>100</v>
      </c>
      <c r="T25" s="667" t="s">
        <v>14</v>
      </c>
      <c r="U25" s="668">
        <f>H25</f>
        <v>100</v>
      </c>
      <c r="V25" s="667" t="s">
        <v>14</v>
      </c>
      <c r="W25" s="668">
        <f>J25</f>
        <v>100</v>
      </c>
      <c r="X25" s="1265"/>
      <c r="Y25" s="339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1"/>
      <c r="Q26" s="1263">
        <f t="shared" ref="Q26:Q40" si="11">B26</f>
        <v>111</v>
      </c>
      <c r="R26" s="667" t="s">
        <v>14</v>
      </c>
      <c r="S26" s="668">
        <f>F26</f>
        <v>100</v>
      </c>
      <c r="T26" s="667" t="s">
        <v>14</v>
      </c>
      <c r="U26" s="668">
        <f>H26</f>
        <v>100</v>
      </c>
      <c r="V26" s="667" t="s">
        <v>14</v>
      </c>
      <c r="W26" s="668">
        <f>J26</f>
        <v>100</v>
      </c>
      <c r="X26" s="1265"/>
      <c r="Y26" s="339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1"/>
      <c r="Q27" s="530">
        <f t="shared" si="11"/>
        <v>111</v>
      </c>
      <c r="R27" s="664" t="s">
        <v>14</v>
      </c>
      <c r="S27" s="665">
        <f>F27</f>
        <v>100</v>
      </c>
      <c r="T27" s="664" t="s">
        <v>14</v>
      </c>
      <c r="U27" s="665">
        <f>H27</f>
        <v>100</v>
      </c>
      <c r="V27" s="664" t="s">
        <v>14</v>
      </c>
      <c r="W27" s="665">
        <f>J27</f>
        <v>100</v>
      </c>
      <c r="X27" s="666"/>
      <c r="Y27" s="339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1"/>
      <c r="Q28" s="1263">
        <f t="shared" si="11"/>
        <v>111</v>
      </c>
      <c r="R28" s="667" t="s">
        <v>14</v>
      </c>
      <c r="S28" s="668">
        <f t="shared" ref="S28:S40" si="12">F28</f>
        <v>100</v>
      </c>
      <c r="T28" s="667" t="s">
        <v>14</v>
      </c>
      <c r="U28" s="668">
        <f t="shared" ref="U28:U40" si="13">H28</f>
        <v>100</v>
      </c>
      <c r="V28" s="667" t="s">
        <v>14</v>
      </c>
      <c r="W28" s="668">
        <f t="shared" ref="W28:W40" si="14">J28</f>
        <v>100</v>
      </c>
      <c r="X28" s="1265"/>
      <c r="Y28" s="339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8" t="s">
        <v>1696</v>
      </c>
      <c r="Q29" s="1263" t="str">
        <f t="shared" si="11"/>
        <v>建筑类型</v>
      </c>
      <c r="R29" s="667" t="s">
        <v>14</v>
      </c>
      <c r="S29" s="668">
        <f t="shared" si="12"/>
        <v>100</v>
      </c>
      <c r="T29" s="667" t="s">
        <v>14</v>
      </c>
      <c r="U29" s="668">
        <f t="shared" si="13"/>
        <v>100</v>
      </c>
      <c r="V29" s="667" t="s">
        <v>14</v>
      </c>
      <c r="W29" s="668">
        <f t="shared" si="14"/>
        <v>100</v>
      </c>
      <c r="X29" s="1265"/>
      <c r="Y29" s="339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95"/>
      <c r="Q30" s="531" t="str">
        <f t="shared" si="11"/>
        <v>项目建筑规模</v>
      </c>
      <c r="R30" s="669" t="s">
        <v>14</v>
      </c>
      <c r="S30" s="670" t="e">
        <f t="shared" si="12"/>
        <v>#N/A</v>
      </c>
      <c r="T30" s="669" t="s">
        <v>14</v>
      </c>
      <c r="U30" s="670" t="e">
        <f t="shared" si="13"/>
        <v>#N/A</v>
      </c>
      <c r="V30" s="669" t="s">
        <v>14</v>
      </c>
      <c r="W30" s="670" t="e">
        <f t="shared" si="14"/>
        <v>#N/A</v>
      </c>
      <c r="X30" s="671"/>
      <c r="Y30" s="339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95"/>
      <c r="Q31" s="1263" t="str">
        <f t="shared" si="11"/>
        <v>建筑结构</v>
      </c>
      <c r="R31" s="667" t="s">
        <v>14</v>
      </c>
      <c r="S31" s="668">
        <f t="shared" si="12"/>
        <v>100</v>
      </c>
      <c r="T31" s="667" t="s">
        <v>14</v>
      </c>
      <c r="U31" s="668">
        <f t="shared" si="13"/>
        <v>100</v>
      </c>
      <c r="V31" s="667" t="s">
        <v>14</v>
      </c>
      <c r="W31" s="668">
        <f t="shared" si="14"/>
        <v>100</v>
      </c>
      <c r="X31" s="1265"/>
      <c r="Y31" s="339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95"/>
      <c r="Q32" s="1263" t="str">
        <f t="shared" si="11"/>
        <v>公共部分装修</v>
      </c>
      <c r="R32" s="667" t="s">
        <v>14</v>
      </c>
      <c r="S32" s="668">
        <f t="shared" si="12"/>
        <v>100</v>
      </c>
      <c r="T32" s="667" t="s">
        <v>14</v>
      </c>
      <c r="U32" s="668">
        <f t="shared" si="13"/>
        <v>100</v>
      </c>
      <c r="V32" s="667" t="s">
        <v>14</v>
      </c>
      <c r="W32" s="668">
        <f t="shared" si="14"/>
        <v>100</v>
      </c>
      <c r="X32" s="1265"/>
      <c r="Y32" s="339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95"/>
      <c r="Q33" s="1263" t="str">
        <f t="shared" si="11"/>
        <v>成新度</v>
      </c>
      <c r="R33" s="667" t="s">
        <v>14</v>
      </c>
      <c r="S33" s="668" t="e">
        <f t="shared" si="12"/>
        <v>#N/A</v>
      </c>
      <c r="T33" s="667" t="s">
        <v>14</v>
      </c>
      <c r="U33" s="668" t="e">
        <f t="shared" si="13"/>
        <v>#N/A</v>
      </c>
      <c r="V33" s="667" t="s">
        <v>14</v>
      </c>
      <c r="W33" s="668" t="e">
        <f t="shared" si="14"/>
        <v>#N/A</v>
      </c>
      <c r="X33" s="1265"/>
      <c r="Y33" s="339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95"/>
      <c r="Q34" s="530" t="str">
        <f t="shared" si="11"/>
        <v>物业管理</v>
      </c>
      <c r="R34" s="664" t="s">
        <v>14</v>
      </c>
      <c r="S34" s="665">
        <f t="shared" si="12"/>
        <v>100</v>
      </c>
      <c r="T34" s="664" t="s">
        <v>14</v>
      </c>
      <c r="U34" s="665">
        <f t="shared" si="13"/>
        <v>100</v>
      </c>
      <c r="V34" s="664" t="s">
        <v>14</v>
      </c>
      <c r="W34" s="665">
        <f t="shared" si="14"/>
        <v>100</v>
      </c>
      <c r="X34" s="666"/>
      <c r="Y34" s="339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95" t="s">
        <v>1696</v>
      </c>
      <c r="Q35" s="1263" t="str">
        <f t="shared" si="11"/>
        <v>市政基础设施</v>
      </c>
      <c r="R35" s="667" t="s">
        <v>14</v>
      </c>
      <c r="S35" s="668">
        <f t="shared" si="12"/>
        <v>100</v>
      </c>
      <c r="T35" s="667" t="s">
        <v>14</v>
      </c>
      <c r="U35" s="668">
        <f t="shared" si="13"/>
        <v>100</v>
      </c>
      <c r="V35" s="667" t="s">
        <v>14</v>
      </c>
      <c r="W35" s="668">
        <f t="shared" si="14"/>
        <v>100</v>
      </c>
      <c r="X35" s="1265"/>
      <c r="Y35" s="339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95"/>
      <c r="Q36" s="1263" t="str">
        <f t="shared" si="11"/>
        <v>内部装修</v>
      </c>
      <c r="R36" s="667" t="s">
        <v>14</v>
      </c>
      <c r="S36" s="668">
        <f t="shared" si="12"/>
        <v>100</v>
      </c>
      <c r="T36" s="667" t="s">
        <v>14</v>
      </c>
      <c r="U36" s="668">
        <f t="shared" si="13"/>
        <v>100</v>
      </c>
      <c r="V36" s="667" t="s">
        <v>14</v>
      </c>
      <c r="W36" s="668">
        <f t="shared" si="14"/>
        <v>100</v>
      </c>
      <c r="X36" s="1265"/>
      <c r="Y36" s="339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95"/>
      <c r="Q37" s="1263" t="str">
        <f t="shared" si="11"/>
        <v>内部装修状况</v>
      </c>
      <c r="R37" s="667" t="s">
        <v>14</v>
      </c>
      <c r="S37" s="668">
        <f t="shared" si="12"/>
        <v>100</v>
      </c>
      <c r="T37" s="667" t="s">
        <v>14</v>
      </c>
      <c r="U37" s="668">
        <f t="shared" si="13"/>
        <v>100</v>
      </c>
      <c r="V37" s="667" t="s">
        <v>14</v>
      </c>
      <c r="W37" s="668">
        <f t="shared" si="14"/>
        <v>100</v>
      </c>
      <c r="X37" s="1265"/>
      <c r="Y37" s="339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95"/>
      <c r="Q38" s="531">
        <f t="shared" si="11"/>
        <v>111</v>
      </c>
      <c r="R38" s="669" t="s">
        <v>14</v>
      </c>
      <c r="S38" s="670">
        <f t="shared" si="12"/>
        <v>100</v>
      </c>
      <c r="T38" s="669" t="s">
        <v>14</v>
      </c>
      <c r="U38" s="670">
        <f t="shared" si="13"/>
        <v>100</v>
      </c>
      <c r="V38" s="669" t="s">
        <v>14</v>
      </c>
      <c r="W38" s="670">
        <f t="shared" si="14"/>
        <v>100</v>
      </c>
      <c r="X38" s="671"/>
      <c r="Y38" s="339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95"/>
      <c r="Q39" s="1263">
        <f t="shared" si="11"/>
        <v>111</v>
      </c>
      <c r="R39" s="667" t="s">
        <v>14</v>
      </c>
      <c r="S39" s="668">
        <f t="shared" si="12"/>
        <v>100</v>
      </c>
      <c r="T39" s="667" t="s">
        <v>14</v>
      </c>
      <c r="U39" s="668">
        <f t="shared" si="13"/>
        <v>100</v>
      </c>
      <c r="V39" s="667" t="s">
        <v>14</v>
      </c>
      <c r="W39" s="668">
        <f t="shared" si="14"/>
        <v>100</v>
      </c>
      <c r="X39" s="1265"/>
      <c r="Y39" s="339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96"/>
      <c r="Q40" s="1263">
        <f t="shared" si="11"/>
        <v>111</v>
      </c>
      <c r="R40" s="667" t="s">
        <v>14</v>
      </c>
      <c r="S40" s="668">
        <f t="shared" si="12"/>
        <v>100</v>
      </c>
      <c r="T40" s="667" t="s">
        <v>14</v>
      </c>
      <c r="U40" s="668">
        <f t="shared" si="13"/>
        <v>100</v>
      </c>
      <c r="V40" s="667" t="s">
        <v>14</v>
      </c>
      <c r="W40" s="668">
        <f t="shared" si="14"/>
        <v>100</v>
      </c>
      <c r="X40" s="1265"/>
      <c r="Y40" s="339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7" t="str">
        <f>A41</f>
        <v>成交单价（元/平方米）</v>
      </c>
      <c r="Q41" s="3397"/>
      <c r="R41" s="3385">
        <f>E41</f>
        <v>0</v>
      </c>
      <c r="S41" s="3385"/>
      <c r="T41" s="3385">
        <f>G41</f>
        <v>0</v>
      </c>
      <c r="U41" s="3385"/>
      <c r="V41" s="3385">
        <f>I41</f>
        <v>0</v>
      </c>
      <c r="W41" s="338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7" t="str">
        <f>A42</f>
        <v>比较价值（元/平方米）</v>
      </c>
      <c r="Q42" s="3397"/>
      <c r="R42" s="3385" t="e">
        <f>IF(F1="售价",ROUND(PRODUCT(R41,AA7:AA40),0),ROUND(PRODUCT(R41,AA7:AA40),1))</f>
        <v>#DIV/0!</v>
      </c>
      <c r="S42" s="3385"/>
      <c r="T42" s="3385" t="e">
        <f>IF(F1="售价",ROUND(PRODUCT(T41,AB7:AB40),0),ROUND(PRODUCT(T41,AB7:AB40),1))</f>
        <v>#DIV/0!</v>
      </c>
      <c r="U42" s="3385"/>
      <c r="V42" s="3385" t="e">
        <f>IF(F1="售价",ROUND(PRODUCT(V41,AC7:AC40),0),ROUND(PRODUCT(V41,AC7:AC40),1))</f>
        <v>#DIV/0!</v>
      </c>
      <c r="W42" s="338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35" t="str">
        <f>A43</f>
        <v>估价对象XX用房的比较价值（楼面单价，元/平方米）</v>
      </c>
      <c r="Q43" s="3436"/>
      <c r="R43" s="3437" t="e">
        <f>IF(F1="售价",ROUND(IF(D42="简单平均",AVERAGE(R42:V42),R42*F42+T42*H42+V42*J42),0),ROUND(IF(D42="简单平均",AVERAGE(R42:V42),R42*F42+T42*H42+V42*J42),1))</f>
        <v>#DIV/0!</v>
      </c>
      <c r="S43" s="3437"/>
      <c r="T43" s="3437"/>
      <c r="U43" s="3437"/>
      <c r="V43" s="3437"/>
      <c r="W43" s="343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2" priority="16" stopIfTrue="1">
      <formula>$F$46="超过30%"</formula>
    </cfRule>
  </conditionalFormatting>
  <conditionalFormatting sqref="E47">
    <cfRule type="expression" dxfId="91" priority="15" stopIfTrue="1">
      <formula>$F$47="超过20%"</formula>
    </cfRule>
  </conditionalFormatting>
  <conditionalFormatting sqref="E48">
    <cfRule type="expression" dxfId="90" priority="14" stopIfTrue="1">
      <formula>$F$48="超过30%"</formula>
    </cfRule>
  </conditionalFormatting>
  <conditionalFormatting sqref="F7:F40 H7:H40 J7:J40">
    <cfRule type="cellIs" dxfId="89" priority="1" operator="notEqual">
      <formula>100</formula>
    </cfRule>
  </conditionalFormatting>
  <conditionalFormatting sqref="F42">
    <cfRule type="expression" dxfId="88" priority="4">
      <formula>$D$42="简单平均"</formula>
    </cfRule>
  </conditionalFormatting>
  <conditionalFormatting sqref="F46:F48 H46:H48">
    <cfRule type="containsText" dxfId="87" priority="17" stopIfTrue="1" operator="containsText" text="超过">
      <formula>NOT(ISERROR(SEARCH("超过",F46)))</formula>
    </cfRule>
  </conditionalFormatting>
  <conditionalFormatting sqref="G46">
    <cfRule type="expression" dxfId="86" priority="12" stopIfTrue="1">
      <formula>$H$46="超过30%"</formula>
    </cfRule>
  </conditionalFormatting>
  <conditionalFormatting sqref="G47">
    <cfRule type="expression" dxfId="85" priority="11" stopIfTrue="1">
      <formula>$H$47="超过20%"</formula>
    </cfRule>
  </conditionalFormatting>
  <conditionalFormatting sqref="G48">
    <cfRule type="expression" dxfId="84" priority="13" stopIfTrue="1">
      <formula>$H$48="超过30%"</formula>
    </cfRule>
  </conditionalFormatting>
  <conditionalFormatting sqref="H42">
    <cfRule type="expression" dxfId="83" priority="3">
      <formula>$D$42="简单平均"</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J42">
    <cfRule type="expression" dxfId="79" priority="2">
      <formula>$D$42="简单平均"</formula>
    </cfRule>
  </conditionalFormatting>
  <conditionalFormatting sqref="J46:J48">
    <cfRule type="containsText" dxfId="78"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72" t="s">
        <v>1770</v>
      </c>
      <c r="D4" s="3373"/>
      <c r="E4" s="3374" t="s">
        <v>1771</v>
      </c>
      <c r="F4" s="3375"/>
      <c r="G4" s="3372" t="s">
        <v>1772</v>
      </c>
      <c r="H4" s="3373"/>
      <c r="I4" s="3372" t="s">
        <v>1773</v>
      </c>
      <c r="J4" s="3373"/>
      <c r="K4" s="537" t="s">
        <v>1774</v>
      </c>
      <c r="L4" s="2487"/>
      <c r="M4" s="2488"/>
      <c r="N4" s="2488"/>
      <c r="O4" s="2488"/>
      <c r="P4" s="3431" t="s">
        <v>1775</v>
      </c>
      <c r="Q4" s="3432"/>
      <c r="R4" s="3428" t="s">
        <v>1771</v>
      </c>
      <c r="S4" s="3429"/>
      <c r="T4" s="3428" t="s">
        <v>1772</v>
      </c>
      <c r="U4" s="3429"/>
      <c r="V4" s="3385" t="s">
        <v>1773</v>
      </c>
      <c r="W4" s="3385"/>
      <c r="X4" s="1265"/>
      <c r="Y4" s="3428" t="s">
        <v>1775</v>
      </c>
      <c r="Z4" s="3429"/>
      <c r="AA4" s="3427" t="s">
        <v>1771</v>
      </c>
      <c r="AB4" s="3351" t="s">
        <v>1772</v>
      </c>
      <c r="AC4" s="3427" t="s">
        <v>1773</v>
      </c>
    </row>
    <row r="5" spans="1:29" ht="15">
      <c r="A5" s="348"/>
      <c r="B5" s="349"/>
      <c r="C5" s="3361" t="s">
        <v>1673</v>
      </c>
      <c r="D5" s="3362"/>
      <c r="E5" s="3430" t="s">
        <v>1674</v>
      </c>
      <c r="F5" s="3360"/>
      <c r="G5" s="3361" t="s">
        <v>1675</v>
      </c>
      <c r="H5" s="3362"/>
      <c r="I5" s="3361" t="s">
        <v>1676</v>
      </c>
      <c r="J5" s="3362"/>
      <c r="K5" s="537"/>
      <c r="L5" s="2487"/>
      <c r="M5" s="2488"/>
      <c r="N5" s="2488"/>
      <c r="O5" s="2488"/>
      <c r="P5" s="3433"/>
      <c r="Q5" s="3379"/>
      <c r="R5" s="3357"/>
      <c r="S5" s="3358"/>
      <c r="T5" s="3357"/>
      <c r="U5" s="3358"/>
      <c r="V5" s="3385"/>
      <c r="W5" s="3385"/>
      <c r="X5" s="1265"/>
      <c r="Y5" s="3357"/>
      <c r="Z5" s="3358"/>
      <c r="AA5" s="3351"/>
      <c r="AB5" s="3351"/>
      <c r="AC5" s="3351"/>
    </row>
    <row r="6" spans="1:29" ht="15.75" thickBot="1">
      <c r="A6" s="350"/>
      <c r="B6" s="351"/>
      <c r="C6" s="3363" t="s">
        <v>1677</v>
      </c>
      <c r="D6" s="3364"/>
      <c r="E6" s="3366" t="s">
        <v>1677</v>
      </c>
      <c r="F6" s="3367"/>
      <c r="G6" s="3363" t="s">
        <v>1677</v>
      </c>
      <c r="H6" s="3364"/>
      <c r="I6" s="3363" t="s">
        <v>1677</v>
      </c>
      <c r="J6" s="3364"/>
      <c r="K6" s="537" t="s">
        <v>1678</v>
      </c>
      <c r="L6" s="2487"/>
      <c r="M6" s="2488"/>
      <c r="N6" s="2488"/>
      <c r="O6" s="2488"/>
      <c r="P6" s="3434"/>
      <c r="Q6" s="3381"/>
      <c r="R6" s="3357"/>
      <c r="S6" s="3358"/>
      <c r="T6" s="3382"/>
      <c r="U6" s="3383"/>
      <c r="V6" s="3385"/>
      <c r="W6" s="3385"/>
      <c r="X6" s="1265"/>
      <c r="Y6" s="3382"/>
      <c r="Z6" s="3383"/>
      <c r="AA6" s="3352"/>
      <c r="AB6" s="3352"/>
      <c r="AC6" s="3352"/>
    </row>
    <row r="7" spans="1:29" s="102" customFormat="1" ht="15.75" thickBot="1">
      <c r="A7" s="352" t="s">
        <v>1679</v>
      </c>
      <c r="B7" s="353"/>
      <c r="C7" s="354">
        <f>'数据-取费表'!B2</f>
        <v>45693</v>
      </c>
      <c r="D7" s="355">
        <v>100</v>
      </c>
      <c r="E7" s="356"/>
      <c r="F7" s="357">
        <f>SUMIF(48:48,YEAR(E7)&amp;"-"&amp;MONTH(E7),49:49)</f>
        <v>0</v>
      </c>
      <c r="G7" s="356"/>
      <c r="H7" s="355">
        <f>SUMIF(48:48,YEAR(G7)&amp;"-"&amp;MONTH(G7),49:49)</f>
        <v>0</v>
      </c>
      <c r="I7" s="356"/>
      <c r="J7" s="355">
        <f>SUMIF(48:48,YEAR(I7)&amp;"-"&amp;MONTH(I7),49:49)</f>
        <v>0</v>
      </c>
      <c r="K7" s="38"/>
      <c r="L7" s="2489"/>
      <c r="M7" s="2440"/>
      <c r="N7" s="2440"/>
      <c r="O7" s="2440"/>
      <c r="P7" s="3353" t="s">
        <v>1680</v>
      </c>
      <c r="Q7" s="3387"/>
      <c r="R7" s="664" t="s">
        <v>14</v>
      </c>
      <c r="S7" s="665">
        <f t="shared" ref="S7:S14" si="0">F7</f>
        <v>0</v>
      </c>
      <c r="T7" s="664" t="s">
        <v>14</v>
      </c>
      <c r="U7" s="665">
        <f t="shared" ref="U7:U14" si="1">H7</f>
        <v>0</v>
      </c>
      <c r="V7" s="664" t="s">
        <v>14</v>
      </c>
      <c r="W7" s="665">
        <f t="shared" ref="W7:W14" si="2">J7</f>
        <v>0</v>
      </c>
      <c r="X7" s="666"/>
      <c r="Y7" s="3353" t="s">
        <v>1680</v>
      </c>
      <c r="Z7" s="335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53" t="s">
        <v>1683</v>
      </c>
      <c r="Q8" s="3354"/>
      <c r="R8" s="664" t="s">
        <v>14</v>
      </c>
      <c r="S8" s="665">
        <f t="shared" si="0"/>
        <v>100</v>
      </c>
      <c r="T8" s="664" t="s">
        <v>14</v>
      </c>
      <c r="U8" s="665">
        <f t="shared" si="1"/>
        <v>100</v>
      </c>
      <c r="V8" s="664" t="s">
        <v>14</v>
      </c>
      <c r="W8" s="665">
        <f t="shared" si="2"/>
        <v>100</v>
      </c>
      <c r="X8" s="666"/>
      <c r="Y8" s="3353" t="s">
        <v>1683</v>
      </c>
      <c r="Z8" s="335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7" t="s">
        <v>1686</v>
      </c>
      <c r="Q9" s="530" t="str">
        <f t="shared" ref="Q9:Q14" si="6">B9</f>
        <v>用途</v>
      </c>
      <c r="R9" s="664" t="s">
        <v>14</v>
      </c>
      <c r="S9" s="665">
        <f t="shared" si="0"/>
        <v>100</v>
      </c>
      <c r="T9" s="664" t="s">
        <v>14</v>
      </c>
      <c r="U9" s="665">
        <f t="shared" si="1"/>
        <v>100</v>
      </c>
      <c r="V9" s="664" t="s">
        <v>14</v>
      </c>
      <c r="W9" s="665">
        <f t="shared" si="2"/>
        <v>100</v>
      </c>
      <c r="X9" s="666"/>
      <c r="Y9" s="332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7"/>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7"/>
      <c r="Q11" s="530">
        <f t="shared" si="6"/>
        <v>111</v>
      </c>
      <c r="R11" s="664" t="s">
        <v>14</v>
      </c>
      <c r="S11" s="665">
        <f t="shared" si="0"/>
        <v>100</v>
      </c>
      <c r="T11" s="664" t="s">
        <v>14</v>
      </c>
      <c r="U11" s="665">
        <f t="shared" si="1"/>
        <v>100</v>
      </c>
      <c r="V11" s="664" t="s">
        <v>14</v>
      </c>
      <c r="W11" s="665">
        <f t="shared" si="2"/>
        <v>100</v>
      </c>
      <c r="X11" s="666"/>
      <c r="Y11" s="332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7"/>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7"/>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0" t="s">
        <v>1691</v>
      </c>
      <c r="Q14" s="1263" t="str">
        <f t="shared" si="6"/>
        <v>交通便捷度</v>
      </c>
      <c r="R14" s="667" t="s">
        <v>14</v>
      </c>
      <c r="S14" s="668">
        <f t="shared" si="0"/>
        <v>100</v>
      </c>
      <c r="T14" s="667" t="s">
        <v>14</v>
      </c>
      <c r="U14" s="668">
        <f t="shared" si="1"/>
        <v>100</v>
      </c>
      <c r="V14" s="667" t="s">
        <v>14</v>
      </c>
      <c r="W14" s="668">
        <f t="shared" si="2"/>
        <v>100</v>
      </c>
      <c r="X14" s="1265"/>
      <c r="Y14" s="339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1"/>
      <c r="Q15" s="1263"/>
      <c r="R15" s="667"/>
      <c r="S15" s="668"/>
      <c r="T15" s="667"/>
      <c r="U15" s="668"/>
      <c r="V15" s="667"/>
      <c r="W15" s="668"/>
      <c r="X15" s="1265"/>
      <c r="Y15" s="3391"/>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1"/>
      <c r="Q16" s="1263" t="str">
        <f>B16</f>
        <v>公共配套设施</v>
      </c>
      <c r="R16" s="667" t="s">
        <v>14</v>
      </c>
      <c r="S16" s="668">
        <f>F16</f>
        <v>100</v>
      </c>
      <c r="T16" s="667" t="s">
        <v>14</v>
      </c>
      <c r="U16" s="668">
        <f>H16</f>
        <v>100</v>
      </c>
      <c r="V16" s="667" t="s">
        <v>14</v>
      </c>
      <c r="W16" s="668">
        <f>J16</f>
        <v>100</v>
      </c>
      <c r="X16" s="1265"/>
      <c r="Y16" s="339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1"/>
      <c r="Q17" s="1263"/>
      <c r="R17" s="667"/>
      <c r="S17" s="668"/>
      <c r="T17" s="667"/>
      <c r="U17" s="668"/>
      <c r="V17" s="667"/>
      <c r="W17" s="668"/>
      <c r="X17" s="1265"/>
      <c r="Y17" s="3391"/>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1"/>
      <c r="Q18" s="1263" t="str">
        <f>B18</f>
        <v>基础设施水平</v>
      </c>
      <c r="R18" s="667" t="s">
        <v>14</v>
      </c>
      <c r="S18" s="668">
        <f>F18</f>
        <v>100</v>
      </c>
      <c r="T18" s="667" t="s">
        <v>14</v>
      </c>
      <c r="U18" s="668">
        <f>H18</f>
        <v>100</v>
      </c>
      <c r="V18" s="667" t="s">
        <v>14</v>
      </c>
      <c r="W18" s="668">
        <f>J18</f>
        <v>100</v>
      </c>
      <c r="X18" s="1265"/>
      <c r="Y18" s="339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1"/>
      <c r="Q19" s="1263"/>
      <c r="R19" s="667"/>
      <c r="S19" s="668"/>
      <c r="T19" s="667"/>
      <c r="U19" s="668"/>
      <c r="V19" s="667"/>
      <c r="W19" s="668"/>
      <c r="X19" s="1265"/>
      <c r="Y19" s="3391"/>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1"/>
      <c r="Q20" s="1263" t="str">
        <f>B20</f>
        <v>自然及人文环境</v>
      </c>
      <c r="R20" s="667" t="s">
        <v>14</v>
      </c>
      <c r="S20" s="668">
        <f>F20</f>
        <v>100</v>
      </c>
      <c r="T20" s="667" t="s">
        <v>14</v>
      </c>
      <c r="U20" s="668">
        <f>H20</f>
        <v>100</v>
      </c>
      <c r="V20" s="667" t="s">
        <v>14</v>
      </c>
      <c r="W20" s="668">
        <f>J20</f>
        <v>100</v>
      </c>
      <c r="X20" s="1265"/>
      <c r="Y20" s="339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1"/>
      <c r="Q21" s="1263"/>
      <c r="R21" s="667"/>
      <c r="S21" s="668"/>
      <c r="T21" s="667"/>
      <c r="U21" s="668"/>
      <c r="V21" s="667"/>
      <c r="W21" s="668"/>
      <c r="X21" s="1265"/>
      <c r="Y21" s="339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1"/>
      <c r="Q22" s="1263" t="str">
        <f>B22</f>
        <v>楼层</v>
      </c>
      <c r="R22" s="667" t="s">
        <v>14</v>
      </c>
      <c r="S22" s="668">
        <f>F22</f>
        <v>100</v>
      </c>
      <c r="T22" s="667" t="s">
        <v>14</v>
      </c>
      <c r="U22" s="668">
        <f>H22</f>
        <v>100</v>
      </c>
      <c r="V22" s="667" t="s">
        <v>14</v>
      </c>
      <c r="W22" s="668">
        <f>J22</f>
        <v>100</v>
      </c>
      <c r="X22" s="1265"/>
      <c r="Y22" s="339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1"/>
      <c r="Q23" s="1263">
        <f>B23</f>
        <v>111</v>
      </c>
      <c r="R23" s="667" t="s">
        <v>14</v>
      </c>
      <c r="S23" s="668">
        <f>F23</f>
        <v>100</v>
      </c>
      <c r="T23" s="667" t="s">
        <v>14</v>
      </c>
      <c r="U23" s="668">
        <f>H23</f>
        <v>100</v>
      </c>
      <c r="V23" s="667" t="s">
        <v>14</v>
      </c>
      <c r="W23" s="668">
        <f>J23</f>
        <v>100</v>
      </c>
      <c r="X23" s="1265"/>
      <c r="Y23" s="339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1"/>
      <c r="Q24" s="1263">
        <f t="shared" ref="Q24:Q36" si="11">B24</f>
        <v>111</v>
      </c>
      <c r="R24" s="667" t="s">
        <v>14</v>
      </c>
      <c r="S24" s="668">
        <f>F24</f>
        <v>100</v>
      </c>
      <c r="T24" s="667" t="s">
        <v>14</v>
      </c>
      <c r="U24" s="668">
        <f>H24</f>
        <v>100</v>
      </c>
      <c r="V24" s="667" t="s">
        <v>14</v>
      </c>
      <c r="W24" s="668">
        <f>J24</f>
        <v>100</v>
      </c>
      <c r="X24" s="1265"/>
      <c r="Y24" s="339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1"/>
      <c r="Q25" s="530">
        <f t="shared" si="11"/>
        <v>111</v>
      </c>
      <c r="R25" s="664" t="s">
        <v>14</v>
      </c>
      <c r="S25" s="665">
        <f>F25</f>
        <v>100</v>
      </c>
      <c r="T25" s="664" t="s">
        <v>14</v>
      </c>
      <c r="U25" s="665">
        <f>H25</f>
        <v>100</v>
      </c>
      <c r="V25" s="664" t="s">
        <v>14</v>
      </c>
      <c r="W25" s="665">
        <f>J25</f>
        <v>100</v>
      </c>
      <c r="X25" s="666"/>
      <c r="Y25" s="339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8"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9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95"/>
      <c r="Q27" s="531" t="str">
        <f t="shared" si="11"/>
        <v>项目停车位配比</v>
      </c>
      <c r="R27" s="669" t="s">
        <v>14</v>
      </c>
      <c r="S27" s="670">
        <f t="shared" si="12"/>
        <v>100</v>
      </c>
      <c r="T27" s="669" t="s">
        <v>14</v>
      </c>
      <c r="U27" s="670">
        <f t="shared" si="13"/>
        <v>100</v>
      </c>
      <c r="V27" s="669" t="s">
        <v>14</v>
      </c>
      <c r="W27" s="670">
        <f t="shared" si="14"/>
        <v>100</v>
      </c>
      <c r="X27" s="671"/>
      <c r="Y27" s="339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95"/>
      <c r="Q28" s="1263" t="str">
        <f t="shared" si="11"/>
        <v>公共部分装修</v>
      </c>
      <c r="R28" s="667" t="s">
        <v>14</v>
      </c>
      <c r="S28" s="668">
        <f t="shared" si="12"/>
        <v>100</v>
      </c>
      <c r="T28" s="667" t="s">
        <v>14</v>
      </c>
      <c r="U28" s="668">
        <f t="shared" si="13"/>
        <v>100</v>
      </c>
      <c r="V28" s="667" t="s">
        <v>14</v>
      </c>
      <c r="W28" s="668">
        <f t="shared" si="14"/>
        <v>100</v>
      </c>
      <c r="X28" s="1265"/>
      <c r="Y28" s="339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95"/>
      <c r="Q29" s="1263" t="str">
        <f t="shared" si="11"/>
        <v>成新率</v>
      </c>
      <c r="R29" s="667" t="s">
        <v>14</v>
      </c>
      <c r="S29" s="668" t="e">
        <f t="shared" si="12"/>
        <v>#N/A</v>
      </c>
      <c r="T29" s="667" t="s">
        <v>14</v>
      </c>
      <c r="U29" s="668" t="e">
        <f t="shared" si="13"/>
        <v>#N/A</v>
      </c>
      <c r="V29" s="667" t="s">
        <v>14</v>
      </c>
      <c r="W29" s="668" t="e">
        <f t="shared" si="14"/>
        <v>#N/A</v>
      </c>
      <c r="X29" s="1265"/>
      <c r="Y29" s="339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95"/>
      <c r="Q30" s="1263" t="str">
        <f t="shared" si="11"/>
        <v>物业等级</v>
      </c>
      <c r="R30" s="667" t="s">
        <v>14</v>
      </c>
      <c r="S30" s="668">
        <f t="shared" si="12"/>
        <v>100</v>
      </c>
      <c r="T30" s="667" t="s">
        <v>14</v>
      </c>
      <c r="U30" s="668">
        <f t="shared" si="13"/>
        <v>100</v>
      </c>
      <c r="V30" s="667" t="s">
        <v>14</v>
      </c>
      <c r="W30" s="668">
        <f t="shared" si="14"/>
        <v>100</v>
      </c>
      <c r="X30" s="1265"/>
      <c r="Y30" s="339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95"/>
      <c r="Q31" s="530" t="str">
        <f t="shared" si="11"/>
        <v>停车位面积</v>
      </c>
      <c r="R31" s="664" t="s">
        <v>14</v>
      </c>
      <c r="S31" s="665" t="e">
        <f t="shared" si="12"/>
        <v>#N/A</v>
      </c>
      <c r="T31" s="664" t="s">
        <v>14</v>
      </c>
      <c r="U31" s="665" t="e">
        <f t="shared" si="13"/>
        <v>#N/A</v>
      </c>
      <c r="V31" s="664" t="s">
        <v>14</v>
      </c>
      <c r="W31" s="665" t="e">
        <f t="shared" si="14"/>
        <v>#N/A</v>
      </c>
      <c r="X31" s="666"/>
      <c r="Y31" s="339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95" t="s">
        <v>1696</v>
      </c>
      <c r="Q32" s="1263" t="str">
        <f t="shared" si="11"/>
        <v>车位类型</v>
      </c>
      <c r="R32" s="667" t="s">
        <v>14</v>
      </c>
      <c r="S32" s="668">
        <f t="shared" si="12"/>
        <v>100</v>
      </c>
      <c r="T32" s="667" t="s">
        <v>14</v>
      </c>
      <c r="U32" s="668">
        <f t="shared" si="13"/>
        <v>100</v>
      </c>
      <c r="V32" s="667" t="s">
        <v>14</v>
      </c>
      <c r="W32" s="668">
        <f t="shared" si="14"/>
        <v>100</v>
      </c>
      <c r="X32" s="1265"/>
      <c r="Y32" s="339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95"/>
      <c r="Q33" s="1263" t="str">
        <f t="shared" si="11"/>
        <v>是否直接入户</v>
      </c>
      <c r="R33" s="667" t="s">
        <v>14</v>
      </c>
      <c r="S33" s="668">
        <f t="shared" si="12"/>
        <v>100</v>
      </c>
      <c r="T33" s="667" t="s">
        <v>14</v>
      </c>
      <c r="U33" s="668">
        <f t="shared" si="13"/>
        <v>100</v>
      </c>
      <c r="V33" s="667" t="s">
        <v>14</v>
      </c>
      <c r="W33" s="668">
        <f t="shared" si="14"/>
        <v>100</v>
      </c>
      <c r="X33" s="1265"/>
      <c r="Y33" s="339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95"/>
      <c r="Q35" s="531">
        <f t="shared" si="11"/>
        <v>111</v>
      </c>
      <c r="R35" s="669" t="s">
        <v>14</v>
      </c>
      <c r="S35" s="670">
        <f t="shared" si="12"/>
        <v>100</v>
      </c>
      <c r="T35" s="669" t="s">
        <v>14</v>
      </c>
      <c r="U35" s="670">
        <f t="shared" si="13"/>
        <v>100</v>
      </c>
      <c r="V35" s="669" t="s">
        <v>14</v>
      </c>
      <c r="W35" s="670">
        <f t="shared" si="14"/>
        <v>100</v>
      </c>
      <c r="X35" s="671"/>
      <c r="Y35" s="339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95"/>
      <c r="Q36" s="1263">
        <f t="shared" si="11"/>
        <v>111</v>
      </c>
      <c r="R36" s="667" t="s">
        <v>14</v>
      </c>
      <c r="S36" s="668">
        <f t="shared" si="12"/>
        <v>100</v>
      </c>
      <c r="T36" s="667" t="s">
        <v>14</v>
      </c>
      <c r="U36" s="668">
        <f t="shared" si="13"/>
        <v>100</v>
      </c>
      <c r="V36" s="667" t="s">
        <v>14</v>
      </c>
      <c r="W36" s="668">
        <f t="shared" si="14"/>
        <v>100</v>
      </c>
      <c r="X36" s="1265"/>
      <c r="Y36" s="3395"/>
      <c r="Z36" s="1264">
        <f t="shared" si="15"/>
        <v>111</v>
      </c>
      <c r="AA36" s="1264">
        <f t="shared" si="3"/>
        <v>1</v>
      </c>
      <c r="AB36" s="1264">
        <f t="shared" si="4"/>
        <v>1</v>
      </c>
      <c r="AC36" s="1264">
        <f t="shared" si="5"/>
        <v>1</v>
      </c>
    </row>
    <row r="37" spans="1:29" ht="15">
      <c r="A37" s="416" t="s">
        <v>1844</v>
      </c>
      <c r="B37" s="1821" t="s">
        <v>3344</v>
      </c>
      <c r="C37" s="1081" t="s">
        <v>0</v>
      </c>
      <c r="D37" s="418"/>
      <c r="E37" s="419"/>
      <c r="F37" s="420"/>
      <c r="G37" s="421"/>
      <c r="H37" s="422"/>
      <c r="I37" s="419"/>
      <c r="J37" s="422"/>
      <c r="K37" s="545"/>
      <c r="L37" s="2495"/>
      <c r="M37" s="2488"/>
      <c r="N37" s="2488"/>
      <c r="O37" s="2488"/>
      <c r="P37" s="3397" t="str">
        <f>A37</f>
        <v>成交单价</v>
      </c>
      <c r="Q37" s="3397"/>
      <c r="R37" s="3385">
        <f>E37</f>
        <v>0</v>
      </c>
      <c r="S37" s="3385"/>
      <c r="T37" s="3385">
        <f>G37</f>
        <v>0</v>
      </c>
      <c r="U37" s="3385"/>
      <c r="V37" s="3385">
        <f>I37</f>
        <v>0</v>
      </c>
      <c r="W37" s="338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7" t="str">
        <f>A38</f>
        <v>比较价值（元/平方米）</v>
      </c>
      <c r="Q38" s="3397"/>
      <c r="R38" s="3385" t="e">
        <f>IF(F1="售价",ROUND(PRODUCT(R37,AA7:AA36),0),ROUND(PRODUCT(R37,AA7:AA36),1))</f>
        <v>#DIV/0!</v>
      </c>
      <c r="S38" s="3385"/>
      <c r="T38" s="3385" t="e">
        <f>IF(F1="售价",ROUND(PRODUCT(T37,AB7:AB36),0),ROUND(PRODUCT(T37,AB7:AB36),1))</f>
        <v>#DIV/0!</v>
      </c>
      <c r="U38" s="3385"/>
      <c r="V38" s="3385" t="e">
        <f>IF(F1="售价",ROUND(PRODUCT(V37,AC7:AC36),0),ROUND(PRODUCT(V37,AC7:AC36),1))</f>
        <v>#DIV/0!</v>
      </c>
      <c r="W38" s="338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35" t="str">
        <f>A39</f>
        <v>估价对象XX用房的比较价值（楼面单价，元/平方米）</v>
      </c>
      <c r="Q39" s="3436"/>
      <c r="R39" s="3439" t="e">
        <f>IF(F1="售价",ROUND(IF(D38="简单平均",AVERAGE(R38:W38),R38*F38+T38*H38+V38*J38),0),ROUND(IF(D38="简单平均",AVERAGE(R38:V38),R38*F38+T38*H38+V38*J38),1))</f>
        <v>#DIV/0!</v>
      </c>
      <c r="S39" s="3439"/>
      <c r="T39" s="3439"/>
      <c r="U39" s="3439"/>
      <c r="V39" s="3439"/>
      <c r="W39" s="3439"/>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7" priority="13" stopIfTrue="1">
      <formula>$F$42="超过30%"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F7:F36 H7:H36 J7:J36">
    <cfRule type="cellIs" dxfId="74" priority="1" operator="notEqual">
      <formula>100</formula>
    </cfRule>
  </conditionalFormatting>
  <conditionalFormatting sqref="F38">
    <cfRule type="expression" dxfId="73" priority="4">
      <formula>$D$38="简单平均"</formula>
    </cfRule>
  </conditionalFormatting>
  <conditionalFormatting sqref="F42:F44 H42:H44 J42:J44">
    <cfRule type="containsText" dxfId="72" priority="14" stopIfTrue="1" operator="containsText" text="超过">
      <formula>NOT(ISERROR(SEARCH("超过",F42)))</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G44">
    <cfRule type="expression" dxfId="69" priority="12" stopIfTrue="1">
      <formula>$H$54+$H$44="超过30%"</formula>
    </cfRule>
  </conditionalFormatting>
  <conditionalFormatting sqref="H38">
    <cfRule type="expression" dxfId="68" priority="3">
      <formula>$D$38="简单平均"</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J38">
    <cfRule type="expression" dxfId="64"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估价对象为北京市房地产，为所有。根据《国有土地使用证》[]，估价对象（分摊）出让国有建设用地使用权面积为0平方米，建筑面积为606.78平方米。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估价对象为北京市房地产,属开发建设的，该项目尚在开发建设中。根据《国有土地使用证》[]，估价对象（分摊）出让国有建设用地使用权面积为0平方米，规划建筑面积为606.78平方米。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2025年2月5日（评估专业人员实地查勘之日）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2" t="s">
        <v>1770</v>
      </c>
      <c r="D4" s="3373"/>
      <c r="E4" s="3374" t="s">
        <v>1771</v>
      </c>
      <c r="F4" s="3375"/>
      <c r="G4" s="3372" t="s">
        <v>1772</v>
      </c>
      <c r="H4" s="3373"/>
      <c r="I4" s="3372" t="s">
        <v>1773</v>
      </c>
      <c r="J4" s="3373"/>
      <c r="K4" s="537" t="s">
        <v>1774</v>
      </c>
      <c r="L4" s="2487"/>
      <c r="M4" s="2488"/>
      <c r="N4" s="2488"/>
      <c r="O4" s="2488"/>
      <c r="P4" s="3431" t="s">
        <v>1775</v>
      </c>
      <c r="Q4" s="3432"/>
      <c r="R4" s="3428" t="s">
        <v>1771</v>
      </c>
      <c r="S4" s="3429"/>
      <c r="T4" s="3428" t="s">
        <v>1772</v>
      </c>
      <c r="U4" s="3429"/>
      <c r="V4" s="3385" t="s">
        <v>1773</v>
      </c>
      <c r="W4" s="3385"/>
      <c r="X4" s="1265"/>
      <c r="Y4" s="3428" t="s">
        <v>1775</v>
      </c>
      <c r="Z4" s="3429"/>
      <c r="AA4" s="3427" t="s">
        <v>1771</v>
      </c>
      <c r="AB4" s="3351" t="s">
        <v>1772</v>
      </c>
      <c r="AC4" s="3427" t="s">
        <v>1773</v>
      </c>
    </row>
    <row r="5" spans="1:29" ht="15">
      <c r="A5" s="348"/>
      <c r="B5" s="349"/>
      <c r="C5" s="3361" t="s">
        <v>1673</v>
      </c>
      <c r="D5" s="3362"/>
      <c r="E5" s="3430" t="s">
        <v>1674</v>
      </c>
      <c r="F5" s="3360"/>
      <c r="G5" s="3361" t="s">
        <v>1675</v>
      </c>
      <c r="H5" s="3362"/>
      <c r="I5" s="3361" t="s">
        <v>1676</v>
      </c>
      <c r="J5" s="3362"/>
      <c r="K5" s="537"/>
      <c r="L5" s="2487"/>
      <c r="M5" s="2488"/>
      <c r="N5" s="2488"/>
      <c r="O5" s="2488"/>
      <c r="P5" s="3433"/>
      <c r="Q5" s="3379"/>
      <c r="R5" s="3357"/>
      <c r="S5" s="3358"/>
      <c r="T5" s="3357"/>
      <c r="U5" s="3358"/>
      <c r="V5" s="3385"/>
      <c r="W5" s="3385"/>
      <c r="X5" s="1265"/>
      <c r="Y5" s="3357"/>
      <c r="Z5" s="3358"/>
      <c r="AA5" s="3351"/>
      <c r="AB5" s="3351"/>
      <c r="AC5" s="3351"/>
    </row>
    <row r="6" spans="1:29" ht="15.75" thickBot="1">
      <c r="A6" s="350"/>
      <c r="B6" s="351"/>
      <c r="C6" s="3363" t="s">
        <v>1677</v>
      </c>
      <c r="D6" s="3364"/>
      <c r="E6" s="3366" t="s">
        <v>1677</v>
      </c>
      <c r="F6" s="3367"/>
      <c r="G6" s="3363" t="s">
        <v>1677</v>
      </c>
      <c r="H6" s="3364"/>
      <c r="I6" s="3363" t="s">
        <v>1677</v>
      </c>
      <c r="J6" s="3364"/>
      <c r="K6" s="537" t="s">
        <v>1678</v>
      </c>
      <c r="L6" s="2487"/>
      <c r="M6" s="2488"/>
      <c r="N6" s="2488"/>
      <c r="O6" s="2488"/>
      <c r="P6" s="3434"/>
      <c r="Q6" s="3381"/>
      <c r="R6" s="3357"/>
      <c r="S6" s="3358"/>
      <c r="T6" s="3382"/>
      <c r="U6" s="3383"/>
      <c r="V6" s="3385"/>
      <c r="W6" s="3385"/>
      <c r="X6" s="1265"/>
      <c r="Y6" s="3382"/>
      <c r="Z6" s="3383"/>
      <c r="AA6" s="3352"/>
      <c r="AB6" s="3352"/>
      <c r="AC6" s="3352"/>
    </row>
    <row r="7" spans="1:29" s="102" customFormat="1" ht="15.75" thickBot="1">
      <c r="A7" s="352" t="s">
        <v>1679</v>
      </c>
      <c r="B7" s="353"/>
      <c r="C7" s="354">
        <f>'数据-取费表'!B2</f>
        <v>45693</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53" t="s">
        <v>1680</v>
      </c>
      <c r="Q7" s="3387"/>
      <c r="R7" s="664" t="s">
        <v>14</v>
      </c>
      <c r="S7" s="665">
        <f t="shared" ref="S7:S14" si="0">F7</f>
        <v>0</v>
      </c>
      <c r="T7" s="664" t="s">
        <v>14</v>
      </c>
      <c r="U7" s="665">
        <f t="shared" ref="U7:U14" si="1">H7</f>
        <v>0</v>
      </c>
      <c r="V7" s="664" t="s">
        <v>14</v>
      </c>
      <c r="W7" s="665">
        <f t="shared" ref="W7:W14" si="2">J7</f>
        <v>0</v>
      </c>
      <c r="X7" s="666"/>
      <c r="Y7" s="3353" t="s">
        <v>1680</v>
      </c>
      <c r="Z7" s="335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53" t="s">
        <v>1683</v>
      </c>
      <c r="Q8" s="3354"/>
      <c r="R8" s="664" t="s">
        <v>14</v>
      </c>
      <c r="S8" s="665">
        <f t="shared" si="0"/>
        <v>100</v>
      </c>
      <c r="T8" s="664" t="s">
        <v>14</v>
      </c>
      <c r="U8" s="665">
        <f t="shared" si="1"/>
        <v>100</v>
      </c>
      <c r="V8" s="664" t="s">
        <v>14</v>
      </c>
      <c r="W8" s="665">
        <f t="shared" si="2"/>
        <v>100</v>
      </c>
      <c r="X8" s="666"/>
      <c r="Y8" s="3353" t="s">
        <v>1683</v>
      </c>
      <c r="Z8" s="335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7" t="s">
        <v>1686</v>
      </c>
      <c r="Q9" s="530" t="str">
        <f t="shared" ref="Q9:Q14" si="6">B9</f>
        <v>用途</v>
      </c>
      <c r="R9" s="664" t="s">
        <v>14</v>
      </c>
      <c r="S9" s="665">
        <f t="shared" si="0"/>
        <v>100</v>
      </c>
      <c r="T9" s="664" t="s">
        <v>14</v>
      </c>
      <c r="U9" s="665">
        <f t="shared" si="1"/>
        <v>100</v>
      </c>
      <c r="V9" s="664" t="s">
        <v>14</v>
      </c>
      <c r="W9" s="665">
        <f t="shared" si="2"/>
        <v>100</v>
      </c>
      <c r="X9" s="666"/>
      <c r="Y9" s="332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7"/>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7"/>
      <c r="Q11" s="530">
        <f t="shared" si="6"/>
        <v>111</v>
      </c>
      <c r="R11" s="664" t="s">
        <v>14</v>
      </c>
      <c r="S11" s="665">
        <f t="shared" si="0"/>
        <v>100</v>
      </c>
      <c r="T11" s="664" t="s">
        <v>14</v>
      </c>
      <c r="U11" s="665">
        <f t="shared" si="1"/>
        <v>100</v>
      </c>
      <c r="V11" s="664" t="s">
        <v>14</v>
      </c>
      <c r="W11" s="665">
        <f t="shared" si="2"/>
        <v>100</v>
      </c>
      <c r="X11" s="666"/>
      <c r="Y11" s="332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7"/>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7"/>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0" t="s">
        <v>1691</v>
      </c>
      <c r="Q14" s="1263" t="str">
        <f t="shared" si="6"/>
        <v>交通便捷度</v>
      </c>
      <c r="R14" s="667" t="s">
        <v>14</v>
      </c>
      <c r="S14" s="668">
        <f t="shared" si="0"/>
        <v>100</v>
      </c>
      <c r="T14" s="667" t="s">
        <v>14</v>
      </c>
      <c r="U14" s="668">
        <f t="shared" si="1"/>
        <v>100</v>
      </c>
      <c r="V14" s="667" t="s">
        <v>14</v>
      </c>
      <c r="W14" s="668">
        <f t="shared" si="2"/>
        <v>100</v>
      </c>
      <c r="X14" s="1265"/>
      <c r="Y14" s="339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1"/>
      <c r="Q15" s="1263"/>
      <c r="R15" s="667"/>
      <c r="S15" s="668"/>
      <c r="T15" s="667"/>
      <c r="U15" s="668"/>
      <c r="V15" s="667"/>
      <c r="W15" s="668"/>
      <c r="X15" s="1265"/>
      <c r="Y15" s="3391"/>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1"/>
      <c r="Q16" s="1263" t="str">
        <f>B16</f>
        <v>公共配套设施</v>
      </c>
      <c r="R16" s="667" t="s">
        <v>14</v>
      </c>
      <c r="S16" s="668">
        <f>F16</f>
        <v>100</v>
      </c>
      <c r="T16" s="667" t="s">
        <v>14</v>
      </c>
      <c r="U16" s="668">
        <f>H16</f>
        <v>100</v>
      </c>
      <c r="V16" s="667" t="s">
        <v>14</v>
      </c>
      <c r="W16" s="668">
        <f>J16</f>
        <v>100</v>
      </c>
      <c r="X16" s="1265"/>
      <c r="Y16" s="339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1"/>
      <c r="Q17" s="1263"/>
      <c r="R17" s="667"/>
      <c r="S17" s="668"/>
      <c r="T17" s="667"/>
      <c r="U17" s="668"/>
      <c r="V17" s="667"/>
      <c r="W17" s="668"/>
      <c r="X17" s="1265"/>
      <c r="Y17" s="3391"/>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1"/>
      <c r="Q18" s="1263" t="str">
        <f>B18</f>
        <v>基础设施水平</v>
      </c>
      <c r="R18" s="667" t="s">
        <v>14</v>
      </c>
      <c r="S18" s="668">
        <f>F18</f>
        <v>100</v>
      </c>
      <c r="T18" s="667" t="s">
        <v>14</v>
      </c>
      <c r="U18" s="668">
        <f>H18</f>
        <v>100</v>
      </c>
      <c r="V18" s="667" t="s">
        <v>14</v>
      </c>
      <c r="W18" s="668">
        <f>J18</f>
        <v>100</v>
      </c>
      <c r="X18" s="1265"/>
      <c r="Y18" s="339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1"/>
      <c r="Q19" s="1263"/>
      <c r="R19" s="667"/>
      <c r="S19" s="668"/>
      <c r="T19" s="667"/>
      <c r="U19" s="668"/>
      <c r="V19" s="667"/>
      <c r="W19" s="668"/>
      <c r="X19" s="1265"/>
      <c r="Y19" s="3391"/>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1"/>
      <c r="Q20" s="1263" t="str">
        <f>B20</f>
        <v>自然及人文环境</v>
      </c>
      <c r="R20" s="667" t="s">
        <v>14</v>
      </c>
      <c r="S20" s="668">
        <f>F20</f>
        <v>100</v>
      </c>
      <c r="T20" s="667" t="s">
        <v>14</v>
      </c>
      <c r="U20" s="668">
        <f>H20</f>
        <v>100</v>
      </c>
      <c r="V20" s="667" t="s">
        <v>14</v>
      </c>
      <c r="W20" s="668">
        <f>J20</f>
        <v>100</v>
      </c>
      <c r="X20" s="1265"/>
      <c r="Y20" s="339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1"/>
      <c r="Q21" s="1263"/>
      <c r="R21" s="667"/>
      <c r="S21" s="668"/>
      <c r="T21" s="667"/>
      <c r="U21" s="668"/>
      <c r="V21" s="667"/>
      <c r="W21" s="668"/>
      <c r="X21" s="1265"/>
      <c r="Y21" s="339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1"/>
      <c r="Q22" s="1263" t="str">
        <f>B22</f>
        <v>楼层</v>
      </c>
      <c r="R22" s="667" t="s">
        <v>14</v>
      </c>
      <c r="S22" s="668">
        <f>F22</f>
        <v>100</v>
      </c>
      <c r="T22" s="667" t="s">
        <v>14</v>
      </c>
      <c r="U22" s="668">
        <f>H22</f>
        <v>100</v>
      </c>
      <c r="V22" s="667" t="s">
        <v>14</v>
      </c>
      <c r="W22" s="668">
        <f>J22</f>
        <v>100</v>
      </c>
      <c r="X22" s="1265"/>
      <c r="Y22" s="339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1"/>
      <c r="Q23" s="1263">
        <f>B23</f>
        <v>111</v>
      </c>
      <c r="R23" s="667" t="s">
        <v>14</v>
      </c>
      <c r="S23" s="668">
        <f>F23</f>
        <v>100</v>
      </c>
      <c r="T23" s="667" t="s">
        <v>14</v>
      </c>
      <c r="U23" s="668">
        <f>H23</f>
        <v>100</v>
      </c>
      <c r="V23" s="667" t="s">
        <v>14</v>
      </c>
      <c r="W23" s="668">
        <f>J23</f>
        <v>100</v>
      </c>
      <c r="X23" s="1265"/>
      <c r="Y23" s="339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1"/>
      <c r="Q24" s="1263">
        <f t="shared" ref="Q24:Q34" si="11">B24</f>
        <v>111</v>
      </c>
      <c r="R24" s="667" t="s">
        <v>14</v>
      </c>
      <c r="S24" s="668">
        <f>F24</f>
        <v>100</v>
      </c>
      <c r="T24" s="667" t="s">
        <v>14</v>
      </c>
      <c r="U24" s="668">
        <f>H24</f>
        <v>100</v>
      </c>
      <c r="V24" s="667" t="s">
        <v>14</v>
      </c>
      <c r="W24" s="668">
        <f>J24</f>
        <v>100</v>
      </c>
      <c r="X24" s="1265"/>
      <c r="Y24" s="339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1"/>
      <c r="Q25" s="530">
        <f t="shared" si="11"/>
        <v>111</v>
      </c>
      <c r="R25" s="664" t="s">
        <v>14</v>
      </c>
      <c r="S25" s="665">
        <f>F25</f>
        <v>100</v>
      </c>
      <c r="T25" s="664" t="s">
        <v>14</v>
      </c>
      <c r="U25" s="665">
        <f>H25</f>
        <v>100</v>
      </c>
      <c r="V25" s="664" t="s">
        <v>14</v>
      </c>
      <c r="W25" s="665">
        <f>J25</f>
        <v>100</v>
      </c>
      <c r="X25" s="666"/>
      <c r="Y25" s="339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8"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9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95"/>
      <c r="Q27" s="531" t="str">
        <f t="shared" si="11"/>
        <v>成新率</v>
      </c>
      <c r="R27" s="669" t="s">
        <v>14</v>
      </c>
      <c r="S27" s="670" t="e">
        <f t="shared" si="12"/>
        <v>#N/A</v>
      </c>
      <c r="T27" s="669" t="s">
        <v>14</v>
      </c>
      <c r="U27" s="670" t="e">
        <f t="shared" si="13"/>
        <v>#N/A</v>
      </c>
      <c r="V27" s="669" t="s">
        <v>14</v>
      </c>
      <c r="W27" s="670" t="e">
        <f t="shared" si="14"/>
        <v>#N/A</v>
      </c>
      <c r="X27" s="671"/>
      <c r="Y27" s="339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95"/>
      <c r="Q28" s="1263" t="str">
        <f t="shared" si="11"/>
        <v>物业等级</v>
      </c>
      <c r="R28" s="667" t="s">
        <v>14</v>
      </c>
      <c r="S28" s="668">
        <f t="shared" si="12"/>
        <v>100</v>
      </c>
      <c r="T28" s="667" t="s">
        <v>14</v>
      </c>
      <c r="U28" s="668">
        <f t="shared" si="13"/>
        <v>100</v>
      </c>
      <c r="V28" s="667" t="s">
        <v>14</v>
      </c>
      <c r="W28" s="668">
        <f t="shared" si="14"/>
        <v>100</v>
      </c>
      <c r="X28" s="1265"/>
      <c r="Y28" s="339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95"/>
      <c r="Q29" s="1263" t="str">
        <f t="shared" si="11"/>
        <v>有无电梯</v>
      </c>
      <c r="R29" s="667" t="s">
        <v>14</v>
      </c>
      <c r="S29" s="668">
        <f t="shared" si="12"/>
        <v>100</v>
      </c>
      <c r="T29" s="667" t="s">
        <v>14</v>
      </c>
      <c r="U29" s="668">
        <f t="shared" si="13"/>
        <v>100</v>
      </c>
      <c r="V29" s="667" t="s">
        <v>14</v>
      </c>
      <c r="W29" s="668">
        <f t="shared" si="14"/>
        <v>100</v>
      </c>
      <c r="X29" s="1265"/>
      <c r="Y29" s="339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95"/>
      <c r="Q30" s="1263" t="str">
        <f t="shared" si="11"/>
        <v>建筑面积</v>
      </c>
      <c r="R30" s="667" t="s">
        <v>14</v>
      </c>
      <c r="S30" s="668" t="e">
        <f t="shared" si="12"/>
        <v>#N/A</v>
      </c>
      <c r="T30" s="667" t="s">
        <v>14</v>
      </c>
      <c r="U30" s="668" t="e">
        <f t="shared" si="13"/>
        <v>#N/A</v>
      </c>
      <c r="V30" s="667" t="s">
        <v>14</v>
      </c>
      <c r="W30" s="668" t="e">
        <f t="shared" si="14"/>
        <v>#N/A</v>
      </c>
      <c r="X30" s="1265"/>
      <c r="Y30" s="339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95"/>
      <c r="Q31" s="530" t="str">
        <f t="shared" si="11"/>
        <v>是否封闭</v>
      </c>
      <c r="R31" s="664" t="s">
        <v>14</v>
      </c>
      <c r="S31" s="665">
        <f t="shared" si="12"/>
        <v>100</v>
      </c>
      <c r="T31" s="664" t="s">
        <v>14</v>
      </c>
      <c r="U31" s="665">
        <f t="shared" si="13"/>
        <v>100</v>
      </c>
      <c r="V31" s="664" t="s">
        <v>14</v>
      </c>
      <c r="W31" s="665">
        <f t="shared" si="14"/>
        <v>100</v>
      </c>
      <c r="X31" s="666"/>
      <c r="Y31" s="339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95" t="s">
        <v>1696</v>
      </c>
      <c r="Q32" s="1263">
        <f t="shared" si="11"/>
        <v>111</v>
      </c>
      <c r="R32" s="667" t="s">
        <v>14</v>
      </c>
      <c r="S32" s="668">
        <f t="shared" si="12"/>
        <v>100</v>
      </c>
      <c r="T32" s="667" t="s">
        <v>14</v>
      </c>
      <c r="U32" s="668">
        <f t="shared" si="13"/>
        <v>100</v>
      </c>
      <c r="V32" s="667" t="s">
        <v>14</v>
      </c>
      <c r="W32" s="668">
        <f t="shared" si="14"/>
        <v>100</v>
      </c>
      <c r="X32" s="1265"/>
      <c r="Y32" s="339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95"/>
      <c r="Q33" s="1263">
        <f t="shared" si="11"/>
        <v>111</v>
      </c>
      <c r="R33" s="667" t="s">
        <v>14</v>
      </c>
      <c r="S33" s="668">
        <f t="shared" si="12"/>
        <v>100</v>
      </c>
      <c r="T33" s="667" t="s">
        <v>14</v>
      </c>
      <c r="U33" s="668">
        <f t="shared" si="13"/>
        <v>100</v>
      </c>
      <c r="V33" s="667" t="s">
        <v>14</v>
      </c>
      <c r="W33" s="668">
        <f t="shared" si="14"/>
        <v>100</v>
      </c>
      <c r="X33" s="1265"/>
      <c r="Y33" s="339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95"/>
      <c r="Q34" s="1263">
        <f t="shared" si="11"/>
        <v>111</v>
      </c>
      <c r="R34" s="667" t="s">
        <v>14</v>
      </c>
      <c r="S34" s="668">
        <f t="shared" si="12"/>
        <v>100</v>
      </c>
      <c r="T34" s="667" t="s">
        <v>14</v>
      </c>
      <c r="U34" s="668">
        <f t="shared" si="13"/>
        <v>100</v>
      </c>
      <c r="V34" s="667" t="s">
        <v>14</v>
      </c>
      <c r="W34" s="668">
        <f t="shared" si="14"/>
        <v>100</v>
      </c>
      <c r="X34" s="1265"/>
      <c r="Y34" s="339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97" t="str">
        <f>A35</f>
        <v>成交单价（元/平方米）</v>
      </c>
      <c r="Q35" s="3397"/>
      <c r="R35" s="3385">
        <f>E35</f>
        <v>0</v>
      </c>
      <c r="S35" s="3385"/>
      <c r="T35" s="3385">
        <f>G35</f>
        <v>0</v>
      </c>
      <c r="U35" s="3385"/>
      <c r="V35" s="3385">
        <f>I35</f>
        <v>0</v>
      </c>
      <c r="W35" s="338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7" t="str">
        <f>A36</f>
        <v>比较价值（元/平方米）</v>
      </c>
      <c r="Q36" s="3397"/>
      <c r="R36" s="3385" t="e">
        <f>IF(F1="售价",ROUND(PRODUCT(R35,AA7:AA34),0),ROUND(PRODUCT(R35,AA7:AA34),1))</f>
        <v>#DIV/0!</v>
      </c>
      <c r="S36" s="3385"/>
      <c r="T36" s="3385" t="e">
        <f>IF(F1="售价",ROUND(PRODUCT(T35,AB7:AB34),0),ROUND(PRODUCT(T35,AB7:AB34),1))</f>
        <v>#DIV/0!</v>
      </c>
      <c r="U36" s="3385"/>
      <c r="V36" s="3385" t="e">
        <f>IF(F1="售价",ROUND(PRODUCT(V35,AC7:AC34),0),ROUND(PRODUCT(V35,AC7:AC34),1))</f>
        <v>#DIV/0!</v>
      </c>
      <c r="W36" s="338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35" t="str">
        <f>A37</f>
        <v>估价对象XX用房的比较价值（楼面单价，元/平方米）</v>
      </c>
      <c r="Q37" s="3436"/>
      <c r="R37" s="3439" t="e">
        <f>IF(F1="售价",ROUND(IF(D36="简单平均",AVERAGE(R36:W36),R36*F36+T36*H36+V36*J36),0),ROUND(IF(D36="简单平均",AVERAGE(R36:V36),R36*F36+T36*H36+V36*J36),1))</f>
        <v>#DIV/0!</v>
      </c>
      <c r="S37" s="3439"/>
      <c r="T37" s="3439"/>
      <c r="U37" s="3439"/>
      <c r="V37" s="3439"/>
      <c r="W37" s="3439"/>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3" priority="13" stopIfTrue="1">
      <formula>$F$40="超过30%"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F7:F34 H7:H34 J7:J34">
    <cfRule type="cellIs" dxfId="60" priority="1" operator="notEqual">
      <formula>100</formula>
    </cfRule>
  </conditionalFormatting>
  <conditionalFormatting sqref="F36">
    <cfRule type="expression" dxfId="59" priority="4">
      <formula>$D$36="简单平均"</formula>
    </cfRule>
  </conditionalFormatting>
  <conditionalFormatting sqref="F40:F42 H40:H42 J40:J42">
    <cfRule type="containsText" dxfId="58" priority="14" stopIfTrue="1" operator="containsText" text="超过">
      <formula>NOT(ISERROR(SEARCH("超过",F40)))</formula>
    </cfRule>
  </conditionalFormatting>
  <conditionalFormatting sqref="G40">
    <cfRule type="expression" dxfId="57" priority="9" stopIfTrue="1">
      <formula>$H$52+$H$40="超过30%"</formula>
    </cfRule>
  </conditionalFormatting>
  <conditionalFormatting sqref="G41">
    <cfRule type="expression" dxfId="56" priority="8" stopIfTrue="1">
      <formula>$H$53+$H$41="超过20%"</formula>
    </cfRule>
  </conditionalFormatting>
  <conditionalFormatting sqref="G42">
    <cfRule type="expression" dxfId="55" priority="12" stopIfTrue="1">
      <formula>$H$54+$H$42="超过30%"</formula>
    </cfRule>
  </conditionalFormatting>
  <conditionalFormatting sqref="H36">
    <cfRule type="expression" dxfId="54" priority="3">
      <formula>$D$36="简单平均"</formula>
    </cfRule>
  </conditionalFormatting>
  <conditionalFormatting sqref="I40">
    <cfRule type="expression" dxfId="53" priority="7" stopIfTrue="1">
      <formula>$J$40="超过30%"</formula>
    </cfRule>
  </conditionalFormatting>
  <conditionalFormatting sqref="I41">
    <cfRule type="expression" dxfId="52" priority="6" stopIfTrue="1">
      <formula>$J$41="超过20%"</formula>
    </cfRule>
  </conditionalFormatting>
  <conditionalFormatting sqref="I42">
    <cfRule type="expression" dxfId="51" priority="5" stopIfTrue="1">
      <formula>$J$42="超过30%"</formula>
    </cfRule>
  </conditionalFormatting>
  <conditionalFormatting sqref="J36">
    <cfRule type="expression" dxfId="50"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2" t="s">
        <v>1770</v>
      </c>
      <c r="D4" s="3373"/>
      <c r="E4" s="3374" t="s">
        <v>1771</v>
      </c>
      <c r="F4" s="3375"/>
      <c r="G4" s="3372" t="s">
        <v>1772</v>
      </c>
      <c r="H4" s="3373"/>
      <c r="I4" s="3372" t="s">
        <v>1773</v>
      </c>
      <c r="J4" s="3373"/>
      <c r="K4" s="537" t="s">
        <v>1774</v>
      </c>
      <c r="L4" s="2487"/>
      <c r="M4" s="2488"/>
      <c r="N4" s="2488"/>
      <c r="O4" s="2488"/>
      <c r="P4" s="3431" t="s">
        <v>1775</v>
      </c>
      <c r="Q4" s="3432"/>
      <c r="R4" s="3428" t="s">
        <v>1771</v>
      </c>
      <c r="S4" s="3429"/>
      <c r="T4" s="3428" t="s">
        <v>1772</v>
      </c>
      <c r="U4" s="3429"/>
      <c r="V4" s="3385" t="s">
        <v>1773</v>
      </c>
      <c r="W4" s="3385"/>
      <c r="X4" s="1265"/>
      <c r="Y4" s="3428" t="s">
        <v>1775</v>
      </c>
      <c r="Z4" s="3429"/>
      <c r="AA4" s="3427" t="s">
        <v>1771</v>
      </c>
      <c r="AB4" s="3351" t="s">
        <v>1772</v>
      </c>
      <c r="AC4" s="3427" t="s">
        <v>1773</v>
      </c>
    </row>
    <row r="5" spans="1:29" ht="15">
      <c r="A5" s="348"/>
      <c r="B5" s="349"/>
      <c r="C5" s="3361" t="s">
        <v>1673</v>
      </c>
      <c r="D5" s="3362"/>
      <c r="E5" s="3430" t="s">
        <v>1674</v>
      </c>
      <c r="F5" s="3360"/>
      <c r="G5" s="3361" t="s">
        <v>1675</v>
      </c>
      <c r="H5" s="3362"/>
      <c r="I5" s="3361" t="s">
        <v>1676</v>
      </c>
      <c r="J5" s="3362"/>
      <c r="K5" s="537"/>
      <c r="L5" s="2487"/>
      <c r="M5" s="2488"/>
      <c r="N5" s="2488"/>
      <c r="O5" s="2488"/>
      <c r="P5" s="3433"/>
      <c r="Q5" s="3379"/>
      <c r="R5" s="3357"/>
      <c r="S5" s="3358"/>
      <c r="T5" s="3357"/>
      <c r="U5" s="3358"/>
      <c r="V5" s="3385"/>
      <c r="W5" s="3385"/>
      <c r="X5" s="1265"/>
      <c r="Y5" s="3357"/>
      <c r="Z5" s="3358"/>
      <c r="AA5" s="3351"/>
      <c r="AB5" s="3351"/>
      <c r="AC5" s="3351"/>
    </row>
    <row r="6" spans="1:29" ht="15.75" thickBot="1">
      <c r="A6" s="350"/>
      <c r="B6" s="351"/>
      <c r="C6" s="3363" t="s">
        <v>1677</v>
      </c>
      <c r="D6" s="3364"/>
      <c r="E6" s="3366" t="s">
        <v>1677</v>
      </c>
      <c r="F6" s="3367"/>
      <c r="G6" s="3363" t="s">
        <v>1677</v>
      </c>
      <c r="H6" s="3364"/>
      <c r="I6" s="3363" t="s">
        <v>1677</v>
      </c>
      <c r="J6" s="3364"/>
      <c r="K6" s="537" t="s">
        <v>1678</v>
      </c>
      <c r="L6" s="2487"/>
      <c r="M6" s="2488"/>
      <c r="N6" s="2488"/>
      <c r="O6" s="2488"/>
      <c r="P6" s="3434"/>
      <c r="Q6" s="3381"/>
      <c r="R6" s="3357"/>
      <c r="S6" s="3358"/>
      <c r="T6" s="3382"/>
      <c r="U6" s="3383"/>
      <c r="V6" s="3385"/>
      <c r="W6" s="3385"/>
      <c r="X6" s="1265"/>
      <c r="Y6" s="3382"/>
      <c r="Z6" s="3383"/>
      <c r="AA6" s="3352"/>
      <c r="AB6" s="3352"/>
      <c r="AC6" s="3352"/>
    </row>
    <row r="7" spans="1:29" s="102" customFormat="1" ht="15.75" thickBot="1">
      <c r="A7" s="352" t="s">
        <v>1679</v>
      </c>
      <c r="B7" s="353"/>
      <c r="C7" s="354">
        <f>'数据-取费表'!B2</f>
        <v>45693</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53" t="s">
        <v>1680</v>
      </c>
      <c r="Q7" s="3387"/>
      <c r="R7" s="664" t="s">
        <v>14</v>
      </c>
      <c r="S7" s="665">
        <f t="shared" ref="S7:S15" si="0">F7</f>
        <v>0</v>
      </c>
      <c r="T7" s="664" t="s">
        <v>14</v>
      </c>
      <c r="U7" s="665">
        <f t="shared" ref="U7:U15" si="1">H7</f>
        <v>0</v>
      </c>
      <c r="V7" s="664" t="s">
        <v>14</v>
      </c>
      <c r="W7" s="665">
        <f t="shared" ref="W7:W15" si="2">J7</f>
        <v>0</v>
      </c>
      <c r="X7" s="666"/>
      <c r="Y7" s="3353" t="s">
        <v>1680</v>
      </c>
      <c r="Z7" s="335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53" t="s">
        <v>1683</v>
      </c>
      <c r="Q8" s="3354"/>
      <c r="R8" s="664" t="s">
        <v>14</v>
      </c>
      <c r="S8" s="665">
        <f t="shared" si="0"/>
        <v>0</v>
      </c>
      <c r="T8" s="664" t="s">
        <v>14</v>
      </c>
      <c r="U8" s="665">
        <f t="shared" si="1"/>
        <v>0</v>
      </c>
      <c r="V8" s="664" t="s">
        <v>14</v>
      </c>
      <c r="W8" s="665">
        <f t="shared" si="2"/>
        <v>0</v>
      </c>
      <c r="X8" s="666"/>
      <c r="Y8" s="3353" t="s">
        <v>1683</v>
      </c>
      <c r="Z8" s="335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7"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108</v>
      </c>
      <c r="G10" s="402"/>
      <c r="H10" s="119">
        <f>ROUND(100/'数据-取费表'!G16,0)</f>
        <v>108</v>
      </c>
      <c r="I10" s="402"/>
      <c r="J10" s="119">
        <f>ROUND(100/'数据-取费表'!G16,0)</f>
        <v>108</v>
      </c>
      <c r="K10" s="592"/>
      <c r="L10" s="2490"/>
      <c r="M10" s="2491"/>
      <c r="N10" s="2491"/>
      <c r="O10" s="2542"/>
      <c r="P10" s="3397"/>
      <c r="Q10" s="530" t="str">
        <f t="shared" si="6"/>
        <v>土地使用年限（年）</v>
      </c>
      <c r="R10" s="664" t="s">
        <v>14</v>
      </c>
      <c r="S10" s="665">
        <f t="shared" si="0"/>
        <v>108</v>
      </c>
      <c r="T10" s="664" t="s">
        <v>14</v>
      </c>
      <c r="U10" s="665">
        <f t="shared" si="1"/>
        <v>108</v>
      </c>
      <c r="V10" s="664" t="s">
        <v>14</v>
      </c>
      <c r="W10" s="665">
        <f t="shared" si="2"/>
        <v>108</v>
      </c>
      <c r="X10" s="666"/>
      <c r="Y10" s="3323"/>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7"/>
      <c r="Q11" s="530" t="str">
        <f t="shared" si="6"/>
        <v>容积率</v>
      </c>
      <c r="R11" s="664" t="s">
        <v>14</v>
      </c>
      <c r="S11" s="665" t="e">
        <f t="shared" si="0"/>
        <v>#N/A</v>
      </c>
      <c r="T11" s="664" t="s">
        <v>14</v>
      </c>
      <c r="U11" s="665" t="e">
        <f t="shared" si="1"/>
        <v>#N/A</v>
      </c>
      <c r="V11" s="664" t="s">
        <v>14</v>
      </c>
      <c r="W11" s="665" t="e">
        <f t="shared" si="2"/>
        <v>#N/A</v>
      </c>
      <c r="X11" s="666"/>
      <c r="Y11" s="332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7"/>
      <c r="Q12" s="530" t="str">
        <f t="shared" si="6"/>
        <v>配建</v>
      </c>
      <c r="R12" s="664" t="s">
        <v>14</v>
      </c>
      <c r="S12" s="665">
        <f t="shared" si="0"/>
        <v>100</v>
      </c>
      <c r="T12" s="664" t="s">
        <v>14</v>
      </c>
      <c r="U12" s="665">
        <f t="shared" si="1"/>
        <v>100</v>
      </c>
      <c r="V12" s="664" t="s">
        <v>14</v>
      </c>
      <c r="W12" s="665">
        <f t="shared" si="2"/>
        <v>100</v>
      </c>
      <c r="X12" s="666"/>
      <c r="Y12" s="332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7"/>
      <c r="Q13" s="530">
        <f t="shared" si="6"/>
        <v>111</v>
      </c>
      <c r="R13" s="664" t="s">
        <v>14</v>
      </c>
      <c r="S13" s="665">
        <f t="shared" si="0"/>
        <v>100</v>
      </c>
      <c r="T13" s="664" t="s">
        <v>14</v>
      </c>
      <c r="U13" s="665">
        <f t="shared" si="1"/>
        <v>100</v>
      </c>
      <c r="V13" s="664" t="s">
        <v>14</v>
      </c>
      <c r="W13" s="665">
        <f t="shared" si="2"/>
        <v>100</v>
      </c>
      <c r="X13" s="666"/>
      <c r="Y13" s="332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7"/>
      <c r="Q14" s="530">
        <f t="shared" si="6"/>
        <v>111</v>
      </c>
      <c r="R14" s="664" t="s">
        <v>14</v>
      </c>
      <c r="S14" s="665">
        <f t="shared" si="0"/>
        <v>100</v>
      </c>
      <c r="T14" s="664" t="s">
        <v>14</v>
      </c>
      <c r="U14" s="665">
        <f t="shared" si="1"/>
        <v>100</v>
      </c>
      <c r="V14" s="664" t="s">
        <v>14</v>
      </c>
      <c r="W14" s="665">
        <f t="shared" si="2"/>
        <v>100</v>
      </c>
      <c r="X14" s="666"/>
      <c r="Y14" s="3323"/>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0" t="s">
        <v>1691</v>
      </c>
      <c r="Q15" s="1263" t="str">
        <f t="shared" si="6"/>
        <v>居住社区成熟度</v>
      </c>
      <c r="R15" s="667" t="s">
        <v>14</v>
      </c>
      <c r="S15" s="668">
        <f t="shared" si="0"/>
        <v>100</v>
      </c>
      <c r="T15" s="667" t="s">
        <v>14</v>
      </c>
      <c r="U15" s="668">
        <f t="shared" si="1"/>
        <v>100</v>
      </c>
      <c r="V15" s="667" t="s">
        <v>14</v>
      </c>
      <c r="W15" s="668">
        <f t="shared" si="2"/>
        <v>100</v>
      </c>
      <c r="X15" s="1265"/>
      <c r="Y15" s="339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1"/>
      <c r="Q16" s="1263"/>
      <c r="R16" s="667"/>
      <c r="S16" s="668"/>
      <c r="T16" s="667"/>
      <c r="U16" s="668"/>
      <c r="V16" s="667"/>
      <c r="W16" s="668"/>
      <c r="X16" s="1265"/>
      <c r="Y16" s="3391"/>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1"/>
      <c r="Q17" s="1263" t="str">
        <f>B17</f>
        <v>商业繁华度</v>
      </c>
      <c r="R17" s="667" t="s">
        <v>14</v>
      </c>
      <c r="S17" s="668">
        <f>F17</f>
        <v>100</v>
      </c>
      <c r="T17" s="667" t="s">
        <v>14</v>
      </c>
      <c r="U17" s="668">
        <f>H17</f>
        <v>100</v>
      </c>
      <c r="V17" s="667" t="s">
        <v>14</v>
      </c>
      <c r="W17" s="668">
        <f>J17</f>
        <v>100</v>
      </c>
      <c r="X17" s="1265"/>
      <c r="Y17" s="339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1"/>
      <c r="Q18" s="1263"/>
      <c r="R18" s="667"/>
      <c r="S18" s="668"/>
      <c r="T18" s="667"/>
      <c r="U18" s="668"/>
      <c r="V18" s="667"/>
      <c r="W18" s="668"/>
      <c r="X18" s="1265"/>
      <c r="Y18" s="3391"/>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1"/>
      <c r="Q19" s="1263" t="str">
        <f>B19</f>
        <v>办公集聚程度</v>
      </c>
      <c r="R19" s="667" t="s">
        <v>14</v>
      </c>
      <c r="S19" s="668">
        <f>F19</f>
        <v>100</v>
      </c>
      <c r="T19" s="667" t="s">
        <v>14</v>
      </c>
      <c r="U19" s="668">
        <f>H19</f>
        <v>100</v>
      </c>
      <c r="V19" s="667" t="s">
        <v>14</v>
      </c>
      <c r="W19" s="668">
        <f>J19</f>
        <v>100</v>
      </c>
      <c r="X19" s="1265"/>
      <c r="Y19" s="339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1"/>
      <c r="Q20" s="1263"/>
      <c r="R20" s="667"/>
      <c r="S20" s="668"/>
      <c r="T20" s="667"/>
      <c r="U20" s="668"/>
      <c r="V20" s="667"/>
      <c r="W20" s="668"/>
      <c r="X20" s="1265"/>
      <c r="Y20" s="3391"/>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1"/>
      <c r="Q21" s="1263" t="str">
        <f>B21</f>
        <v>交通便捷度</v>
      </c>
      <c r="R21" s="667" t="s">
        <v>14</v>
      </c>
      <c r="S21" s="668">
        <f>F21</f>
        <v>100</v>
      </c>
      <c r="T21" s="667" t="s">
        <v>14</v>
      </c>
      <c r="U21" s="668">
        <f>H21</f>
        <v>100</v>
      </c>
      <c r="V21" s="667" t="s">
        <v>14</v>
      </c>
      <c r="W21" s="668">
        <f>J21</f>
        <v>100</v>
      </c>
      <c r="X21" s="1265"/>
      <c r="Y21" s="339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1"/>
      <c r="Q22" s="1263"/>
      <c r="R22" s="667"/>
      <c r="S22" s="668"/>
      <c r="T22" s="667"/>
      <c r="U22" s="668"/>
      <c r="V22" s="667"/>
      <c r="W22" s="668"/>
      <c r="X22" s="1265"/>
      <c r="Y22" s="339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1"/>
      <c r="Q23" s="1263" t="str">
        <f t="shared" ref="Q23:Q37" si="8">B23</f>
        <v>区域土地利用方向</v>
      </c>
      <c r="R23" s="667" t="s">
        <v>14</v>
      </c>
      <c r="S23" s="668">
        <f>F23</f>
        <v>100</v>
      </c>
      <c r="T23" s="667" t="s">
        <v>14</v>
      </c>
      <c r="U23" s="668">
        <f>H23</f>
        <v>100</v>
      </c>
      <c r="V23" s="667" t="s">
        <v>14</v>
      </c>
      <c r="W23" s="668">
        <f>J23</f>
        <v>100</v>
      </c>
      <c r="X23" s="1265"/>
      <c r="Y23" s="339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1"/>
      <c r="Q24" s="1263"/>
      <c r="R24" s="667"/>
      <c r="S24" s="668"/>
      <c r="T24" s="667"/>
      <c r="U24" s="668"/>
      <c r="V24" s="667"/>
      <c r="W24" s="668"/>
      <c r="X24" s="1265"/>
      <c r="Y24" s="3391"/>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1"/>
      <c r="Q25" s="1263" t="str">
        <f t="shared" si="8"/>
        <v>自然及人文环境状况</v>
      </c>
      <c r="R25" s="667" t="s">
        <v>14</v>
      </c>
      <c r="S25" s="668">
        <f>F25</f>
        <v>100</v>
      </c>
      <c r="T25" s="667" t="s">
        <v>14</v>
      </c>
      <c r="U25" s="668">
        <f>H25</f>
        <v>100</v>
      </c>
      <c r="V25" s="667" t="s">
        <v>14</v>
      </c>
      <c r="W25" s="668">
        <f>J25</f>
        <v>100</v>
      </c>
      <c r="X25" s="1265"/>
      <c r="Y25" s="339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1"/>
      <c r="Q26" s="1263"/>
      <c r="R26" s="667"/>
      <c r="S26" s="668"/>
      <c r="T26" s="667"/>
      <c r="U26" s="668"/>
      <c r="V26" s="667"/>
      <c r="W26" s="668"/>
      <c r="X26" s="1265"/>
      <c r="Y26" s="3391"/>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1"/>
      <c r="Q27" s="530" t="str">
        <f t="shared" si="8"/>
        <v>公共配套设施</v>
      </c>
      <c r="R27" s="664" t="s">
        <v>14</v>
      </c>
      <c r="S27" s="665">
        <f>F27</f>
        <v>100</v>
      </c>
      <c r="T27" s="664" t="s">
        <v>14</v>
      </c>
      <c r="U27" s="665">
        <f>H27</f>
        <v>100</v>
      </c>
      <c r="V27" s="664" t="s">
        <v>14</v>
      </c>
      <c r="W27" s="665">
        <f>J27</f>
        <v>100</v>
      </c>
      <c r="X27" s="666"/>
      <c r="Y27" s="339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1"/>
      <c r="Q28" s="530"/>
      <c r="R28" s="664"/>
      <c r="S28" s="665"/>
      <c r="T28" s="664"/>
      <c r="U28" s="665"/>
      <c r="V28" s="664"/>
      <c r="W28" s="665"/>
      <c r="X28" s="666"/>
      <c r="Y28" s="3391"/>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1"/>
      <c r="Q29" s="530" t="str">
        <f t="shared" ref="Q29" si="9">B29</f>
        <v>基础设施水平</v>
      </c>
      <c r="R29" s="664" t="s">
        <v>14</v>
      </c>
      <c r="S29" s="665">
        <f>F29</f>
        <v>100</v>
      </c>
      <c r="T29" s="664" t="s">
        <v>14</v>
      </c>
      <c r="U29" s="665">
        <f>H29</f>
        <v>100</v>
      </c>
      <c r="V29" s="664" t="s">
        <v>14</v>
      </c>
      <c r="W29" s="665">
        <f>J29</f>
        <v>100</v>
      </c>
      <c r="X29" s="666"/>
      <c r="Y29" s="339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1"/>
      <c r="Q30" s="530"/>
      <c r="R30" s="664"/>
      <c r="S30" s="665"/>
      <c r="T30" s="664"/>
      <c r="U30" s="665"/>
      <c r="V30" s="664"/>
      <c r="W30" s="665"/>
      <c r="X30" s="666"/>
      <c r="Y30" s="339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1"/>
      <c r="Q32" s="1263" t="str">
        <f t="shared" si="8"/>
        <v>毗邻道路的类型与等级</v>
      </c>
      <c r="R32" s="667" t="s">
        <v>14</v>
      </c>
      <c r="S32" s="668">
        <f t="shared" si="10"/>
        <v>100</v>
      </c>
      <c r="T32" s="667" t="s">
        <v>14</v>
      </c>
      <c r="U32" s="668">
        <f t="shared" si="11"/>
        <v>100</v>
      </c>
      <c r="V32" s="667" t="s">
        <v>14</v>
      </c>
      <c r="W32" s="668">
        <f t="shared" si="12"/>
        <v>100</v>
      </c>
      <c r="X32" s="1265"/>
      <c r="Y32" s="339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1"/>
      <c r="Q33" s="1263"/>
      <c r="R33" s="667"/>
      <c r="S33" s="668"/>
      <c r="T33" s="667"/>
      <c r="U33" s="668"/>
      <c r="V33" s="667"/>
      <c r="W33" s="668"/>
      <c r="X33" s="1265"/>
      <c r="Y33" s="339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1"/>
      <c r="Q34" s="1263" t="str">
        <f t="shared" si="8"/>
        <v>土地级别</v>
      </c>
      <c r="R34" s="667" t="s">
        <v>14</v>
      </c>
      <c r="S34" s="668">
        <f t="shared" si="10"/>
        <v>100</v>
      </c>
      <c r="T34" s="667" t="s">
        <v>14</v>
      </c>
      <c r="U34" s="668">
        <f t="shared" si="11"/>
        <v>100</v>
      </c>
      <c r="V34" s="667" t="s">
        <v>14</v>
      </c>
      <c r="W34" s="668">
        <f t="shared" si="12"/>
        <v>100</v>
      </c>
      <c r="X34" s="1265"/>
      <c r="Y34" s="339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1"/>
      <c r="Q35" s="1263">
        <f t="shared" si="8"/>
        <v>111</v>
      </c>
      <c r="R35" s="667" t="s">
        <v>14</v>
      </c>
      <c r="S35" s="668">
        <f t="shared" si="10"/>
        <v>100</v>
      </c>
      <c r="T35" s="667" t="s">
        <v>14</v>
      </c>
      <c r="U35" s="668">
        <f t="shared" si="11"/>
        <v>100</v>
      </c>
      <c r="V35" s="667" t="s">
        <v>14</v>
      </c>
      <c r="W35" s="668">
        <f t="shared" si="12"/>
        <v>100</v>
      </c>
      <c r="X35" s="1265"/>
      <c r="Y35" s="339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8" t="s">
        <v>1696</v>
      </c>
      <c r="Q36" s="1263">
        <f t="shared" si="8"/>
        <v>111</v>
      </c>
      <c r="R36" s="667" t="s">
        <v>14</v>
      </c>
      <c r="S36" s="668">
        <f t="shared" si="10"/>
        <v>100</v>
      </c>
      <c r="T36" s="667" t="s">
        <v>14</v>
      </c>
      <c r="U36" s="668">
        <f t="shared" si="11"/>
        <v>100</v>
      </c>
      <c r="V36" s="667" t="s">
        <v>14</v>
      </c>
      <c r="W36" s="668">
        <f t="shared" si="12"/>
        <v>100</v>
      </c>
      <c r="X36" s="1265"/>
      <c r="Y36" s="339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95"/>
      <c r="Q37" s="1263">
        <f t="shared" si="8"/>
        <v>111</v>
      </c>
      <c r="R37" s="669" t="s">
        <v>14</v>
      </c>
      <c r="S37" s="670">
        <f t="shared" si="10"/>
        <v>100</v>
      </c>
      <c r="T37" s="669" t="s">
        <v>14</v>
      </c>
      <c r="U37" s="670">
        <f t="shared" si="11"/>
        <v>100</v>
      </c>
      <c r="V37" s="669" t="s">
        <v>14</v>
      </c>
      <c r="W37" s="670">
        <f t="shared" si="12"/>
        <v>100</v>
      </c>
      <c r="X37" s="671"/>
      <c r="Y37" s="339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95"/>
      <c r="Q38" s="1263" t="str">
        <f>B38</f>
        <v>宗地面积</v>
      </c>
      <c r="R38" s="667" t="s">
        <v>14</v>
      </c>
      <c r="S38" s="668" t="e">
        <f t="shared" si="10"/>
        <v>#N/A</v>
      </c>
      <c r="T38" s="667" t="s">
        <v>14</v>
      </c>
      <c r="U38" s="668" t="e">
        <f t="shared" si="11"/>
        <v>#N/A</v>
      </c>
      <c r="V38" s="667" t="s">
        <v>14</v>
      </c>
      <c r="W38" s="668" t="e">
        <f t="shared" si="12"/>
        <v>#N/A</v>
      </c>
      <c r="X38" s="1265"/>
      <c r="Y38" s="339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95"/>
      <c r="Q39" s="1263" t="str">
        <f t="shared" ref="Q39:Q45" si="14">B39</f>
        <v>宗地形状</v>
      </c>
      <c r="R39" s="667" t="s">
        <v>14</v>
      </c>
      <c r="S39" s="668">
        <f t="shared" si="10"/>
        <v>100</v>
      </c>
      <c r="T39" s="667" t="s">
        <v>14</v>
      </c>
      <c r="U39" s="668">
        <f t="shared" si="11"/>
        <v>100</v>
      </c>
      <c r="V39" s="667" t="s">
        <v>14</v>
      </c>
      <c r="W39" s="668">
        <f t="shared" si="12"/>
        <v>100</v>
      </c>
      <c r="X39" s="1265"/>
      <c r="Y39" s="339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95"/>
      <c r="Q40" s="1263" t="str">
        <f t="shared" si="14"/>
        <v>临街宽度及深度</v>
      </c>
      <c r="R40" s="667" t="s">
        <v>14</v>
      </c>
      <c r="S40" s="668">
        <f t="shared" si="10"/>
        <v>100</v>
      </c>
      <c r="T40" s="667" t="s">
        <v>14</v>
      </c>
      <c r="U40" s="668">
        <f t="shared" si="11"/>
        <v>100</v>
      </c>
      <c r="V40" s="667" t="s">
        <v>14</v>
      </c>
      <c r="W40" s="668">
        <f t="shared" si="12"/>
        <v>100</v>
      </c>
      <c r="X40" s="1265"/>
      <c r="Y40" s="339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95"/>
      <c r="Q41" s="1263" t="str">
        <f t="shared" si="14"/>
        <v>宗地开发程度</v>
      </c>
      <c r="R41" s="664" t="s">
        <v>14</v>
      </c>
      <c r="S41" s="665">
        <f t="shared" si="10"/>
        <v>100</v>
      </c>
      <c r="T41" s="664" t="s">
        <v>14</v>
      </c>
      <c r="U41" s="665">
        <f t="shared" si="11"/>
        <v>100</v>
      </c>
      <c r="V41" s="664" t="s">
        <v>14</v>
      </c>
      <c r="W41" s="665">
        <f t="shared" si="12"/>
        <v>100</v>
      </c>
      <c r="X41" s="666"/>
      <c r="Y41" s="339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95" t="s">
        <v>1696</v>
      </c>
      <c r="Q42" s="1263" t="str">
        <f t="shared" si="14"/>
        <v>工程地质条件</v>
      </c>
      <c r="R42" s="667" t="s">
        <v>14</v>
      </c>
      <c r="S42" s="668">
        <f t="shared" si="10"/>
        <v>100</v>
      </c>
      <c r="T42" s="667" t="s">
        <v>14</v>
      </c>
      <c r="U42" s="668">
        <f t="shared" si="11"/>
        <v>100</v>
      </c>
      <c r="V42" s="667" t="s">
        <v>14</v>
      </c>
      <c r="W42" s="668">
        <f t="shared" si="12"/>
        <v>100</v>
      </c>
      <c r="X42" s="1265"/>
      <c r="Y42" s="339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95"/>
      <c r="Q43" s="1263">
        <f t="shared" si="14"/>
        <v>111</v>
      </c>
      <c r="R43" s="667" t="s">
        <v>14</v>
      </c>
      <c r="S43" s="668">
        <f t="shared" si="10"/>
        <v>100</v>
      </c>
      <c r="T43" s="667" t="s">
        <v>14</v>
      </c>
      <c r="U43" s="668">
        <f t="shared" si="11"/>
        <v>100</v>
      </c>
      <c r="V43" s="667" t="s">
        <v>14</v>
      </c>
      <c r="W43" s="668">
        <f t="shared" si="12"/>
        <v>100</v>
      </c>
      <c r="X43" s="1265"/>
      <c r="Y43" s="339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95"/>
      <c r="Q44" s="1263">
        <f t="shared" si="14"/>
        <v>111</v>
      </c>
      <c r="R44" s="667" t="s">
        <v>14</v>
      </c>
      <c r="S44" s="668">
        <f t="shared" si="10"/>
        <v>100</v>
      </c>
      <c r="T44" s="667" t="s">
        <v>14</v>
      </c>
      <c r="U44" s="668">
        <f t="shared" si="11"/>
        <v>100</v>
      </c>
      <c r="V44" s="667" t="s">
        <v>14</v>
      </c>
      <c r="W44" s="668">
        <f t="shared" si="12"/>
        <v>100</v>
      </c>
      <c r="X44" s="1265"/>
      <c r="Y44" s="339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95"/>
      <c r="Q45" s="1263">
        <f t="shared" si="14"/>
        <v>111</v>
      </c>
      <c r="R45" s="669" t="s">
        <v>14</v>
      </c>
      <c r="S45" s="670">
        <f t="shared" si="10"/>
        <v>100</v>
      </c>
      <c r="T45" s="669" t="s">
        <v>14</v>
      </c>
      <c r="U45" s="670">
        <f t="shared" si="11"/>
        <v>100</v>
      </c>
      <c r="V45" s="669" t="s">
        <v>14</v>
      </c>
      <c r="W45" s="670">
        <f t="shared" si="12"/>
        <v>100</v>
      </c>
      <c r="X45" s="671"/>
      <c r="Y45" s="339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97" t="str">
        <f>A46</f>
        <v>成交单价</v>
      </c>
      <c r="Q46" s="3397"/>
      <c r="R46" s="3385">
        <f>E46</f>
        <v>0</v>
      </c>
      <c r="S46" s="3385"/>
      <c r="T46" s="3385">
        <f>G46</f>
        <v>0</v>
      </c>
      <c r="U46" s="3385"/>
      <c r="V46" s="3385">
        <f>I46</f>
        <v>0</v>
      </c>
      <c r="W46" s="338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7" t="str">
        <f>A47</f>
        <v>比较价值（元/平方米）</v>
      </c>
      <c r="Q47" s="3397"/>
      <c r="R47" s="3440" t="e">
        <f>ROUND(PRODUCT(R46,AA7:AA45),0)</f>
        <v>#DIV/0!</v>
      </c>
      <c r="S47" s="3440"/>
      <c r="T47" s="3440" t="e">
        <f>ROUND(PRODUCT(T46,AB7:AB45),0)</f>
        <v>#DIV/0!</v>
      </c>
      <c r="U47" s="3440"/>
      <c r="V47" s="3440" t="e">
        <f>ROUND(PRODUCT(V46,AC7:AC45),0)</f>
        <v>#DIV/0!</v>
      </c>
      <c r="W47" s="3440"/>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35" t="str">
        <f>A48</f>
        <v>估价对象XX用房的比较价值（楼面单价，元/平方米）</v>
      </c>
      <c r="Q48" s="3436"/>
      <c r="R48" s="3441" t="e">
        <f>ROUND(IF(D47="简单平均",AVERAGE(R47:W47),R47*F47+T47*H47+V47*J47),0)</f>
        <v>#DIV/0!</v>
      </c>
      <c r="S48" s="3441"/>
      <c r="T48" s="3441"/>
      <c r="U48" s="3441"/>
      <c r="V48" s="3441"/>
      <c r="W48" s="3441"/>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72" t="s">
        <v>1887</v>
      </c>
      <c r="H55" s="3442"/>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606.78</v>
      </c>
      <c r="F56" s="833" t="e">
        <f t="shared" ref="F56:F64" si="15">ROUND(B56*E56/10000,0)</f>
        <v>#DIV/0!</v>
      </c>
      <c r="G56" s="3368"/>
      <c r="H56" s="3397"/>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SUMIF(修正!A57:A68,H60,修正!E57:E68)</f>
        <v>0.25</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SUMIF(修正!A57:A68,H61,修正!F57:F68)</f>
        <v>0.25</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SUMIF(修正!A57:A68,H64,修正!G57:G68)</f>
        <v>0.15</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606.78</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9" priority="13" stopIfTrue="1">
      <formula>$F$51="超过30%"</formula>
    </cfRule>
  </conditionalFormatting>
  <conditionalFormatting sqref="E52">
    <cfRule type="expression" dxfId="48" priority="11" stopIfTrue="1">
      <formula>$F$52="超过20%"</formula>
    </cfRule>
  </conditionalFormatting>
  <conditionalFormatting sqref="E53">
    <cfRule type="expression" dxfId="47" priority="10" stopIfTrue="1">
      <formula>$F$53="超过30%"</formula>
    </cfRule>
  </conditionalFormatting>
  <conditionalFormatting sqref="F7:F45 H7:H45 J7:J45">
    <cfRule type="cellIs" dxfId="46" priority="1" operator="notEqual">
      <formula>100</formula>
    </cfRule>
  </conditionalFormatting>
  <conditionalFormatting sqref="F47">
    <cfRule type="expression" dxfId="45" priority="4">
      <formula>$D$47="简单平均"</formula>
    </cfRule>
  </conditionalFormatting>
  <conditionalFormatting sqref="F51:F53 H51:H53 J51:J53">
    <cfRule type="containsText" dxfId="44" priority="14" stopIfTrue="1" operator="containsText" text="超过">
      <formula>NOT(ISERROR(SEARCH("超过",F51)))</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G53">
    <cfRule type="expression" dxfId="41" priority="12" stopIfTrue="1">
      <formula>$H$53="超过30%"</formula>
    </cfRule>
  </conditionalFormatting>
  <conditionalFormatting sqref="H47">
    <cfRule type="expression" dxfId="40" priority="3">
      <formula>$D$47="简单平均"</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J47">
    <cfRule type="expression" dxfId="36"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72" t="s">
        <v>1770</v>
      </c>
      <c r="D4" s="3373"/>
      <c r="E4" s="3374" t="s">
        <v>1771</v>
      </c>
      <c r="F4" s="3375"/>
      <c r="G4" s="3372" t="s">
        <v>1772</v>
      </c>
      <c r="H4" s="3373"/>
      <c r="I4" s="3372" t="s">
        <v>1773</v>
      </c>
      <c r="J4" s="3373"/>
      <c r="K4" s="537" t="s">
        <v>1774</v>
      </c>
      <c r="L4" s="2487"/>
      <c r="M4" s="2488"/>
      <c r="N4" s="2488"/>
      <c r="O4" s="2488"/>
      <c r="P4" s="3431" t="s">
        <v>1775</v>
      </c>
      <c r="Q4" s="3432"/>
      <c r="R4" s="3428" t="s">
        <v>1771</v>
      </c>
      <c r="S4" s="3429"/>
      <c r="T4" s="3428" t="s">
        <v>1772</v>
      </c>
      <c r="U4" s="3429"/>
      <c r="V4" s="3385" t="s">
        <v>1773</v>
      </c>
      <c r="W4" s="3385"/>
      <c r="X4" s="1265"/>
      <c r="Y4" s="3428" t="s">
        <v>1775</v>
      </c>
      <c r="Z4" s="3429"/>
      <c r="AA4" s="3427" t="s">
        <v>1771</v>
      </c>
      <c r="AB4" s="3351" t="s">
        <v>1772</v>
      </c>
      <c r="AC4" s="3427" t="s">
        <v>1773</v>
      </c>
    </row>
    <row r="5" spans="1:29" ht="15">
      <c r="A5" s="348"/>
      <c r="B5" s="349"/>
      <c r="C5" s="3361" t="s">
        <v>1673</v>
      </c>
      <c r="D5" s="3362"/>
      <c r="E5" s="3430" t="s">
        <v>1674</v>
      </c>
      <c r="F5" s="3360"/>
      <c r="G5" s="3361" t="s">
        <v>1675</v>
      </c>
      <c r="H5" s="3362"/>
      <c r="I5" s="3361" t="s">
        <v>1676</v>
      </c>
      <c r="J5" s="3362"/>
      <c r="K5" s="537"/>
      <c r="L5" s="2487"/>
      <c r="M5" s="2488"/>
      <c r="N5" s="2488"/>
      <c r="O5" s="2488"/>
      <c r="P5" s="3433"/>
      <c r="Q5" s="3379"/>
      <c r="R5" s="3357"/>
      <c r="S5" s="3358"/>
      <c r="T5" s="3357"/>
      <c r="U5" s="3358"/>
      <c r="V5" s="3385"/>
      <c r="W5" s="3385"/>
      <c r="X5" s="1265"/>
      <c r="Y5" s="3357"/>
      <c r="Z5" s="3358"/>
      <c r="AA5" s="3351"/>
      <c r="AB5" s="3351"/>
      <c r="AC5" s="3351"/>
    </row>
    <row r="6" spans="1:29" ht="15.75" thickBot="1">
      <c r="A6" s="350"/>
      <c r="B6" s="351"/>
      <c r="C6" s="3443" t="s">
        <v>1919</v>
      </c>
      <c r="D6" s="3444"/>
      <c r="E6" s="3445" t="s">
        <v>1919</v>
      </c>
      <c r="F6" s="3446"/>
      <c r="G6" s="3443" t="s">
        <v>1919</v>
      </c>
      <c r="H6" s="3444"/>
      <c r="I6" s="3443" t="s">
        <v>1919</v>
      </c>
      <c r="J6" s="3444"/>
      <c r="K6" s="537" t="s">
        <v>1678</v>
      </c>
      <c r="L6" s="2487"/>
      <c r="M6" s="2488"/>
      <c r="N6" s="2488"/>
      <c r="O6" s="2488"/>
      <c r="P6" s="3434"/>
      <c r="Q6" s="3381"/>
      <c r="R6" s="3357"/>
      <c r="S6" s="3358"/>
      <c r="T6" s="3382"/>
      <c r="U6" s="3383"/>
      <c r="V6" s="3385"/>
      <c r="W6" s="3385"/>
      <c r="X6" s="1265"/>
      <c r="Y6" s="3382"/>
      <c r="Z6" s="3383"/>
      <c r="AA6" s="3352"/>
      <c r="AB6" s="3352"/>
      <c r="AC6" s="3352"/>
    </row>
    <row r="7" spans="1:29" s="102" customFormat="1" ht="15.75" thickBot="1">
      <c r="A7" s="352" t="s">
        <v>1679</v>
      </c>
      <c r="B7" s="353"/>
      <c r="C7" s="354">
        <f>'数据-取费表'!B2</f>
        <v>45693</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53" t="s">
        <v>1680</v>
      </c>
      <c r="Q7" s="3387"/>
      <c r="R7" s="664" t="s">
        <v>14</v>
      </c>
      <c r="S7" s="665">
        <f t="shared" ref="S7:S15" si="0">F7</f>
        <v>0</v>
      </c>
      <c r="T7" s="664" t="s">
        <v>14</v>
      </c>
      <c r="U7" s="665">
        <f t="shared" ref="U7:U15" si="1">H7</f>
        <v>0</v>
      </c>
      <c r="V7" s="664" t="s">
        <v>14</v>
      </c>
      <c r="W7" s="665">
        <f t="shared" ref="W7:W15" si="2">J7</f>
        <v>0</v>
      </c>
      <c r="X7" s="666"/>
      <c r="Y7" s="3353" t="s">
        <v>1680</v>
      </c>
      <c r="Z7" s="335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53" t="s">
        <v>1683</v>
      </c>
      <c r="Q8" s="3354"/>
      <c r="R8" s="664" t="s">
        <v>14</v>
      </c>
      <c r="S8" s="665">
        <f t="shared" si="0"/>
        <v>0</v>
      </c>
      <c r="T8" s="664" t="s">
        <v>14</v>
      </c>
      <c r="U8" s="665">
        <f t="shared" si="1"/>
        <v>0</v>
      </c>
      <c r="V8" s="664" t="s">
        <v>14</v>
      </c>
      <c r="W8" s="665">
        <f t="shared" si="2"/>
        <v>0</v>
      </c>
      <c r="X8" s="666"/>
      <c r="Y8" s="3353" t="s">
        <v>1683</v>
      </c>
      <c r="Z8" s="335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7"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108</v>
      </c>
      <c r="G10" s="371"/>
      <c r="H10" s="119">
        <f>ROUND(100/'数据-取费表'!G16,0)</f>
        <v>108</v>
      </c>
      <c r="I10" s="371"/>
      <c r="J10" s="119">
        <f>ROUND(100/'数据-取费表'!G16,0)</f>
        <v>108</v>
      </c>
      <c r="K10" s="592"/>
      <c r="L10" s="2490"/>
      <c r="M10" s="2491"/>
      <c r="N10" s="2491"/>
      <c r="O10" s="2542"/>
      <c r="P10" s="3397"/>
      <c r="Q10" s="530" t="str">
        <f t="shared" si="6"/>
        <v>土地使用年限（年）</v>
      </c>
      <c r="R10" s="664" t="s">
        <v>14</v>
      </c>
      <c r="S10" s="665">
        <f t="shared" si="0"/>
        <v>108</v>
      </c>
      <c r="T10" s="664" t="s">
        <v>14</v>
      </c>
      <c r="U10" s="665">
        <f t="shared" si="1"/>
        <v>108</v>
      </c>
      <c r="V10" s="664" t="s">
        <v>14</v>
      </c>
      <c r="W10" s="665">
        <f t="shared" si="2"/>
        <v>108</v>
      </c>
      <c r="X10" s="666"/>
      <c r="Y10" s="3323"/>
      <c r="Z10" s="50" t="str">
        <f t="shared" si="7"/>
        <v>土地使用年限（年）</v>
      </c>
      <c r="AA10" s="50">
        <f t="shared" si="3"/>
        <v>0.92592592592592593</v>
      </c>
      <c r="AB10" s="50">
        <f t="shared" si="4"/>
        <v>0.92592592592592593</v>
      </c>
      <c r="AC10" s="50">
        <f t="shared" si="5"/>
        <v>0.92592592592592593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7"/>
      <c r="Q11" s="530" t="str">
        <f t="shared" si="6"/>
        <v>容积率</v>
      </c>
      <c r="R11" s="664" t="s">
        <v>14</v>
      </c>
      <c r="S11" s="665" t="e">
        <f t="shared" si="0"/>
        <v>#N/A</v>
      </c>
      <c r="T11" s="664" t="s">
        <v>14</v>
      </c>
      <c r="U11" s="665" t="e">
        <f t="shared" si="1"/>
        <v>#N/A</v>
      </c>
      <c r="V11" s="664" t="s">
        <v>14</v>
      </c>
      <c r="W11" s="665" t="e">
        <f t="shared" si="2"/>
        <v>#N/A</v>
      </c>
      <c r="X11" s="666"/>
      <c r="Y11" s="332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7"/>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7"/>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7"/>
      <c r="Q14" s="530">
        <f t="shared" si="6"/>
        <v>111</v>
      </c>
      <c r="R14" s="664" t="s">
        <v>14</v>
      </c>
      <c r="S14" s="665">
        <f t="shared" si="0"/>
        <v>100</v>
      </c>
      <c r="T14" s="664" t="s">
        <v>14</v>
      </c>
      <c r="U14" s="665">
        <f t="shared" si="1"/>
        <v>100</v>
      </c>
      <c r="V14" s="664" t="s">
        <v>14</v>
      </c>
      <c r="W14" s="665">
        <f t="shared" si="2"/>
        <v>100</v>
      </c>
      <c r="X14" s="666"/>
      <c r="Y14" s="3323"/>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0" t="s">
        <v>1691</v>
      </c>
      <c r="Q15" s="1263" t="str">
        <f t="shared" si="6"/>
        <v>产业集聚程度</v>
      </c>
      <c r="R15" s="667" t="s">
        <v>14</v>
      </c>
      <c r="S15" s="668">
        <f t="shared" si="0"/>
        <v>100</v>
      </c>
      <c r="T15" s="667" t="s">
        <v>14</v>
      </c>
      <c r="U15" s="668">
        <f t="shared" si="1"/>
        <v>100</v>
      </c>
      <c r="V15" s="667" t="s">
        <v>14</v>
      </c>
      <c r="W15" s="668">
        <f t="shared" si="2"/>
        <v>100</v>
      </c>
      <c r="X15" s="1265"/>
      <c r="Y15" s="339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1"/>
      <c r="Q16" s="1263"/>
      <c r="R16" s="667"/>
      <c r="S16" s="668"/>
      <c r="T16" s="667"/>
      <c r="U16" s="668"/>
      <c r="V16" s="667"/>
      <c r="W16" s="668"/>
      <c r="X16" s="1265"/>
      <c r="Y16" s="3391"/>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1"/>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1"/>
      <c r="Q18" s="1263"/>
      <c r="R18" s="667"/>
      <c r="S18" s="668"/>
      <c r="T18" s="667"/>
      <c r="U18" s="668"/>
      <c r="V18" s="667"/>
      <c r="W18" s="668"/>
      <c r="X18" s="1265"/>
      <c r="Y18" s="339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1"/>
      <c r="Q19" s="1263" t="str">
        <f t="shared" ref="Q19:Q33" si="8">B19</f>
        <v>区域土地利用方向</v>
      </c>
      <c r="R19" s="667" t="s">
        <v>14</v>
      </c>
      <c r="S19" s="668">
        <f>F19</f>
        <v>100</v>
      </c>
      <c r="T19" s="667" t="s">
        <v>14</v>
      </c>
      <c r="U19" s="668">
        <f>H19</f>
        <v>100</v>
      </c>
      <c r="V19" s="667" t="s">
        <v>14</v>
      </c>
      <c r="W19" s="668">
        <f>J19</f>
        <v>100</v>
      </c>
      <c r="X19" s="1265"/>
      <c r="Y19" s="339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1"/>
      <c r="Q20" s="1263"/>
      <c r="R20" s="667"/>
      <c r="S20" s="668"/>
      <c r="T20" s="667"/>
      <c r="U20" s="668"/>
      <c r="V20" s="667"/>
      <c r="W20" s="668"/>
      <c r="X20" s="1265"/>
      <c r="Y20" s="3391"/>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1"/>
      <c r="Q21" s="1263" t="str">
        <f t="shared" si="8"/>
        <v>环境状况</v>
      </c>
      <c r="R21" s="667" t="s">
        <v>14</v>
      </c>
      <c r="S21" s="668">
        <f>F21</f>
        <v>100</v>
      </c>
      <c r="T21" s="667" t="s">
        <v>14</v>
      </c>
      <c r="U21" s="668">
        <f>H21</f>
        <v>100</v>
      </c>
      <c r="V21" s="667" t="s">
        <v>14</v>
      </c>
      <c r="W21" s="668">
        <f>J21</f>
        <v>100</v>
      </c>
      <c r="X21" s="1265"/>
      <c r="Y21" s="339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1"/>
      <c r="Q22" s="1263"/>
      <c r="R22" s="667"/>
      <c r="S22" s="668"/>
      <c r="T22" s="667"/>
      <c r="U22" s="668"/>
      <c r="V22" s="667"/>
      <c r="W22" s="668"/>
      <c r="X22" s="1265"/>
      <c r="Y22" s="3391"/>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1"/>
      <c r="Q23" s="530" t="str">
        <f t="shared" si="8"/>
        <v>公共配套设施</v>
      </c>
      <c r="R23" s="664" t="s">
        <v>14</v>
      </c>
      <c r="S23" s="665">
        <f>F23</f>
        <v>100</v>
      </c>
      <c r="T23" s="664" t="s">
        <v>14</v>
      </c>
      <c r="U23" s="665">
        <f>H23</f>
        <v>100</v>
      </c>
      <c r="V23" s="664" t="s">
        <v>14</v>
      </c>
      <c r="W23" s="665">
        <f>J23</f>
        <v>100</v>
      </c>
      <c r="X23" s="666"/>
      <c r="Y23" s="339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1"/>
      <c r="Q24" s="530"/>
      <c r="R24" s="664"/>
      <c r="S24" s="665"/>
      <c r="T24" s="664"/>
      <c r="U24" s="665"/>
      <c r="V24" s="664"/>
      <c r="W24" s="665"/>
      <c r="X24" s="666"/>
      <c r="Y24" s="3391"/>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1"/>
      <c r="Q25" s="530" t="str">
        <f t="shared" ref="Q25" si="9">B25</f>
        <v>基础设施水平</v>
      </c>
      <c r="R25" s="664" t="s">
        <v>14</v>
      </c>
      <c r="S25" s="665">
        <f>F25</f>
        <v>100</v>
      </c>
      <c r="T25" s="664" t="s">
        <v>14</v>
      </c>
      <c r="U25" s="665">
        <f>H25</f>
        <v>100</v>
      </c>
      <c r="V25" s="664" t="s">
        <v>14</v>
      </c>
      <c r="W25" s="665">
        <f>J25</f>
        <v>100</v>
      </c>
      <c r="X25" s="666"/>
      <c r="Y25" s="339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1"/>
      <c r="Q26" s="530"/>
      <c r="R26" s="664"/>
      <c r="S26" s="665"/>
      <c r="T26" s="664"/>
      <c r="U26" s="665"/>
      <c r="V26" s="664"/>
      <c r="W26" s="665"/>
      <c r="X26" s="666"/>
      <c r="Y26" s="339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1"/>
      <c r="Q28" s="1263" t="str">
        <f t="shared" si="8"/>
        <v>毗邻道路的类型与等级</v>
      </c>
      <c r="R28" s="667" t="s">
        <v>14</v>
      </c>
      <c r="S28" s="668">
        <f t="shared" si="10"/>
        <v>100</v>
      </c>
      <c r="T28" s="667" t="s">
        <v>14</v>
      </c>
      <c r="U28" s="668">
        <f t="shared" si="11"/>
        <v>100</v>
      </c>
      <c r="V28" s="667" t="s">
        <v>14</v>
      </c>
      <c r="W28" s="668">
        <f t="shared" si="12"/>
        <v>100</v>
      </c>
      <c r="X28" s="1265"/>
      <c r="Y28" s="339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1"/>
      <c r="Q29" s="1263"/>
      <c r="R29" s="667"/>
      <c r="S29" s="668"/>
      <c r="T29" s="667"/>
      <c r="U29" s="668"/>
      <c r="V29" s="667"/>
      <c r="W29" s="668"/>
      <c r="X29" s="1265"/>
      <c r="Y29" s="339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1"/>
      <c r="Q30" s="1263" t="str">
        <f t="shared" si="8"/>
        <v>土地级别</v>
      </c>
      <c r="R30" s="667" t="s">
        <v>14</v>
      </c>
      <c r="S30" s="668">
        <f t="shared" si="10"/>
        <v>100</v>
      </c>
      <c r="T30" s="667" t="s">
        <v>14</v>
      </c>
      <c r="U30" s="668">
        <f t="shared" si="11"/>
        <v>100</v>
      </c>
      <c r="V30" s="667" t="s">
        <v>14</v>
      </c>
      <c r="W30" s="668">
        <f t="shared" si="12"/>
        <v>100</v>
      </c>
      <c r="X30" s="1265"/>
      <c r="Y30" s="339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1"/>
      <c r="Q31" s="1263">
        <f t="shared" si="8"/>
        <v>111</v>
      </c>
      <c r="R31" s="667" t="s">
        <v>14</v>
      </c>
      <c r="S31" s="668">
        <f t="shared" si="10"/>
        <v>100</v>
      </c>
      <c r="T31" s="667" t="s">
        <v>14</v>
      </c>
      <c r="U31" s="668">
        <f t="shared" si="11"/>
        <v>100</v>
      </c>
      <c r="V31" s="667" t="s">
        <v>14</v>
      </c>
      <c r="W31" s="668">
        <f t="shared" si="12"/>
        <v>100</v>
      </c>
      <c r="X31" s="1265"/>
      <c r="Y31" s="339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8" t="s">
        <v>1696</v>
      </c>
      <c r="Q32" s="1263">
        <f t="shared" si="8"/>
        <v>111</v>
      </c>
      <c r="R32" s="667" t="s">
        <v>14</v>
      </c>
      <c r="S32" s="668">
        <f t="shared" si="10"/>
        <v>100</v>
      </c>
      <c r="T32" s="667" t="s">
        <v>14</v>
      </c>
      <c r="U32" s="668">
        <f t="shared" si="11"/>
        <v>100</v>
      </c>
      <c r="V32" s="667" t="s">
        <v>14</v>
      </c>
      <c r="W32" s="668">
        <f t="shared" si="12"/>
        <v>100</v>
      </c>
      <c r="X32" s="1265"/>
      <c r="Y32" s="339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95"/>
      <c r="Q33" s="1263">
        <f t="shared" si="8"/>
        <v>111</v>
      </c>
      <c r="R33" s="669" t="s">
        <v>14</v>
      </c>
      <c r="S33" s="670">
        <f t="shared" si="10"/>
        <v>100</v>
      </c>
      <c r="T33" s="669" t="s">
        <v>14</v>
      </c>
      <c r="U33" s="670">
        <f t="shared" si="11"/>
        <v>100</v>
      </c>
      <c r="V33" s="669" t="s">
        <v>14</v>
      </c>
      <c r="W33" s="670">
        <f t="shared" si="12"/>
        <v>100</v>
      </c>
      <c r="X33" s="671"/>
      <c r="Y33" s="339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95"/>
      <c r="Q34" s="1263" t="str">
        <f>B34</f>
        <v>宗地面积</v>
      </c>
      <c r="R34" s="667" t="s">
        <v>14</v>
      </c>
      <c r="S34" s="668" t="e">
        <f t="shared" si="10"/>
        <v>#N/A</v>
      </c>
      <c r="T34" s="667" t="s">
        <v>14</v>
      </c>
      <c r="U34" s="668" t="e">
        <f t="shared" si="11"/>
        <v>#N/A</v>
      </c>
      <c r="V34" s="667" t="s">
        <v>14</v>
      </c>
      <c r="W34" s="668" t="e">
        <f t="shared" si="12"/>
        <v>#N/A</v>
      </c>
      <c r="X34" s="1265"/>
      <c r="Y34" s="339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95"/>
      <c r="Q35" s="1263" t="str">
        <f t="shared" ref="Q35:Q40" si="14">B35</f>
        <v>宗地形状</v>
      </c>
      <c r="R35" s="667" t="s">
        <v>14</v>
      </c>
      <c r="S35" s="668">
        <f t="shared" si="10"/>
        <v>100</v>
      </c>
      <c r="T35" s="667" t="s">
        <v>14</v>
      </c>
      <c r="U35" s="668">
        <f t="shared" si="11"/>
        <v>100</v>
      </c>
      <c r="V35" s="667" t="s">
        <v>14</v>
      </c>
      <c r="W35" s="668">
        <f t="shared" si="12"/>
        <v>100</v>
      </c>
      <c r="X35" s="1265"/>
      <c r="Y35" s="339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95"/>
      <c r="Q36" s="1263" t="str">
        <f t="shared" si="14"/>
        <v>宗地开发程度</v>
      </c>
      <c r="R36" s="664" t="s">
        <v>14</v>
      </c>
      <c r="S36" s="665">
        <f t="shared" si="10"/>
        <v>100</v>
      </c>
      <c r="T36" s="664" t="s">
        <v>14</v>
      </c>
      <c r="U36" s="665">
        <f t="shared" si="11"/>
        <v>100</v>
      </c>
      <c r="V36" s="664" t="s">
        <v>14</v>
      </c>
      <c r="W36" s="665">
        <f t="shared" si="12"/>
        <v>100</v>
      </c>
      <c r="X36" s="666"/>
      <c r="Y36" s="339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95" t="s">
        <v>1696</v>
      </c>
      <c r="Q37" s="1263" t="str">
        <f t="shared" si="14"/>
        <v>工程地质条件</v>
      </c>
      <c r="R37" s="667" t="s">
        <v>14</v>
      </c>
      <c r="S37" s="668">
        <f t="shared" si="10"/>
        <v>100</v>
      </c>
      <c r="T37" s="667" t="s">
        <v>14</v>
      </c>
      <c r="U37" s="668">
        <f t="shared" si="11"/>
        <v>100</v>
      </c>
      <c r="V37" s="667" t="s">
        <v>14</v>
      </c>
      <c r="W37" s="668">
        <f t="shared" si="12"/>
        <v>100</v>
      </c>
      <c r="X37" s="1265"/>
      <c r="Y37" s="339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95"/>
      <c r="Q38" s="1263">
        <f t="shared" si="14"/>
        <v>111</v>
      </c>
      <c r="R38" s="667" t="s">
        <v>14</v>
      </c>
      <c r="S38" s="668">
        <f t="shared" si="10"/>
        <v>100</v>
      </c>
      <c r="T38" s="667" t="s">
        <v>14</v>
      </c>
      <c r="U38" s="668">
        <f t="shared" si="11"/>
        <v>100</v>
      </c>
      <c r="V38" s="667" t="s">
        <v>14</v>
      </c>
      <c r="W38" s="668">
        <f t="shared" si="12"/>
        <v>100</v>
      </c>
      <c r="X38" s="1265"/>
      <c r="Y38" s="339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95"/>
      <c r="Q39" s="1263">
        <f t="shared" si="14"/>
        <v>111</v>
      </c>
      <c r="R39" s="667" t="s">
        <v>14</v>
      </c>
      <c r="S39" s="668">
        <f t="shared" si="10"/>
        <v>100</v>
      </c>
      <c r="T39" s="667" t="s">
        <v>14</v>
      </c>
      <c r="U39" s="668">
        <f t="shared" si="11"/>
        <v>100</v>
      </c>
      <c r="V39" s="667" t="s">
        <v>14</v>
      </c>
      <c r="W39" s="668">
        <f t="shared" si="12"/>
        <v>100</v>
      </c>
      <c r="X39" s="1265"/>
      <c r="Y39" s="339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95"/>
      <c r="Q40" s="1263">
        <f t="shared" si="14"/>
        <v>111</v>
      </c>
      <c r="R40" s="669" t="s">
        <v>14</v>
      </c>
      <c r="S40" s="670">
        <f t="shared" si="10"/>
        <v>100</v>
      </c>
      <c r="T40" s="669" t="s">
        <v>14</v>
      </c>
      <c r="U40" s="670">
        <f t="shared" si="11"/>
        <v>100</v>
      </c>
      <c r="V40" s="669" t="s">
        <v>14</v>
      </c>
      <c r="W40" s="670">
        <f t="shared" si="12"/>
        <v>100</v>
      </c>
      <c r="X40" s="671"/>
      <c r="Y40" s="339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97" t="str">
        <f>A41</f>
        <v>成交单价</v>
      </c>
      <c r="Q41" s="3397"/>
      <c r="R41" s="3385">
        <f>E41</f>
        <v>0</v>
      </c>
      <c r="S41" s="3385"/>
      <c r="T41" s="3385">
        <f>G41</f>
        <v>0</v>
      </c>
      <c r="U41" s="3385"/>
      <c r="V41" s="3385">
        <f>I41</f>
        <v>0</v>
      </c>
      <c r="W41" s="338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7" t="str">
        <f>A42</f>
        <v>比较价值（元/平方米）</v>
      </c>
      <c r="Q42" s="3397"/>
      <c r="R42" s="3440" t="e">
        <f>ROUND(PRODUCT(R41,AA7:AA40),0)</f>
        <v>#DIV/0!</v>
      </c>
      <c r="S42" s="3440"/>
      <c r="T42" s="3440" t="e">
        <f>ROUND(PRODUCT(T41,AB7:AB40),0)</f>
        <v>#DIV/0!</v>
      </c>
      <c r="U42" s="3440"/>
      <c r="V42" s="3440" t="e">
        <f>ROUND(PRODUCT(V41,AC7:AC40),0)</f>
        <v>#DIV/0!</v>
      </c>
      <c r="W42" s="3440"/>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35" t="str">
        <f>A43</f>
        <v>估价对象XX用房的比较价值（楼面单价，元/平方米）</v>
      </c>
      <c r="Q43" s="3436"/>
      <c r="R43" s="3441" t="e">
        <f>ROUND(IF(D42="简单平均",AVERAGE(R42:W42),R42*F42+T42*H42+V42*J42),0)</f>
        <v>#DIV/0!</v>
      </c>
      <c r="S43" s="3441"/>
      <c r="T43" s="3441"/>
      <c r="U43" s="3441"/>
      <c r="V43" s="3441"/>
      <c r="W43" s="3441"/>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72" t="s">
        <v>1887</v>
      </c>
      <c r="H50" s="3442"/>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606.78</v>
      </c>
      <c r="F51" s="611" t="e">
        <f t="shared" ref="F51:F60" si="15">ROUND(B51*E51/10000,0)</f>
        <v>#DIV/0!</v>
      </c>
      <c r="G51" s="3368"/>
      <c r="H51" s="3397"/>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SUMIF(修正!A57:A68,H56,修正!E57:E68)</f>
        <v>0.25</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SUMIF(修正!A57:A68,H57,修正!F57:F68)</f>
        <v>0.25</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SUMIF(修正!A57:A68,H60,修正!G57:G68)</f>
        <v>0.15</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5" priority="13" stopIfTrue="1">
      <formula>$F$46="超过30%"</formula>
    </cfRule>
  </conditionalFormatting>
  <conditionalFormatting sqref="E47">
    <cfRule type="expression" dxfId="34" priority="53" stopIfTrue="1">
      <formula>#REF!+$F$47="超过20%"</formula>
    </cfRule>
  </conditionalFormatting>
  <conditionalFormatting sqref="E48">
    <cfRule type="expression" dxfId="33" priority="10" stopIfTrue="1">
      <formula>$F$48="超过30%"</formula>
    </cfRule>
  </conditionalFormatting>
  <conditionalFormatting sqref="F7:F40 H7:H40 J7:J40">
    <cfRule type="cellIs" dxfId="32" priority="1" operator="notEqual">
      <formula>100</formula>
    </cfRule>
  </conditionalFormatting>
  <conditionalFormatting sqref="F42">
    <cfRule type="expression" dxfId="31" priority="4">
      <formula>$D$42="简单平均"</formula>
    </cfRule>
  </conditionalFormatting>
  <conditionalFormatting sqref="F46:F48 H46:H48 J46:J48">
    <cfRule type="containsText" dxfId="30" priority="14" stopIfTrue="1" operator="containsText" text="超过">
      <formula>NOT(ISERROR(SEARCH("超过",F46)))</formula>
    </cfRule>
  </conditionalFormatting>
  <conditionalFormatting sqref="G46">
    <cfRule type="expression" dxfId="29" priority="9" stopIfTrue="1">
      <formula>$H$46="超过30%"</formula>
    </cfRule>
  </conditionalFormatting>
  <conditionalFormatting sqref="G47">
    <cfRule type="expression" dxfId="28" priority="8" stopIfTrue="1">
      <formula>$H$47="超过20%"</formula>
    </cfRule>
  </conditionalFormatting>
  <conditionalFormatting sqref="G48">
    <cfRule type="expression" dxfId="27" priority="12" stopIfTrue="1">
      <formula>$H$48="超过30%"</formula>
    </cfRule>
  </conditionalFormatting>
  <conditionalFormatting sqref="H42">
    <cfRule type="expression" dxfId="26" priority="3">
      <formula>$D$42="简单平均"</formula>
    </cfRule>
  </conditionalFormatting>
  <conditionalFormatting sqref="I46">
    <cfRule type="expression" dxfId="25" priority="7" stopIfTrue="1">
      <formula>$J$46="超过30%"</formula>
    </cfRule>
  </conditionalFormatting>
  <conditionalFormatting sqref="I47">
    <cfRule type="expression" dxfId="24" priority="6" stopIfTrue="1">
      <formula>$J$47="超过20%"</formula>
    </cfRule>
  </conditionalFormatting>
  <conditionalFormatting sqref="I48">
    <cfRule type="expression" dxfId="23" priority="5" stopIfTrue="1">
      <formula>$J$48="超过30%"</formula>
    </cfRule>
  </conditionalFormatting>
  <conditionalFormatting sqref="J42">
    <cfRule type="expression" dxfId="22"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0" t="s">
        <v>2084</v>
      </c>
      <c r="D1" s="3451"/>
      <c r="E1" s="3451"/>
      <c r="F1" s="3451"/>
      <c r="G1" s="3451"/>
      <c r="H1" s="3451"/>
      <c r="I1" s="3451"/>
      <c r="J1" s="3451"/>
      <c r="K1" s="3451"/>
      <c r="L1" s="3451"/>
      <c r="M1" s="3451"/>
      <c r="N1" s="3451"/>
      <c r="O1" s="3451"/>
      <c r="P1" s="3451"/>
      <c r="Q1" s="3451"/>
      <c r="R1" s="3451"/>
      <c r="S1" s="3452"/>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7" t="s">
        <v>27</v>
      </c>
      <c r="D22" s="3448"/>
      <c r="E22" s="3448"/>
      <c r="F22" s="3448"/>
      <c r="G22" s="3448"/>
      <c r="H22" s="3448"/>
      <c r="I22" s="3448"/>
      <c r="J22" s="3448"/>
      <c r="K22" s="3448"/>
      <c r="L22" s="3448"/>
      <c r="M22" s="3448"/>
      <c r="N22" s="3448"/>
      <c r="O22" s="3448"/>
      <c r="P22" s="3448"/>
      <c r="Q22" s="3449"/>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1"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542</v>
      </c>
      <c r="C2" s="1984" t="s">
        <v>2074</v>
      </c>
      <c r="D2" s="1984" t="s">
        <v>2075</v>
      </c>
      <c r="E2" s="2398">
        <f ca="1">SUMIF(E6:E13,"&lt;&gt;#ref!",E6:E13)</f>
        <v>606.78</v>
      </c>
      <c r="F2" s="2545"/>
      <c r="G2" s="2545"/>
      <c r="H2" s="2545"/>
      <c r="I2" s="2545"/>
      <c r="J2" s="2545"/>
      <c r="K2" s="2545"/>
      <c r="L2" s="2545"/>
      <c r="M2" s="2545"/>
      <c r="N2" s="2545"/>
      <c r="O2" s="2545"/>
      <c r="P2" s="2545"/>
    </row>
    <row r="3" spans="1:16" ht="15.75">
      <c r="A3" s="1984" t="s">
        <v>2076</v>
      </c>
      <c r="B3" s="2388">
        <f ca="1">ROUND(B2*10000/E2,0)</f>
        <v>8932</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542</v>
      </c>
      <c r="C6" s="1984" t="s">
        <v>2074</v>
      </c>
      <c r="D6" s="2545"/>
      <c r="E6" s="2398">
        <f ca="1">SUMIF(INDIRECT("'"&amp;A6&amp;"'"&amp;"!C:C"),"建筑面积",INDIRECT("'"&amp;A6&amp;"'"&amp;"!D:D"))</f>
        <v>606.78</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EA1CD3-A997-4A74-850D-FF8A2968C067}">
  <sheetPr>
    <tabColor rgb="FF92D050"/>
    <pageSetUpPr fitToPage="1"/>
  </sheetPr>
  <dimension ref="A1:AC132"/>
  <sheetViews>
    <sheetView view="pageBreakPreview" topLeftCell="A81" zoomScale="85" zoomScaleNormal="70" zoomScaleSheetLayoutView="85" workbookViewId="0">
      <selection activeCell="D64" sqref="D64"/>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t="s">
        <v>21</v>
      </c>
      <c r="E1" s="3132" t="s">
        <v>3405</v>
      </c>
      <c r="F1" s="1735" t="s">
        <v>3453</v>
      </c>
      <c r="G1" s="1152" t="s">
        <v>1663</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685</v>
      </c>
      <c r="B2" s="1085">
        <f>IF(E1="项目模式",IF(C2="——",ROUND(C50*D3/10000,0),ROUND(C50*D3/10000,0)-D2),IF(E1="单套模式",IF(C2="——",ROUND(C50*D3/10000,4),ROUND(C50*D3/10000,4)-D2)))</f>
        <v>0.20630000000000001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686</v>
      </c>
      <c r="B3" s="536">
        <f>IF(C2="——",C50,ROUND(B2*10000/D3,0))</f>
        <v>3.4</v>
      </c>
      <c r="C3" s="344" t="s">
        <v>1665</v>
      </c>
      <c r="D3" s="343">
        <f>IF(D1="",'数据-汇总表'!E3,SUMIF('数据-汇总表'!$C19:$C33,D1,'数据-汇总表'!$E19:$E33))</f>
        <v>606.78</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1666</v>
      </c>
      <c r="B4" s="346"/>
      <c r="C4" s="3372" t="s">
        <v>1667</v>
      </c>
      <c r="D4" s="3373"/>
      <c r="E4" s="3374" t="s">
        <v>1668</v>
      </c>
      <c r="F4" s="3375"/>
      <c r="G4" s="3372" t="s">
        <v>1669</v>
      </c>
      <c r="H4" s="3373"/>
      <c r="I4" s="3372" t="s">
        <v>1670</v>
      </c>
      <c r="J4" s="3373"/>
      <c r="K4" s="537" t="s">
        <v>1671</v>
      </c>
      <c r="L4" s="2487"/>
      <c r="M4" s="2488"/>
      <c r="N4" s="2488"/>
      <c r="O4" s="2488"/>
      <c r="P4" s="3376" t="s">
        <v>1672</v>
      </c>
      <c r="Q4" s="3377"/>
      <c r="R4" s="3355" t="s">
        <v>1668</v>
      </c>
      <c r="S4" s="3356"/>
      <c r="T4" s="3355" t="s">
        <v>1669</v>
      </c>
      <c r="U4" s="3356"/>
      <c r="V4" s="3384" t="s">
        <v>1670</v>
      </c>
      <c r="W4" s="3384"/>
      <c r="X4" s="1809"/>
      <c r="Y4" s="3355" t="s">
        <v>1672</v>
      </c>
      <c r="Z4" s="3356"/>
      <c r="AA4" s="3350" t="s">
        <v>1668</v>
      </c>
      <c r="AB4" s="3350" t="s">
        <v>1669</v>
      </c>
      <c r="AC4" s="3369" t="s">
        <v>1670</v>
      </c>
    </row>
    <row r="5" spans="1:29" ht="15">
      <c r="A5" s="348"/>
      <c r="B5" s="349"/>
      <c r="C5" s="3361" t="s">
        <v>1673</v>
      </c>
      <c r="D5" s="3362"/>
      <c r="E5" s="3359" t="s">
        <v>3416</v>
      </c>
      <c r="F5" s="3360"/>
      <c r="G5" s="3365" t="s">
        <v>3416</v>
      </c>
      <c r="H5" s="3362"/>
      <c r="I5" s="3365" t="s">
        <v>3416</v>
      </c>
      <c r="J5" s="3362"/>
      <c r="K5" s="537"/>
      <c r="L5" s="2487"/>
      <c r="M5" s="2488"/>
      <c r="N5" s="2488"/>
      <c r="O5" s="2488"/>
      <c r="P5" s="3378"/>
      <c r="Q5" s="3379"/>
      <c r="R5" s="3357"/>
      <c r="S5" s="3358"/>
      <c r="T5" s="3357"/>
      <c r="U5" s="3358"/>
      <c r="V5" s="3385"/>
      <c r="W5" s="3385"/>
      <c r="X5" s="1265"/>
      <c r="Y5" s="3357"/>
      <c r="Z5" s="3358"/>
      <c r="AA5" s="3351"/>
      <c r="AB5" s="3351"/>
      <c r="AC5" s="3370"/>
    </row>
    <row r="6" spans="1:29" ht="15.75" thickBot="1">
      <c r="A6" s="350"/>
      <c r="B6" s="351"/>
      <c r="C6" s="3363" t="s">
        <v>1677</v>
      </c>
      <c r="D6" s="3364"/>
      <c r="E6" s="3366" t="s">
        <v>1677</v>
      </c>
      <c r="F6" s="3367"/>
      <c r="G6" s="3363" t="s">
        <v>1677</v>
      </c>
      <c r="H6" s="3364"/>
      <c r="I6" s="3363" t="s">
        <v>1677</v>
      </c>
      <c r="J6" s="3364"/>
      <c r="K6" s="537" t="s">
        <v>1678</v>
      </c>
      <c r="L6" s="2487"/>
      <c r="M6" s="2488"/>
      <c r="N6" s="2488"/>
      <c r="O6" s="2488"/>
      <c r="P6" s="3380"/>
      <c r="Q6" s="3381"/>
      <c r="R6" s="3357"/>
      <c r="S6" s="3358"/>
      <c r="T6" s="3382"/>
      <c r="U6" s="3383"/>
      <c r="V6" s="3385"/>
      <c r="W6" s="3385"/>
      <c r="X6" s="1265"/>
      <c r="Y6" s="3382"/>
      <c r="Z6" s="3383"/>
      <c r="AA6" s="3352"/>
      <c r="AB6" s="3352"/>
      <c r="AC6" s="3371"/>
    </row>
    <row r="7" spans="1:29" s="102" customFormat="1" ht="15.75" thickBot="1">
      <c r="A7" s="352" t="s">
        <v>1679</v>
      </c>
      <c r="B7" s="353"/>
      <c r="C7" s="354">
        <f>'数据-取费表'!B2</f>
        <v>45693</v>
      </c>
      <c r="D7" s="355">
        <v>100</v>
      </c>
      <c r="E7" s="356">
        <f>C7</f>
        <v>45693</v>
      </c>
      <c r="F7" s="357">
        <f>SUMIF(59:59,YEAR(E7)&amp;"-"&amp;MONTH(E7),60:60)</f>
        <v>100</v>
      </c>
      <c r="G7" s="356">
        <f>C7</f>
        <v>45693</v>
      </c>
      <c r="H7" s="355">
        <f>SUMIF(59:59,YEAR(G7)&amp;"-"&amp;MONTH(G7),60:60)</f>
        <v>100</v>
      </c>
      <c r="I7" s="356">
        <f>C7</f>
        <v>45693</v>
      </c>
      <c r="J7" s="355">
        <f>SUMIF(59:59,YEAR(I7)&amp;"-"&amp;MONTH(I7),60:60)</f>
        <v>100</v>
      </c>
      <c r="K7" s="38"/>
      <c r="L7" s="2489"/>
      <c r="M7" s="2440"/>
      <c r="N7" s="2440"/>
      <c r="O7" s="2440"/>
      <c r="P7" s="3386" t="s">
        <v>1680</v>
      </c>
      <c r="Q7" s="3387"/>
      <c r="R7" s="664" t="s">
        <v>14</v>
      </c>
      <c r="S7" s="665">
        <f t="shared" ref="S7:S15" si="0">F7</f>
        <v>100</v>
      </c>
      <c r="T7" s="664" t="s">
        <v>14</v>
      </c>
      <c r="U7" s="665">
        <f t="shared" ref="U7:U15" si="1">H7</f>
        <v>100</v>
      </c>
      <c r="V7" s="664" t="s">
        <v>14</v>
      </c>
      <c r="W7" s="665">
        <f t="shared" ref="W7:W15" si="2">J7</f>
        <v>100</v>
      </c>
      <c r="X7" s="666"/>
      <c r="Y7" s="3353" t="s">
        <v>1680</v>
      </c>
      <c r="Z7" s="3354"/>
      <c r="AA7" s="50">
        <f>D7/F7</f>
        <v>1</v>
      </c>
      <c r="AB7" s="50">
        <f>D7/H7</f>
        <v>1</v>
      </c>
      <c r="AC7" s="802">
        <f>D7/J7</f>
        <v>1</v>
      </c>
    </row>
    <row r="8" spans="1:29" s="102" customFormat="1" ht="15.75" thickBot="1">
      <c r="A8" s="352" t="s">
        <v>1681</v>
      </c>
      <c r="B8" s="353"/>
      <c r="C8" s="358" t="s">
        <v>3428</v>
      </c>
      <c r="D8" s="355">
        <v>100</v>
      </c>
      <c r="E8" s="358" t="s">
        <v>3429</v>
      </c>
      <c r="F8" s="357">
        <f>SUMIF(62:62,E8,63:63)-SUMIF(62:62,C8,63:63)+100</f>
        <v>103</v>
      </c>
      <c r="G8" s="358" t="s">
        <v>3429</v>
      </c>
      <c r="H8" s="355">
        <f>SUMIF(62:62,G8,63:63)-SUMIF(62:62,C8,63:63)+100</f>
        <v>103</v>
      </c>
      <c r="I8" s="358" t="s">
        <v>3429</v>
      </c>
      <c r="J8" s="355">
        <f>SUMIF(62:62,I8,63:63)-SUMIF(62:62,C8,63:63)+100</f>
        <v>103</v>
      </c>
      <c r="K8" s="38"/>
      <c r="L8" s="2489"/>
      <c r="M8" s="2440"/>
      <c r="N8" s="2440"/>
      <c r="O8" s="2440"/>
      <c r="P8" s="3386" t="s">
        <v>1683</v>
      </c>
      <c r="Q8" s="3354"/>
      <c r="R8" s="664" t="s">
        <v>14</v>
      </c>
      <c r="S8" s="665">
        <f t="shared" si="0"/>
        <v>103</v>
      </c>
      <c r="T8" s="664" t="s">
        <v>14</v>
      </c>
      <c r="U8" s="665">
        <f t="shared" si="1"/>
        <v>103</v>
      </c>
      <c r="V8" s="664" t="s">
        <v>14</v>
      </c>
      <c r="W8" s="665">
        <f t="shared" si="2"/>
        <v>103</v>
      </c>
      <c r="X8" s="666"/>
      <c r="Y8" s="3353" t="s">
        <v>1683</v>
      </c>
      <c r="Z8" s="3354"/>
      <c r="AA8" s="50">
        <f t="shared" ref="AA8:AA47" si="3">D8/F8</f>
        <v>0.970873786407767</v>
      </c>
      <c r="AB8" s="50">
        <f t="shared" ref="AB8:AB47" si="4">D8/H8</f>
        <v>0.970873786407767</v>
      </c>
      <c r="AC8" s="802">
        <f t="shared" ref="AC8:AC47" si="5">D8/J8</f>
        <v>0.970873786407767</v>
      </c>
    </row>
    <row r="9" spans="1:29" s="102" customFormat="1">
      <c r="A9" s="359" t="s">
        <v>1684</v>
      </c>
      <c r="B9" s="60" t="s">
        <v>1685</v>
      </c>
      <c r="C9" s="3159" t="s">
        <v>3430</v>
      </c>
      <c r="D9" s="59">
        <v>100</v>
      </c>
      <c r="E9" s="362" t="s">
        <v>21</v>
      </c>
      <c r="F9" s="59">
        <f>SUMIF(64:64,E9,65:65)-SUMIF(64:64,C9,65:65)+100</f>
        <v>100</v>
      </c>
      <c r="G9" s="361" t="s">
        <v>21</v>
      </c>
      <c r="H9" s="59">
        <f>SUMIF(64:64,G9,65:65)-SUMIF(64:64,C9,65:65)+100</f>
        <v>100</v>
      </c>
      <c r="I9" s="361" t="s">
        <v>21</v>
      </c>
      <c r="J9" s="59">
        <f>SUMIF(64:64,I9,65:65)-SUMIF(64:64,C9,65:65)+100</f>
        <v>100</v>
      </c>
      <c r="K9" s="38"/>
      <c r="L9" s="2489"/>
      <c r="M9" s="2440"/>
      <c r="N9" s="2440"/>
      <c r="O9" s="2440"/>
      <c r="P9" s="3368" t="s">
        <v>1686</v>
      </c>
      <c r="Q9" s="530" t="str">
        <f t="shared" ref="Q9:Q15" si="6">B9</f>
        <v>用途</v>
      </c>
      <c r="R9" s="664" t="s">
        <v>14</v>
      </c>
      <c r="S9" s="665">
        <f t="shared" si="0"/>
        <v>100</v>
      </c>
      <c r="T9" s="664" t="s">
        <v>14</v>
      </c>
      <c r="U9" s="665">
        <f t="shared" si="1"/>
        <v>100</v>
      </c>
      <c r="V9" s="664" t="s">
        <v>14</v>
      </c>
      <c r="W9" s="665">
        <f t="shared" si="2"/>
        <v>100</v>
      </c>
      <c r="X9" s="666"/>
      <c r="Y9" s="3323" t="s">
        <v>1687</v>
      </c>
      <c r="Z9" s="50" t="str">
        <f t="shared" ref="Z9:Z15" si="7">Q9</f>
        <v>用途</v>
      </c>
      <c r="AA9" s="50">
        <f t="shared" si="3"/>
        <v>1</v>
      </c>
      <c r="AB9" s="50">
        <f t="shared" si="4"/>
        <v>1</v>
      </c>
      <c r="AC9" s="802">
        <f t="shared" si="5"/>
        <v>1</v>
      </c>
    </row>
    <row r="10" spans="1:29" s="366" customFormat="1" ht="27">
      <c r="A10" s="363"/>
      <c r="B10" s="364" t="s">
        <v>1688</v>
      </c>
      <c r="C10" s="3163" t="s">
        <v>3454</v>
      </c>
      <c r="D10" s="119">
        <v>100</v>
      </c>
      <c r="E10" s="3163" t="s">
        <v>3454</v>
      </c>
      <c r="F10" s="119">
        <f>SUMIF(66:66,E10,67:67)-SUMIF(66:66,C10,67:67)+100</f>
        <v>100</v>
      </c>
      <c r="G10" s="3164" t="s">
        <v>3454</v>
      </c>
      <c r="H10" s="119">
        <f>SUMIF(66:66,G10,67:67)-SUMIF(66:66,C10,67:67)+100</f>
        <v>100</v>
      </c>
      <c r="I10" s="3163" t="s">
        <v>3454</v>
      </c>
      <c r="J10" s="119">
        <f>SUMIF(66:66,I10,67:67)-SUMIF(66:66,C10,67:67)+100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802">
        <f t="shared" si="5"/>
        <v>1</v>
      </c>
    </row>
    <row r="11" spans="1:29" ht="15.75" thickBot="1">
      <c r="A11" s="367"/>
      <c r="B11" s="364" t="s">
        <v>1689</v>
      </c>
      <c r="C11" s="368">
        <v>2.5</v>
      </c>
      <c r="D11" s="119">
        <v>100</v>
      </c>
      <c r="E11" s="368">
        <v>2.5</v>
      </c>
      <c r="F11" s="119">
        <f>LOOKUP(E11,69:69,70:70)-LOOKUP(C11,69:69,70:70)+100</f>
        <v>100</v>
      </c>
      <c r="G11" s="369">
        <v>2.5</v>
      </c>
      <c r="H11" s="119">
        <f>LOOKUP(G11,69:69,70:70)-LOOKUP(C11,69:69,70:70)+100</f>
        <v>100</v>
      </c>
      <c r="I11" s="368">
        <v>2.5</v>
      </c>
      <c r="J11" s="119">
        <f>LOOKUP(I11,69:69,70:70)-LOOKUP(C11,69:69,70:70)+100</f>
        <v>100</v>
      </c>
      <c r="K11" s="538"/>
      <c r="L11" s="2492"/>
      <c r="M11" s="2488"/>
      <c r="N11" s="2488"/>
      <c r="O11" s="2488"/>
      <c r="P11" s="3368"/>
      <c r="Q11" s="530" t="str">
        <f t="shared" si="6"/>
        <v>容积率</v>
      </c>
      <c r="R11" s="664" t="s">
        <v>14</v>
      </c>
      <c r="S11" s="665">
        <f t="shared" si="0"/>
        <v>100</v>
      </c>
      <c r="T11" s="664" t="s">
        <v>14</v>
      </c>
      <c r="U11" s="665">
        <f t="shared" si="1"/>
        <v>100</v>
      </c>
      <c r="V11" s="664" t="s">
        <v>14</v>
      </c>
      <c r="W11" s="665">
        <f t="shared" si="2"/>
        <v>100</v>
      </c>
      <c r="X11" s="666"/>
      <c r="Y11" s="3323"/>
      <c r="Z11" s="50" t="str">
        <f t="shared" si="7"/>
        <v>容积率</v>
      </c>
      <c r="AA11" s="50">
        <f t="shared" si="3"/>
        <v>1</v>
      </c>
      <c r="AB11" s="50">
        <f t="shared" si="4"/>
        <v>1</v>
      </c>
      <c r="AC11" s="802">
        <f t="shared" si="5"/>
        <v>1</v>
      </c>
    </row>
    <row r="12" spans="1:29" s="102" customFormat="1" ht="15" hidden="1">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802">
        <f>D12/J12</f>
        <v>1</v>
      </c>
    </row>
    <row r="13" spans="1:29" ht="15" hidden="1">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802">
        <f t="shared" si="5"/>
        <v>1</v>
      </c>
    </row>
    <row r="14" spans="1:29" ht="15.75" hidden="1"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68"/>
      <c r="Q14" s="530">
        <f t="shared" si="6"/>
        <v>111</v>
      </c>
      <c r="R14" s="664" t="s">
        <v>14</v>
      </c>
      <c r="S14" s="665">
        <f t="shared" si="0"/>
        <v>100</v>
      </c>
      <c r="T14" s="664" t="s">
        <v>14</v>
      </c>
      <c r="U14" s="665">
        <f t="shared" si="1"/>
        <v>100</v>
      </c>
      <c r="V14" s="664" t="s">
        <v>14</v>
      </c>
      <c r="W14" s="665">
        <f t="shared" si="2"/>
        <v>100</v>
      </c>
      <c r="X14" s="666"/>
      <c r="Y14" s="3323"/>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v>2</v>
      </c>
      <c r="L15" s="2493"/>
      <c r="M15" s="2488"/>
      <c r="N15" s="2488"/>
      <c r="O15" s="2488"/>
      <c r="P15" s="3388" t="s">
        <v>1691</v>
      </c>
      <c r="Q15" s="1263" t="str">
        <f t="shared" si="6"/>
        <v>办公集聚程度</v>
      </c>
      <c r="R15" s="667" t="s">
        <v>14</v>
      </c>
      <c r="S15" s="668">
        <f t="shared" si="0"/>
        <v>100</v>
      </c>
      <c r="T15" s="667" t="s">
        <v>14</v>
      </c>
      <c r="U15" s="668">
        <f t="shared" si="1"/>
        <v>100</v>
      </c>
      <c r="V15" s="667" t="s">
        <v>14</v>
      </c>
      <c r="W15" s="668">
        <f t="shared" si="2"/>
        <v>100</v>
      </c>
      <c r="X15" s="1265"/>
      <c r="Y15" s="3390" t="s">
        <v>1691</v>
      </c>
      <c r="Z15" s="1264" t="str">
        <f t="shared" si="7"/>
        <v>办公集聚程度</v>
      </c>
      <c r="AA15" s="1264">
        <f t="shared" si="3"/>
        <v>1</v>
      </c>
      <c r="AB15" s="1264">
        <f t="shared" si="4"/>
        <v>1</v>
      </c>
      <c r="AC15" s="1812">
        <f t="shared" si="5"/>
        <v>1</v>
      </c>
    </row>
    <row r="16" spans="1:29" ht="15">
      <c r="A16" s="367"/>
      <c r="B16" s="555"/>
      <c r="C16" s="1758" t="s">
        <v>3411</v>
      </c>
      <c r="D16" s="387"/>
      <c r="E16" s="1758" t="s">
        <v>3411</v>
      </c>
      <c r="F16" s="387"/>
      <c r="G16" s="1758" t="s">
        <v>3411</v>
      </c>
      <c r="H16" s="389"/>
      <c r="I16" s="1758" t="s">
        <v>3411</v>
      </c>
      <c r="J16" s="387"/>
      <c r="K16" s="541"/>
      <c r="L16" s="2493"/>
      <c r="M16" s="2488"/>
      <c r="N16" s="2488"/>
      <c r="O16" s="2488"/>
      <c r="P16" s="3389"/>
      <c r="Q16" s="1263"/>
      <c r="R16" s="667"/>
      <c r="S16" s="668"/>
      <c r="T16" s="667"/>
      <c r="U16" s="668"/>
      <c r="V16" s="667"/>
      <c r="W16" s="668"/>
      <c r="X16" s="1265"/>
      <c r="Y16" s="3391"/>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v>2</v>
      </c>
      <c r="L17" s="2493"/>
      <c r="M17" s="2488"/>
      <c r="N17" s="2488"/>
      <c r="O17" s="2488"/>
      <c r="P17" s="3389"/>
      <c r="Q17" s="1263" t="str">
        <f>B17</f>
        <v>交通便捷度</v>
      </c>
      <c r="R17" s="667" t="s">
        <v>14</v>
      </c>
      <c r="S17" s="668">
        <f>F17</f>
        <v>100</v>
      </c>
      <c r="T17" s="667" t="s">
        <v>14</v>
      </c>
      <c r="U17" s="668">
        <f>H17</f>
        <v>100</v>
      </c>
      <c r="V17" s="667" t="s">
        <v>14</v>
      </c>
      <c r="W17" s="668">
        <f>J17</f>
        <v>100</v>
      </c>
      <c r="X17" s="1265"/>
      <c r="Y17" s="3391"/>
      <c r="Z17" s="1264" t="str">
        <f>Q17</f>
        <v>交通便捷度</v>
      </c>
      <c r="AA17" s="1264">
        <f t="shared" si="3"/>
        <v>1</v>
      </c>
      <c r="AB17" s="1264">
        <f t="shared" si="4"/>
        <v>1</v>
      </c>
      <c r="AC17" s="1812">
        <f t="shared" si="5"/>
        <v>1</v>
      </c>
    </row>
    <row r="18" spans="1:29" ht="15">
      <c r="A18" s="367"/>
      <c r="B18" s="401"/>
      <c r="C18" s="1814" t="s">
        <v>3412</v>
      </c>
      <c r="D18" s="389"/>
      <c r="E18" s="1814" t="s">
        <v>3412</v>
      </c>
      <c r="F18" s="389"/>
      <c r="G18" s="1814" t="s">
        <v>3412</v>
      </c>
      <c r="H18" s="387"/>
      <c r="I18" s="1814" t="s">
        <v>3412</v>
      </c>
      <c r="J18" s="387"/>
      <c r="K18" s="541"/>
      <c r="L18" s="2493"/>
      <c r="M18" s="2488"/>
      <c r="N18" s="2488"/>
      <c r="O18" s="2488"/>
      <c r="P18" s="3389"/>
      <c r="Q18" s="1263"/>
      <c r="R18" s="667"/>
      <c r="S18" s="668"/>
      <c r="T18" s="667"/>
      <c r="U18" s="668"/>
      <c r="V18" s="667"/>
      <c r="W18" s="668"/>
      <c r="X18" s="1265"/>
      <c r="Y18" s="3391"/>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v>2</v>
      </c>
      <c r="L19" s="2493"/>
      <c r="M19" s="2488"/>
      <c r="N19" s="2488"/>
      <c r="O19" s="2488"/>
      <c r="P19" s="3389"/>
      <c r="Q19" s="1263" t="str">
        <f>B19</f>
        <v>公共配套设施</v>
      </c>
      <c r="R19" s="667" t="s">
        <v>14</v>
      </c>
      <c r="S19" s="668">
        <f>F19</f>
        <v>100</v>
      </c>
      <c r="T19" s="667" t="s">
        <v>14</v>
      </c>
      <c r="U19" s="668">
        <f>H19</f>
        <v>100</v>
      </c>
      <c r="V19" s="667" t="s">
        <v>14</v>
      </c>
      <c r="W19" s="668">
        <f>J19</f>
        <v>100</v>
      </c>
      <c r="X19" s="1265"/>
      <c r="Y19" s="3391"/>
      <c r="Z19" s="1264" t="str">
        <f>Q19</f>
        <v>公共配套设施</v>
      </c>
      <c r="AA19" s="1264">
        <f t="shared" si="3"/>
        <v>1</v>
      </c>
      <c r="AB19" s="1264">
        <f t="shared" si="4"/>
        <v>1</v>
      </c>
      <c r="AC19" s="1812">
        <f t="shared" si="5"/>
        <v>1</v>
      </c>
    </row>
    <row r="20" spans="1:29" ht="15">
      <c r="A20" s="367"/>
      <c r="B20" s="401"/>
      <c r="C20" s="1758" t="s">
        <v>3412</v>
      </c>
      <c r="D20" s="387"/>
      <c r="E20" s="1814" t="s">
        <v>3412</v>
      </c>
      <c r="F20" s="387"/>
      <c r="G20" s="1814" t="s">
        <v>3412</v>
      </c>
      <c r="H20" s="387"/>
      <c r="I20" s="1814" t="s">
        <v>3412</v>
      </c>
      <c r="J20" s="387"/>
      <c r="K20" s="541"/>
      <c r="L20" s="2493"/>
      <c r="M20" s="2488"/>
      <c r="N20" s="2488"/>
      <c r="O20" s="2488"/>
      <c r="P20" s="3389"/>
      <c r="Q20" s="1263"/>
      <c r="R20" s="667"/>
      <c r="S20" s="668"/>
      <c r="T20" s="667"/>
      <c r="U20" s="668"/>
      <c r="V20" s="667"/>
      <c r="W20" s="668"/>
      <c r="X20" s="1265"/>
      <c r="Y20" s="3391"/>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3"/>
      <c r="M21" s="2488"/>
      <c r="N21" s="2488"/>
      <c r="O21" s="2488"/>
      <c r="P21" s="3389"/>
      <c r="Q21" s="1263" t="str">
        <f>B21</f>
        <v>基础设施水平</v>
      </c>
      <c r="R21" s="667" t="s">
        <v>14</v>
      </c>
      <c r="S21" s="668">
        <f>F21</f>
        <v>100</v>
      </c>
      <c r="T21" s="667" t="s">
        <v>14</v>
      </c>
      <c r="U21" s="668">
        <f>H21</f>
        <v>100</v>
      </c>
      <c r="V21" s="667" t="s">
        <v>14</v>
      </c>
      <c r="W21" s="668">
        <f>J21</f>
        <v>100</v>
      </c>
      <c r="X21" s="1265"/>
      <c r="Y21" s="3391"/>
      <c r="Z21" s="1264" t="str">
        <f>Q21</f>
        <v>基础设施水平</v>
      </c>
      <c r="AA21" s="1264">
        <f t="shared" ref="AA21" si="8">D21/F21</f>
        <v>1</v>
      </c>
      <c r="AB21" s="1264">
        <f t="shared" ref="AB21" si="9">D21/H21</f>
        <v>1</v>
      </c>
      <c r="AC21" s="1812">
        <f t="shared" ref="AC21" si="10">D21/J21</f>
        <v>1</v>
      </c>
    </row>
    <row r="22" spans="1:29" ht="15">
      <c r="A22" s="367"/>
      <c r="B22" s="557"/>
      <c r="C22" s="1814" t="s">
        <v>3431</v>
      </c>
      <c r="D22" s="387"/>
      <c r="E22" s="1814" t="s">
        <v>3431</v>
      </c>
      <c r="F22" s="387"/>
      <c r="G22" s="1814" t="s">
        <v>3431</v>
      </c>
      <c r="H22" s="387"/>
      <c r="I22" s="1814" t="s">
        <v>3431</v>
      </c>
      <c r="J22" s="387"/>
      <c r="K22" s="1064"/>
      <c r="L22" s="2493"/>
      <c r="M22" s="2488"/>
      <c r="N22" s="2488"/>
      <c r="O22" s="2488"/>
      <c r="P22" s="3389"/>
      <c r="Q22" s="1263"/>
      <c r="R22" s="667"/>
      <c r="S22" s="668"/>
      <c r="T22" s="667"/>
      <c r="U22" s="668"/>
      <c r="V22" s="667"/>
      <c r="W22" s="668"/>
      <c r="X22" s="1265"/>
      <c r="Y22" s="3391"/>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v>2</v>
      </c>
      <c r="L23" s="2493"/>
      <c r="M23" s="2488"/>
      <c r="N23" s="2488"/>
      <c r="O23" s="2488"/>
      <c r="P23" s="3389"/>
      <c r="Q23" s="1263" t="str">
        <f>B23</f>
        <v>环境质量</v>
      </c>
      <c r="R23" s="667" t="s">
        <v>14</v>
      </c>
      <c r="S23" s="668">
        <f>F23</f>
        <v>100</v>
      </c>
      <c r="T23" s="667" t="s">
        <v>14</v>
      </c>
      <c r="U23" s="668">
        <f>H23</f>
        <v>100</v>
      </c>
      <c r="V23" s="667" t="s">
        <v>14</v>
      </c>
      <c r="W23" s="668">
        <f>J23</f>
        <v>100</v>
      </c>
      <c r="X23" s="1265"/>
      <c r="Y23" s="3391"/>
      <c r="Z23" s="1264" t="str">
        <f>Q23</f>
        <v>环境质量</v>
      </c>
      <c r="AA23" s="1264">
        <f t="shared" si="3"/>
        <v>1</v>
      </c>
      <c r="AB23" s="1264">
        <f t="shared" si="4"/>
        <v>1</v>
      </c>
      <c r="AC23" s="1812">
        <f t="shared" si="5"/>
        <v>1</v>
      </c>
    </row>
    <row r="24" spans="1:29" ht="15.75" thickBot="1">
      <c r="A24" s="367"/>
      <c r="B24" s="557"/>
      <c r="C24" s="1758" t="s">
        <v>3412</v>
      </c>
      <c r="D24" s="387"/>
      <c r="E24" s="1758" t="s">
        <v>3412</v>
      </c>
      <c r="F24" s="387"/>
      <c r="G24" s="1758" t="s">
        <v>3412</v>
      </c>
      <c r="H24" s="387"/>
      <c r="I24" s="1758" t="s">
        <v>3412</v>
      </c>
      <c r="J24" s="387"/>
      <c r="K24" s="541"/>
      <c r="L24" s="2493"/>
      <c r="M24" s="2488"/>
      <c r="N24" s="2488"/>
      <c r="O24" s="2488"/>
      <c r="P24" s="3389"/>
      <c r="Q24" s="1263"/>
      <c r="R24" s="667"/>
      <c r="S24" s="668"/>
      <c r="T24" s="667"/>
      <c r="U24" s="668"/>
      <c r="V24" s="667"/>
      <c r="W24" s="668"/>
      <c r="X24" s="1265"/>
      <c r="Y24" s="3391"/>
      <c r="Z24" s="1264"/>
      <c r="AA24" s="1264">
        <v>1</v>
      </c>
      <c r="AB24" s="1264">
        <v>1</v>
      </c>
      <c r="AC24" s="1812">
        <v>1</v>
      </c>
    </row>
    <row r="25" spans="1:29" ht="27" hidden="1">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89"/>
      <c r="Q25" s="1263" t="str">
        <f>B25</f>
        <v>毗邻道路的类型与等级</v>
      </c>
      <c r="R25" s="667" t="s">
        <v>14</v>
      </c>
      <c r="S25" s="668">
        <f>F25</f>
        <v>100</v>
      </c>
      <c r="T25" s="667" t="s">
        <v>14</v>
      </c>
      <c r="U25" s="668">
        <f>H25</f>
        <v>100</v>
      </c>
      <c r="V25" s="667" t="s">
        <v>14</v>
      </c>
      <c r="W25" s="668">
        <f>J25</f>
        <v>100</v>
      </c>
      <c r="X25" s="1265"/>
      <c r="Y25" s="3391"/>
      <c r="Z25" s="1264" t="str">
        <f>Q25</f>
        <v>毗邻道路的类型与等级</v>
      </c>
      <c r="AA25" s="1264">
        <f t="shared" si="3"/>
        <v>1</v>
      </c>
      <c r="AB25" s="1264">
        <f t="shared" si="4"/>
        <v>1</v>
      </c>
      <c r="AC25" s="1812">
        <f t="shared" si="5"/>
        <v>1</v>
      </c>
    </row>
    <row r="26" spans="1:29" ht="15" hidden="1">
      <c r="A26" s="348"/>
      <c r="B26" s="401"/>
      <c r="C26" s="558"/>
      <c r="D26" s="374"/>
      <c r="E26" s="542"/>
      <c r="F26" s="374"/>
      <c r="G26" s="558"/>
      <c r="H26" s="374"/>
      <c r="I26" s="542"/>
      <c r="J26" s="374"/>
      <c r="K26" s="541"/>
      <c r="L26" s="2493"/>
      <c r="M26" s="2488"/>
      <c r="N26" s="2488"/>
      <c r="O26" s="2488"/>
      <c r="P26" s="3389"/>
      <c r="Q26" s="1263"/>
      <c r="R26" s="667"/>
      <c r="S26" s="668"/>
      <c r="T26" s="667"/>
      <c r="U26" s="668"/>
      <c r="V26" s="667"/>
      <c r="W26" s="668"/>
      <c r="X26" s="1265"/>
      <c r="Y26" s="3391"/>
      <c r="Z26" s="1264"/>
      <c r="AA26" s="1264">
        <v>1</v>
      </c>
      <c r="AB26" s="1264">
        <v>1</v>
      </c>
      <c r="AC26" s="1812">
        <v>1</v>
      </c>
    </row>
    <row r="27" spans="1:29" ht="15.75" hidden="1" thickBot="1">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93"/>
      <c r="M27" s="2488"/>
      <c r="N27" s="2488"/>
      <c r="O27" s="2488"/>
      <c r="P27" s="3389"/>
      <c r="Q27" s="1263" t="str">
        <f t="shared" ref="Q27:Q47" si="11">B27</f>
        <v>楼层</v>
      </c>
      <c r="R27" s="667" t="s">
        <v>14</v>
      </c>
      <c r="S27" s="668">
        <f>F27</f>
        <v>100</v>
      </c>
      <c r="T27" s="667" t="s">
        <v>14</v>
      </c>
      <c r="U27" s="668">
        <f>H27</f>
        <v>100</v>
      </c>
      <c r="V27" s="667" t="s">
        <v>14</v>
      </c>
      <c r="W27" s="668">
        <f>J27</f>
        <v>100</v>
      </c>
      <c r="X27" s="1265"/>
      <c r="Y27" s="3391"/>
      <c r="Z27" s="1264" t="str">
        <f>Q27</f>
        <v>楼层</v>
      </c>
      <c r="AA27" s="1264">
        <f t="shared" si="3"/>
        <v>1</v>
      </c>
      <c r="AB27" s="1264">
        <f t="shared" si="4"/>
        <v>1</v>
      </c>
      <c r="AC27" s="1812">
        <f t="shared" si="5"/>
        <v>1</v>
      </c>
    </row>
    <row r="28" spans="1:29" s="102" customFormat="1" ht="15.75" hidden="1" thickBot="1">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89"/>
      <c r="Q28" s="530" t="str">
        <f t="shared" si="11"/>
        <v>朝向</v>
      </c>
      <c r="R28" s="664" t="s">
        <v>14</v>
      </c>
      <c r="S28" s="665">
        <f>F28</f>
        <v>100</v>
      </c>
      <c r="T28" s="664" t="s">
        <v>14</v>
      </c>
      <c r="U28" s="665">
        <f>H28</f>
        <v>100</v>
      </c>
      <c r="V28" s="664" t="s">
        <v>14</v>
      </c>
      <c r="W28" s="665">
        <f>J28</f>
        <v>100</v>
      </c>
      <c r="X28" s="666"/>
      <c r="Y28" s="3391"/>
      <c r="Z28" s="50" t="str">
        <f>Q28</f>
        <v>朝向</v>
      </c>
      <c r="AA28" s="1264">
        <f>D28/F28</f>
        <v>1</v>
      </c>
      <c r="AB28" s="1264">
        <f>D28/H28</f>
        <v>1</v>
      </c>
      <c r="AC28" s="1812">
        <f>D28/J28</f>
        <v>1</v>
      </c>
    </row>
    <row r="29" spans="1:29" ht="15.75" hidden="1" thickBot="1">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89"/>
      <c r="Q29" s="1263">
        <f t="shared" si="11"/>
        <v>111</v>
      </c>
      <c r="R29" s="667" t="s">
        <v>14</v>
      </c>
      <c r="S29" s="668">
        <f t="shared" ref="S29:S47" si="12">F29</f>
        <v>100</v>
      </c>
      <c r="T29" s="667" t="s">
        <v>14</v>
      </c>
      <c r="U29" s="668">
        <f t="shared" ref="U29:U47" si="13">H29</f>
        <v>100</v>
      </c>
      <c r="V29" s="667" t="s">
        <v>14</v>
      </c>
      <c r="W29" s="668">
        <f t="shared" ref="W29:W47" si="14">J29</f>
        <v>100</v>
      </c>
      <c r="X29" s="1265"/>
      <c r="Y29" s="3391"/>
      <c r="Z29" s="1264">
        <f t="shared" ref="Z29:Z47" si="15">Q29</f>
        <v>111</v>
      </c>
      <c r="AA29" s="1264">
        <f t="shared" si="3"/>
        <v>1</v>
      </c>
      <c r="AB29" s="1264">
        <f t="shared" si="4"/>
        <v>1</v>
      </c>
      <c r="AC29" s="1812">
        <f t="shared" si="5"/>
        <v>1</v>
      </c>
    </row>
    <row r="30" spans="1:29" ht="15.75" hidden="1" thickBot="1">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89"/>
      <c r="Q30" s="1263">
        <f t="shared" si="11"/>
        <v>111</v>
      </c>
      <c r="R30" s="667" t="s">
        <v>14</v>
      </c>
      <c r="S30" s="668">
        <f t="shared" si="12"/>
        <v>100</v>
      </c>
      <c r="T30" s="667" t="s">
        <v>14</v>
      </c>
      <c r="U30" s="668">
        <f t="shared" si="13"/>
        <v>100</v>
      </c>
      <c r="V30" s="667" t="s">
        <v>14</v>
      </c>
      <c r="W30" s="668">
        <f t="shared" si="14"/>
        <v>100</v>
      </c>
      <c r="X30" s="1265"/>
      <c r="Y30" s="3391"/>
      <c r="Z30" s="1264">
        <f t="shared" si="15"/>
        <v>111</v>
      </c>
      <c r="AA30" s="1264">
        <f t="shared" si="3"/>
        <v>1</v>
      </c>
      <c r="AB30" s="1264">
        <f t="shared" si="4"/>
        <v>1</v>
      </c>
      <c r="AC30" s="1812">
        <f t="shared" si="5"/>
        <v>1</v>
      </c>
    </row>
    <row r="31" spans="1:29" ht="15.75" hidden="1" thickBot="1">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89"/>
      <c r="Q31" s="1263">
        <f t="shared" si="11"/>
        <v>111</v>
      </c>
      <c r="R31" s="667" t="s">
        <v>14</v>
      </c>
      <c r="S31" s="668">
        <f t="shared" si="12"/>
        <v>100</v>
      </c>
      <c r="T31" s="667" t="s">
        <v>14</v>
      </c>
      <c r="U31" s="668">
        <f t="shared" si="13"/>
        <v>100</v>
      </c>
      <c r="V31" s="667" t="s">
        <v>14</v>
      </c>
      <c r="W31" s="668">
        <f t="shared" si="14"/>
        <v>100</v>
      </c>
      <c r="X31" s="1265"/>
      <c r="Y31" s="3391"/>
      <c r="Z31" s="1264">
        <f t="shared" si="15"/>
        <v>111</v>
      </c>
      <c r="AA31" s="1264">
        <f t="shared" si="3"/>
        <v>1</v>
      </c>
      <c r="AB31" s="1264">
        <f t="shared" si="4"/>
        <v>1</v>
      </c>
      <c r="AC31" s="1812">
        <f t="shared" si="5"/>
        <v>1</v>
      </c>
    </row>
    <row r="32" spans="1:29" ht="15.75" hidden="1"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89"/>
      <c r="Q32" s="1263">
        <f t="shared" si="11"/>
        <v>111</v>
      </c>
      <c r="R32" s="667" t="s">
        <v>14</v>
      </c>
      <c r="S32" s="668">
        <f t="shared" si="12"/>
        <v>100</v>
      </c>
      <c r="T32" s="667" t="s">
        <v>14</v>
      </c>
      <c r="U32" s="668">
        <f t="shared" si="13"/>
        <v>100</v>
      </c>
      <c r="V32" s="667" t="s">
        <v>14</v>
      </c>
      <c r="W32" s="668">
        <f t="shared" si="14"/>
        <v>100</v>
      </c>
      <c r="X32" s="1265"/>
      <c r="Y32" s="3391"/>
      <c r="Z32" s="1264">
        <f t="shared" si="15"/>
        <v>111</v>
      </c>
      <c r="AA32" s="1264">
        <f t="shared" si="3"/>
        <v>1</v>
      </c>
      <c r="AB32" s="1264">
        <f t="shared" si="4"/>
        <v>1</v>
      </c>
      <c r="AC32" s="1812">
        <f t="shared" si="5"/>
        <v>1</v>
      </c>
    </row>
    <row r="33" spans="1:29" ht="15">
      <c r="A33" s="379" t="s">
        <v>1694</v>
      </c>
      <c r="B33" s="60" t="s">
        <v>1817</v>
      </c>
      <c r="C33" s="1764" t="s">
        <v>3432</v>
      </c>
      <c r="D33" s="405">
        <v>100</v>
      </c>
      <c r="E33" s="1764" t="s">
        <v>3432</v>
      </c>
      <c r="F33" s="400">
        <f>SUMIF(101:101,E33,102:102)-SUMIF(101:101,C33,102:102)+100</f>
        <v>100</v>
      </c>
      <c r="G33" s="1764" t="s">
        <v>3432</v>
      </c>
      <c r="H33" s="374">
        <f>SUMIF(101:101,G33,102:102)-SUMIF(101:101,C33,102:102)+100</f>
        <v>100</v>
      </c>
      <c r="I33" s="1764" t="s">
        <v>3432</v>
      </c>
      <c r="J33" s="405">
        <f>SUMIF(101:101,I33,102:102)-SUMIF(101:101,C33,102:102)+100</f>
        <v>100</v>
      </c>
      <c r="K33" s="538">
        <v>1</v>
      </c>
      <c r="L33" s="2493"/>
      <c r="M33" s="2488"/>
      <c r="N33" s="2488"/>
      <c r="O33" s="2488"/>
      <c r="P33" s="3392" t="s">
        <v>1696</v>
      </c>
      <c r="Q33" s="1263" t="str">
        <f t="shared" si="11"/>
        <v>建筑类型</v>
      </c>
      <c r="R33" s="667" t="s">
        <v>14</v>
      </c>
      <c r="S33" s="668">
        <f t="shared" si="12"/>
        <v>100</v>
      </c>
      <c r="T33" s="667" t="s">
        <v>14</v>
      </c>
      <c r="U33" s="668">
        <f t="shared" si="13"/>
        <v>100</v>
      </c>
      <c r="V33" s="667" t="s">
        <v>14</v>
      </c>
      <c r="W33" s="668">
        <f t="shared" si="14"/>
        <v>100</v>
      </c>
      <c r="X33" s="1265"/>
      <c r="Y33" s="3395" t="s">
        <v>1696</v>
      </c>
      <c r="Z33" s="1264" t="str">
        <f t="shared" si="15"/>
        <v>建筑类型</v>
      </c>
      <c r="AA33" s="1264">
        <f t="shared" si="3"/>
        <v>1</v>
      </c>
      <c r="AB33" s="1264">
        <f t="shared" si="4"/>
        <v>1</v>
      </c>
      <c r="AC33" s="1812">
        <f t="shared" si="5"/>
        <v>1</v>
      </c>
    </row>
    <row r="34" spans="1:29" s="408" customFormat="1" ht="15">
      <c r="A34" s="406"/>
      <c r="B34" s="364" t="s">
        <v>1697</v>
      </c>
      <c r="C34" s="407">
        <f>'数据-汇总表'!E3</f>
        <v>606.78</v>
      </c>
      <c r="D34" s="119">
        <v>100</v>
      </c>
      <c r="E34" s="407">
        <v>184.92</v>
      </c>
      <c r="F34" s="364">
        <f>LOOKUP(E34,104:104,105:105)-LOOKUP(C34,104:104,105:105)+100</f>
        <v>103</v>
      </c>
      <c r="G34" s="407">
        <v>586.20000000000005</v>
      </c>
      <c r="H34" s="119">
        <f>LOOKUP(G34,104:104,105:105)-LOOKUP(C34,104:104,105:105)+100</f>
        <v>101</v>
      </c>
      <c r="I34" s="407">
        <v>554.76</v>
      </c>
      <c r="J34" s="119">
        <f>LOOKUP(I34,104:104,105:105)-LOOKUP(C34,104:104,105:105)+100</f>
        <v>101</v>
      </c>
      <c r="K34" s="539"/>
      <c r="L34" s="2492"/>
      <c r="M34" s="2494"/>
      <c r="N34" s="2494"/>
      <c r="O34" s="2494"/>
      <c r="P34" s="3393"/>
      <c r="Q34" s="531" t="str">
        <f t="shared" si="11"/>
        <v>项目建筑规模</v>
      </c>
      <c r="R34" s="669" t="s">
        <v>14</v>
      </c>
      <c r="S34" s="670">
        <f t="shared" si="12"/>
        <v>103</v>
      </c>
      <c r="T34" s="669" t="s">
        <v>14</v>
      </c>
      <c r="U34" s="670">
        <f t="shared" si="13"/>
        <v>101</v>
      </c>
      <c r="V34" s="669" t="s">
        <v>14</v>
      </c>
      <c r="W34" s="670">
        <f t="shared" si="14"/>
        <v>101</v>
      </c>
      <c r="X34" s="671"/>
      <c r="Y34" s="3395"/>
      <c r="Z34" s="672" t="str">
        <f t="shared" si="15"/>
        <v>项目建筑规模</v>
      </c>
      <c r="AA34" s="1264">
        <f t="shared" si="3"/>
        <v>0.970873786407767</v>
      </c>
      <c r="AB34" s="1264">
        <f t="shared" si="4"/>
        <v>0.99009900990099009</v>
      </c>
      <c r="AC34" s="1812">
        <f t="shared" si="5"/>
        <v>0.99009900990099009</v>
      </c>
    </row>
    <row r="35" spans="1:29" ht="15">
      <c r="A35" s="409"/>
      <c r="B35" s="364" t="s">
        <v>1698</v>
      </c>
      <c r="C35" s="399" t="s">
        <v>3433</v>
      </c>
      <c r="D35" s="374">
        <v>100</v>
      </c>
      <c r="E35" s="399" t="s">
        <v>3433</v>
      </c>
      <c r="F35" s="400">
        <f>SUMIF(106:106,E35,107:107)-SUMIF(106:106,C35,107:107)+100</f>
        <v>100</v>
      </c>
      <c r="G35" s="399" t="s">
        <v>3433</v>
      </c>
      <c r="H35" s="374">
        <f>SUMIF(106:106,G35,107:107)-SUMIF(106:106,C35,107:107)+100</f>
        <v>100</v>
      </c>
      <c r="I35" s="399" t="s">
        <v>3433</v>
      </c>
      <c r="J35" s="374">
        <f>SUMIF(106:106,I35,107:107)-SUMIF(106:106,C35,107:107)+100</f>
        <v>100</v>
      </c>
      <c r="K35" s="538">
        <v>1</v>
      </c>
      <c r="L35" s="2493"/>
      <c r="M35" s="2488"/>
      <c r="N35" s="2488"/>
      <c r="O35" s="2488"/>
      <c r="P35" s="3393"/>
      <c r="Q35" s="1263" t="str">
        <f t="shared" si="11"/>
        <v>建筑结构</v>
      </c>
      <c r="R35" s="667" t="s">
        <v>14</v>
      </c>
      <c r="S35" s="668">
        <f t="shared" si="12"/>
        <v>100</v>
      </c>
      <c r="T35" s="667" t="s">
        <v>14</v>
      </c>
      <c r="U35" s="668">
        <f t="shared" si="13"/>
        <v>100</v>
      </c>
      <c r="V35" s="667" t="s">
        <v>14</v>
      </c>
      <c r="W35" s="668">
        <f t="shared" si="14"/>
        <v>100</v>
      </c>
      <c r="X35" s="1265"/>
      <c r="Y35" s="3395"/>
      <c r="Z35" s="1264" t="str">
        <f t="shared" si="15"/>
        <v>建筑结构</v>
      </c>
      <c r="AA35" s="1264">
        <f t="shared" si="3"/>
        <v>1</v>
      </c>
      <c r="AB35" s="1264">
        <f t="shared" si="4"/>
        <v>1</v>
      </c>
      <c r="AC35" s="1812">
        <f t="shared" si="5"/>
        <v>1</v>
      </c>
    </row>
    <row r="36" spans="1:29" ht="15">
      <c r="A36" s="409"/>
      <c r="B36" s="364" t="s">
        <v>1785</v>
      </c>
      <c r="C36" s="399" t="s">
        <v>3434</v>
      </c>
      <c r="D36" s="374">
        <v>100</v>
      </c>
      <c r="E36" s="399" t="s">
        <v>3434</v>
      </c>
      <c r="F36" s="400">
        <f>SUMIF(108:108,E36,109:109)-SUMIF(108:108,C36,109:109)+100</f>
        <v>100</v>
      </c>
      <c r="G36" s="399" t="s">
        <v>3434</v>
      </c>
      <c r="H36" s="374">
        <f>SUMIF(108:108,G36,109:109)-SUMIF(108:108,C36,109:109)+100</f>
        <v>100</v>
      </c>
      <c r="I36" s="399" t="s">
        <v>3434</v>
      </c>
      <c r="J36" s="374">
        <f>SUMIF(108:108,I36,109:109)-SUMIF(108:108,C36,109:109)+100</f>
        <v>100</v>
      </c>
      <c r="K36" s="538">
        <v>1</v>
      </c>
      <c r="L36" s="2493"/>
      <c r="M36" s="2488"/>
      <c r="N36" s="2488"/>
      <c r="O36" s="2488"/>
      <c r="P36" s="3393"/>
      <c r="Q36" s="1263" t="str">
        <f t="shared" si="11"/>
        <v>公共部分装修</v>
      </c>
      <c r="R36" s="667" t="s">
        <v>14</v>
      </c>
      <c r="S36" s="668">
        <f t="shared" si="12"/>
        <v>100</v>
      </c>
      <c r="T36" s="667" t="s">
        <v>14</v>
      </c>
      <c r="U36" s="668">
        <f t="shared" si="13"/>
        <v>100</v>
      </c>
      <c r="V36" s="667" t="s">
        <v>14</v>
      </c>
      <c r="W36" s="668">
        <f t="shared" si="14"/>
        <v>100</v>
      </c>
      <c r="X36" s="1265"/>
      <c r="Y36" s="3395"/>
      <c r="Z36" s="1264" t="str">
        <f t="shared" si="15"/>
        <v>公共部分装修</v>
      </c>
      <c r="AA36" s="1264">
        <f t="shared" si="3"/>
        <v>1</v>
      </c>
      <c r="AB36" s="1264">
        <f t="shared" si="4"/>
        <v>1</v>
      </c>
      <c r="AC36" s="1812">
        <f t="shared" si="5"/>
        <v>1</v>
      </c>
    </row>
    <row r="37" spans="1:29" ht="15">
      <c r="A37" s="409"/>
      <c r="B37" s="364" t="s">
        <v>1786</v>
      </c>
      <c r="C37" s="411">
        <f>'数据-取费表'!N6</f>
        <v>0.83</v>
      </c>
      <c r="D37" s="374">
        <v>100</v>
      </c>
      <c r="E37" s="411">
        <f>C37</f>
        <v>0.83</v>
      </c>
      <c r="F37" s="400">
        <f>LOOKUP(E37,111:111,112:112)-LOOKUP(C37,111:111,112:112)+100</f>
        <v>100</v>
      </c>
      <c r="G37" s="411">
        <f>C37</f>
        <v>0.83</v>
      </c>
      <c r="H37" s="400">
        <f>LOOKUP(G37,111:111,112:112)-LOOKUP(C37,111:111,112:112)+100</f>
        <v>100</v>
      </c>
      <c r="I37" s="411">
        <f>C37</f>
        <v>0.83</v>
      </c>
      <c r="J37" s="374">
        <f>LOOKUP(I37,111:111,112:112)-LOOKUP(C37,111:111,112:112)+100</f>
        <v>100</v>
      </c>
      <c r="K37" s="538">
        <v>1</v>
      </c>
      <c r="L37" s="2493"/>
      <c r="M37" s="2488"/>
      <c r="N37" s="2488"/>
      <c r="O37" s="2488"/>
      <c r="P37" s="3393"/>
      <c r="Q37" s="1263" t="str">
        <f t="shared" si="11"/>
        <v>成新度</v>
      </c>
      <c r="R37" s="667" t="s">
        <v>14</v>
      </c>
      <c r="S37" s="668">
        <f t="shared" si="12"/>
        <v>100</v>
      </c>
      <c r="T37" s="667" t="s">
        <v>14</v>
      </c>
      <c r="U37" s="668">
        <f t="shared" si="13"/>
        <v>100</v>
      </c>
      <c r="V37" s="667" t="s">
        <v>14</v>
      </c>
      <c r="W37" s="668">
        <f t="shared" si="14"/>
        <v>100</v>
      </c>
      <c r="X37" s="1265"/>
      <c r="Y37" s="3395"/>
      <c r="Z37" s="1264" t="str">
        <f t="shared" si="15"/>
        <v>成新度</v>
      </c>
      <c r="AA37" s="1264">
        <f t="shared" si="3"/>
        <v>1</v>
      </c>
      <c r="AB37" s="1264">
        <f t="shared" si="4"/>
        <v>1</v>
      </c>
      <c r="AC37" s="1812">
        <f t="shared" si="5"/>
        <v>1</v>
      </c>
    </row>
    <row r="38" spans="1:29" s="102" customFormat="1" ht="15">
      <c r="A38" s="410"/>
      <c r="B38" s="364" t="s">
        <v>1818</v>
      </c>
      <c r="C38" s="399" t="s">
        <v>3435</v>
      </c>
      <c r="D38" s="119">
        <v>100</v>
      </c>
      <c r="E38" s="399" t="s">
        <v>3435</v>
      </c>
      <c r="F38" s="400">
        <f>SUMIF(113:113,E38,114:114)-SUMIF(113:113,C38,114:114)+100</f>
        <v>100</v>
      </c>
      <c r="G38" s="399" t="s">
        <v>3435</v>
      </c>
      <c r="H38" s="374">
        <f>SUMIF(113:113,G38,114:114)-SUMIF(113:113,C38,114:114)+100</f>
        <v>100</v>
      </c>
      <c r="I38" s="399" t="s">
        <v>3435</v>
      </c>
      <c r="J38" s="374">
        <f>SUMIF(113:113,I38,114:114)-SUMIF(113:113,C38,114:114)+100</f>
        <v>100</v>
      </c>
      <c r="K38" s="538">
        <v>1</v>
      </c>
      <c r="L38" s="2489"/>
      <c r="M38" s="2440"/>
      <c r="N38" s="2440"/>
      <c r="O38" s="2440"/>
      <c r="P38" s="3393"/>
      <c r="Q38" s="530" t="str">
        <f t="shared" si="11"/>
        <v>写字楼等级</v>
      </c>
      <c r="R38" s="664" t="s">
        <v>14</v>
      </c>
      <c r="S38" s="665">
        <f t="shared" si="12"/>
        <v>100</v>
      </c>
      <c r="T38" s="664" t="s">
        <v>14</v>
      </c>
      <c r="U38" s="665">
        <f t="shared" si="13"/>
        <v>100</v>
      </c>
      <c r="V38" s="664" t="s">
        <v>14</v>
      </c>
      <c r="W38" s="665">
        <f t="shared" si="14"/>
        <v>100</v>
      </c>
      <c r="X38" s="666"/>
      <c r="Y38" s="3395"/>
      <c r="Z38" s="50" t="str">
        <f t="shared" si="15"/>
        <v>写字楼等级</v>
      </c>
      <c r="AA38" s="50">
        <f t="shared" si="3"/>
        <v>1</v>
      </c>
      <c r="AB38" s="50">
        <f t="shared" si="4"/>
        <v>1</v>
      </c>
      <c r="AC38" s="802">
        <f t="shared" si="5"/>
        <v>1</v>
      </c>
    </row>
    <row r="39" spans="1:29" ht="15">
      <c r="A39" s="409"/>
      <c r="B39" s="364" t="s">
        <v>1819</v>
      </c>
      <c r="C39" s="399" t="s">
        <v>3442</v>
      </c>
      <c r="D39" s="374">
        <v>100</v>
      </c>
      <c r="E39" s="399" t="s">
        <v>3442</v>
      </c>
      <c r="F39" s="400">
        <f>SUMIF(115:115,E39,116:116)-SUMIF(115:115,C39,116:116)+100</f>
        <v>100</v>
      </c>
      <c r="G39" s="399" t="s">
        <v>3442</v>
      </c>
      <c r="H39" s="374">
        <f>SUMIF(115:115,G39,116:116)-SUMIF(115:115,C39,116:116)+100</f>
        <v>100</v>
      </c>
      <c r="I39" s="399" t="s">
        <v>3442</v>
      </c>
      <c r="J39" s="374">
        <f>SUMIF(115:115,I39,116:116)-SUMIF(115:115,C39,116:116)+100</f>
        <v>100</v>
      </c>
      <c r="K39" s="538">
        <v>1</v>
      </c>
      <c r="L39" s="2493"/>
      <c r="M39" s="2488"/>
      <c r="N39" s="2488"/>
      <c r="O39" s="2488"/>
      <c r="P39" s="3393" t="s">
        <v>1696</v>
      </c>
      <c r="Q39" s="1263" t="str">
        <f t="shared" si="11"/>
        <v>物业管理</v>
      </c>
      <c r="R39" s="667" t="s">
        <v>14</v>
      </c>
      <c r="S39" s="668">
        <f t="shared" si="12"/>
        <v>100</v>
      </c>
      <c r="T39" s="667" t="s">
        <v>14</v>
      </c>
      <c r="U39" s="668">
        <f t="shared" si="13"/>
        <v>100</v>
      </c>
      <c r="V39" s="667" t="s">
        <v>14</v>
      </c>
      <c r="W39" s="668">
        <f t="shared" si="14"/>
        <v>100</v>
      </c>
      <c r="X39" s="1265"/>
      <c r="Y39" s="3395" t="s">
        <v>1696</v>
      </c>
      <c r="Z39" s="1264" t="str">
        <f t="shared" si="15"/>
        <v>物业管理</v>
      </c>
      <c r="AA39" s="1264">
        <f t="shared" si="3"/>
        <v>1</v>
      </c>
      <c r="AB39" s="1264">
        <f t="shared" si="4"/>
        <v>1</v>
      </c>
      <c r="AC39" s="1812">
        <f t="shared" si="5"/>
        <v>1</v>
      </c>
    </row>
    <row r="40" spans="1:29" ht="15">
      <c r="A40" s="409"/>
      <c r="B40" s="364" t="s">
        <v>1787</v>
      </c>
      <c r="C40" s="399" t="s">
        <v>3443</v>
      </c>
      <c r="D40" s="374">
        <v>100</v>
      </c>
      <c r="E40" s="399" t="s">
        <v>3443</v>
      </c>
      <c r="F40" s="400">
        <f>SUMIF(117:117,E40,118:118)-SUMIF(117:117,C40,118:118)+100</f>
        <v>100</v>
      </c>
      <c r="G40" s="399" t="s">
        <v>3443</v>
      </c>
      <c r="H40" s="374">
        <f>SUMIF(117:117,G40,118:118)-SUMIF(117:117,C40,118:118)+100</f>
        <v>100</v>
      </c>
      <c r="I40" s="399" t="s">
        <v>3443</v>
      </c>
      <c r="J40" s="374">
        <f>SUMIF(117:117,I40,118:118)-SUMIF(117:117,C40,118:118)+100</f>
        <v>100</v>
      </c>
      <c r="K40" s="538">
        <v>1</v>
      </c>
      <c r="L40" s="2493"/>
      <c r="M40" s="2488"/>
      <c r="N40" s="2488"/>
      <c r="O40" s="2488"/>
      <c r="P40" s="3393"/>
      <c r="Q40" s="1263" t="str">
        <f t="shared" si="11"/>
        <v>市政基础设施</v>
      </c>
      <c r="R40" s="667" t="s">
        <v>14</v>
      </c>
      <c r="S40" s="668">
        <f t="shared" si="12"/>
        <v>100</v>
      </c>
      <c r="T40" s="667" t="s">
        <v>14</v>
      </c>
      <c r="U40" s="668">
        <f t="shared" si="13"/>
        <v>100</v>
      </c>
      <c r="V40" s="667" t="s">
        <v>14</v>
      </c>
      <c r="W40" s="668">
        <f t="shared" si="14"/>
        <v>100</v>
      </c>
      <c r="X40" s="1265"/>
      <c r="Y40" s="3395"/>
      <c r="Z40" s="1264" t="str">
        <f t="shared" si="15"/>
        <v>市政基础设施</v>
      </c>
      <c r="AA40" s="1264">
        <f t="shared" si="3"/>
        <v>1</v>
      </c>
      <c r="AB40" s="1264">
        <f t="shared" si="4"/>
        <v>1</v>
      </c>
      <c r="AC40" s="1812">
        <f t="shared" si="5"/>
        <v>1</v>
      </c>
    </row>
    <row r="41" spans="1:29" ht="15">
      <c r="A41" s="409"/>
      <c r="B41" s="364" t="s">
        <v>1789</v>
      </c>
      <c r="C41" s="542" t="s">
        <v>3444</v>
      </c>
      <c r="D41" s="374">
        <v>100</v>
      </c>
      <c r="E41" s="542" t="s">
        <v>3444</v>
      </c>
      <c r="F41" s="400">
        <f>SUMIF(119:119,E41,120:120)-SUMIF(119:119,C41,120:120)+100</f>
        <v>100</v>
      </c>
      <c r="G41" s="542" t="s">
        <v>3444</v>
      </c>
      <c r="H41" s="374">
        <f>SUMIF(119:119,G41,120:120)-SUMIF(119:119,C41,120:120)+100</f>
        <v>100</v>
      </c>
      <c r="I41" s="542" t="s">
        <v>3444</v>
      </c>
      <c r="J41" s="374">
        <f>SUMIF(119:119,I41,120:120)-SUMIF(119:119,C41,120:120)+100</f>
        <v>100</v>
      </c>
      <c r="K41" s="538">
        <v>1</v>
      </c>
      <c r="L41" s="2493"/>
      <c r="M41" s="2488"/>
      <c r="N41" s="2488"/>
      <c r="O41" s="2488"/>
      <c r="P41" s="3393"/>
      <c r="Q41" s="1263" t="str">
        <f t="shared" si="11"/>
        <v>层高</v>
      </c>
      <c r="R41" s="667" t="s">
        <v>14</v>
      </c>
      <c r="S41" s="668">
        <f t="shared" si="12"/>
        <v>100</v>
      </c>
      <c r="T41" s="667" t="s">
        <v>14</v>
      </c>
      <c r="U41" s="668">
        <f t="shared" si="13"/>
        <v>100</v>
      </c>
      <c r="V41" s="667" t="s">
        <v>14</v>
      </c>
      <c r="W41" s="668">
        <f t="shared" si="14"/>
        <v>100</v>
      </c>
      <c r="X41" s="1265"/>
      <c r="Y41" s="3395"/>
      <c r="Z41" s="1264" t="str">
        <f t="shared" si="15"/>
        <v>层高</v>
      </c>
      <c r="AA41" s="1264">
        <f t="shared" si="3"/>
        <v>1</v>
      </c>
      <c r="AB41" s="1264">
        <f t="shared" si="4"/>
        <v>1</v>
      </c>
      <c r="AC41" s="1812">
        <f t="shared" si="5"/>
        <v>1</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93"/>
      <c r="Q42" s="531" t="str">
        <f t="shared" si="11"/>
        <v>单套建筑面积</v>
      </c>
      <c r="R42" s="669" t="s">
        <v>14</v>
      </c>
      <c r="S42" s="670">
        <f t="shared" si="12"/>
        <v>100</v>
      </c>
      <c r="T42" s="669" t="s">
        <v>14</v>
      </c>
      <c r="U42" s="670">
        <f t="shared" si="13"/>
        <v>100</v>
      </c>
      <c r="V42" s="669" t="s">
        <v>14</v>
      </c>
      <c r="W42" s="670">
        <f t="shared" si="14"/>
        <v>100</v>
      </c>
      <c r="X42" s="671"/>
      <c r="Y42" s="3395"/>
      <c r="Z42" s="672" t="str">
        <f t="shared" si="15"/>
        <v>单套建筑面积</v>
      </c>
      <c r="AA42" s="1264">
        <f t="shared" si="3"/>
        <v>1</v>
      </c>
      <c r="AB42" s="1264">
        <f t="shared" si="4"/>
        <v>1</v>
      </c>
      <c r="AC42" s="1812">
        <f t="shared" si="5"/>
        <v>1</v>
      </c>
    </row>
    <row r="43" spans="1:29" ht="15">
      <c r="A43" s="409"/>
      <c r="B43" s="364" t="s">
        <v>1792</v>
      </c>
      <c r="C43" s="399" t="s">
        <v>3445</v>
      </c>
      <c r="D43" s="374">
        <v>100</v>
      </c>
      <c r="E43" s="399" t="s">
        <v>3445</v>
      </c>
      <c r="F43" s="400">
        <f>SUMIF(123:123,E43,124:124)-SUMIF(123:123,C43,124:124)+100</f>
        <v>100</v>
      </c>
      <c r="G43" s="399" t="s">
        <v>3445</v>
      </c>
      <c r="H43" s="374">
        <f>SUMIF(123:123,G43,124:124)-SUMIF(123:123,C43,124:124)+100</f>
        <v>100</v>
      </c>
      <c r="I43" s="399" t="s">
        <v>3445</v>
      </c>
      <c r="J43" s="374">
        <f>SUMIF(123:123,I43,124:124)-SUMIF(123:123,C43,124:124)+100</f>
        <v>100</v>
      </c>
      <c r="K43" s="538">
        <v>1</v>
      </c>
      <c r="L43" s="2493"/>
      <c r="M43" s="2488"/>
      <c r="N43" s="2488"/>
      <c r="O43" s="2488"/>
      <c r="P43" s="3393"/>
      <c r="Q43" s="1263" t="str">
        <f t="shared" si="11"/>
        <v>内部装修</v>
      </c>
      <c r="R43" s="667" t="s">
        <v>14</v>
      </c>
      <c r="S43" s="668">
        <f t="shared" si="12"/>
        <v>100</v>
      </c>
      <c r="T43" s="667" t="s">
        <v>14</v>
      </c>
      <c r="U43" s="668">
        <f t="shared" si="13"/>
        <v>100</v>
      </c>
      <c r="V43" s="667" t="s">
        <v>14</v>
      </c>
      <c r="W43" s="668">
        <f t="shared" si="14"/>
        <v>100</v>
      </c>
      <c r="X43" s="1265"/>
      <c r="Y43" s="3395"/>
      <c r="Z43" s="1264" t="str">
        <f t="shared" si="15"/>
        <v>内部装修</v>
      </c>
      <c r="AA43" s="1264">
        <f t="shared" si="3"/>
        <v>1</v>
      </c>
      <c r="AB43" s="1264">
        <f t="shared" si="4"/>
        <v>1</v>
      </c>
      <c r="AC43" s="1812">
        <f t="shared" si="5"/>
        <v>1</v>
      </c>
    </row>
    <row r="44" spans="1:29" ht="15">
      <c r="A44" s="409"/>
      <c r="B44" s="364" t="s">
        <v>1707</v>
      </c>
      <c r="C44" s="399" t="s">
        <v>3411</v>
      </c>
      <c r="D44" s="374">
        <v>100</v>
      </c>
      <c r="E44" s="399" t="s">
        <v>3411</v>
      </c>
      <c r="F44" s="400">
        <f>SUMIF(125:125,E44,126:126)-SUMIF(125:125,C44,126:126)+100</f>
        <v>100</v>
      </c>
      <c r="G44" s="399" t="s">
        <v>3411</v>
      </c>
      <c r="H44" s="374">
        <f>SUMIF(125:125,G44,126:126)-SUMIF(125:125,C44,126:126)+100</f>
        <v>100</v>
      </c>
      <c r="I44" s="399" t="s">
        <v>3411</v>
      </c>
      <c r="J44" s="374">
        <f>SUMIF(125:125,I44,126:126)-SUMIF(125:125,C44,126:126)+100</f>
        <v>100</v>
      </c>
      <c r="K44" s="538">
        <v>1</v>
      </c>
      <c r="L44" s="2493"/>
      <c r="M44" s="2488"/>
      <c r="N44" s="2488"/>
      <c r="O44" s="2488"/>
      <c r="P44" s="3393"/>
      <c r="Q44" s="1263" t="str">
        <f t="shared" si="11"/>
        <v>内部装修维护情况</v>
      </c>
      <c r="R44" s="667" t="s">
        <v>14</v>
      </c>
      <c r="S44" s="668">
        <f t="shared" si="12"/>
        <v>100</v>
      </c>
      <c r="T44" s="667" t="s">
        <v>14</v>
      </c>
      <c r="U44" s="668">
        <f t="shared" si="13"/>
        <v>100</v>
      </c>
      <c r="V44" s="667" t="s">
        <v>14</v>
      </c>
      <c r="W44" s="668">
        <f t="shared" si="14"/>
        <v>100</v>
      </c>
      <c r="X44" s="1265"/>
      <c r="Y44" s="3395"/>
      <c r="Z44" s="1264" t="str">
        <f t="shared" si="15"/>
        <v>内部装修维护情况</v>
      </c>
      <c r="AA44" s="1264">
        <f t="shared" si="3"/>
        <v>1</v>
      </c>
      <c r="AB44" s="1264">
        <f t="shared" si="4"/>
        <v>1</v>
      </c>
      <c r="AC44" s="1812">
        <f t="shared" si="5"/>
        <v>1</v>
      </c>
    </row>
    <row r="45" spans="1:29" s="102" customFormat="1" ht="15.75" thickBot="1">
      <c r="A45" s="410"/>
      <c r="B45" s="3160" t="s">
        <v>3456</v>
      </c>
      <c r="C45" s="3161" t="s">
        <v>3457</v>
      </c>
      <c r="D45" s="119">
        <v>100</v>
      </c>
      <c r="E45" s="3162" t="s">
        <v>3458</v>
      </c>
      <c r="F45" s="364">
        <f>SUMIF(127:127,E45,128:128)-SUMIF(127:127,C45,128:128)+100</f>
        <v>98</v>
      </c>
      <c r="G45" s="3162" t="s">
        <v>3458</v>
      </c>
      <c r="H45" s="119">
        <f>SUMIF(127:127,G45,128:128)-SUMIF(127:127,C45,128:128)+100</f>
        <v>98</v>
      </c>
      <c r="I45" s="3162" t="s">
        <v>3458</v>
      </c>
      <c r="J45" s="119">
        <f>SUMIF(127:127,I45,128:128)-SUMIF(127:127,C45,128:128)+100</f>
        <v>98</v>
      </c>
      <c r="K45" s="539"/>
      <c r="L45" s="2489"/>
      <c r="M45" s="2440"/>
      <c r="N45" s="2440"/>
      <c r="O45" s="2440"/>
      <c r="P45" s="3393"/>
      <c r="Q45" s="530" t="str">
        <f t="shared" si="11"/>
        <v>赠送部分</v>
      </c>
      <c r="R45" s="664" t="s">
        <v>14</v>
      </c>
      <c r="S45" s="665">
        <f t="shared" si="12"/>
        <v>98</v>
      </c>
      <c r="T45" s="664" t="s">
        <v>14</v>
      </c>
      <c r="U45" s="665">
        <f t="shared" si="13"/>
        <v>98</v>
      </c>
      <c r="V45" s="664" t="s">
        <v>14</v>
      </c>
      <c r="W45" s="665">
        <f t="shared" si="14"/>
        <v>98</v>
      </c>
      <c r="X45" s="666"/>
      <c r="Y45" s="3395"/>
      <c r="Z45" s="50" t="str">
        <f t="shared" si="15"/>
        <v>赠送部分</v>
      </c>
      <c r="AA45" s="50">
        <f t="shared" si="3"/>
        <v>1.0204081632653061</v>
      </c>
      <c r="AB45" s="50">
        <f t="shared" si="4"/>
        <v>1.0204081632653061</v>
      </c>
      <c r="AC45" s="802">
        <f t="shared" si="5"/>
        <v>1.0204081632653061</v>
      </c>
    </row>
    <row r="46" spans="1:29" ht="15" hidden="1">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93"/>
      <c r="Q46" s="1263">
        <f t="shared" si="11"/>
        <v>111</v>
      </c>
      <c r="R46" s="667" t="s">
        <v>14</v>
      </c>
      <c r="S46" s="668">
        <f t="shared" si="12"/>
        <v>100</v>
      </c>
      <c r="T46" s="667" t="s">
        <v>14</v>
      </c>
      <c r="U46" s="668">
        <f t="shared" si="13"/>
        <v>100</v>
      </c>
      <c r="V46" s="667" t="s">
        <v>14</v>
      </c>
      <c r="W46" s="668">
        <f t="shared" si="14"/>
        <v>100</v>
      </c>
      <c r="X46" s="1265"/>
      <c r="Y46" s="3395"/>
      <c r="Z46" s="1264">
        <f t="shared" si="15"/>
        <v>111</v>
      </c>
      <c r="AA46" s="1264">
        <f t="shared" si="3"/>
        <v>1</v>
      </c>
      <c r="AB46" s="1264">
        <f t="shared" si="4"/>
        <v>1</v>
      </c>
      <c r="AC46" s="1812">
        <f t="shared" si="5"/>
        <v>1</v>
      </c>
    </row>
    <row r="47" spans="1:29" ht="15.75" hidden="1"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94"/>
      <c r="Q47" s="1263">
        <f t="shared" si="11"/>
        <v>111</v>
      </c>
      <c r="R47" s="667" t="s">
        <v>14</v>
      </c>
      <c r="S47" s="668">
        <f t="shared" si="12"/>
        <v>100</v>
      </c>
      <c r="T47" s="667" t="s">
        <v>14</v>
      </c>
      <c r="U47" s="668">
        <f t="shared" si="13"/>
        <v>100</v>
      </c>
      <c r="V47" s="667" t="s">
        <v>14</v>
      </c>
      <c r="W47" s="668">
        <f t="shared" si="14"/>
        <v>100</v>
      </c>
      <c r="X47" s="1265"/>
      <c r="Y47" s="3396"/>
      <c r="Z47" s="1264">
        <f t="shared" si="15"/>
        <v>111</v>
      </c>
      <c r="AA47" s="1264">
        <f t="shared" si="3"/>
        <v>1</v>
      </c>
      <c r="AB47" s="1264">
        <f t="shared" si="4"/>
        <v>1</v>
      </c>
      <c r="AC47" s="1812">
        <f t="shared" si="5"/>
        <v>1</v>
      </c>
    </row>
    <row r="48" spans="1:29" ht="15">
      <c r="A48" s="416" t="s">
        <v>1708</v>
      </c>
      <c r="B48" s="417"/>
      <c r="C48" s="1081" t="s">
        <v>0</v>
      </c>
      <c r="D48" s="418"/>
      <c r="E48" s="419">
        <v>3.5</v>
      </c>
      <c r="F48" s="420"/>
      <c r="G48" s="421">
        <v>3.5</v>
      </c>
      <c r="H48" s="422"/>
      <c r="I48" s="419">
        <v>3.5</v>
      </c>
      <c r="J48" s="422"/>
      <c r="K48" s="674"/>
      <c r="L48" s="2495"/>
      <c r="M48" s="2488"/>
      <c r="N48" s="2488"/>
      <c r="O48" s="2488"/>
      <c r="P48" s="3368" t="str">
        <f>A48</f>
        <v>成交单价（元/平方米）</v>
      </c>
      <c r="Q48" s="3397"/>
      <c r="R48" s="3385">
        <f>E48</f>
        <v>3.5</v>
      </c>
      <c r="S48" s="3385"/>
      <c r="T48" s="3385">
        <f>G48</f>
        <v>3.5</v>
      </c>
      <c r="U48" s="3385"/>
      <c r="V48" s="3385">
        <f>I48</f>
        <v>3.5</v>
      </c>
      <c r="W48" s="3385"/>
      <c r="X48" s="385"/>
      <c r="Y48" s="673"/>
      <c r="Z48" s="385"/>
      <c r="AA48" s="385"/>
      <c r="AB48" s="385"/>
      <c r="AC48" s="555"/>
    </row>
    <row r="49" spans="1:29" ht="15.75" thickBot="1">
      <c r="A49" s="423" t="s">
        <v>1709</v>
      </c>
      <c r="B49" s="424"/>
      <c r="C49" s="1082">
        <f>R50</f>
        <v>3.4</v>
      </c>
      <c r="D49" s="2141" t="s">
        <v>2138</v>
      </c>
      <c r="E49" s="1083">
        <f>R49</f>
        <v>3.4</v>
      </c>
      <c r="F49" s="2142"/>
      <c r="G49" s="1082">
        <f>T49</f>
        <v>3.4</v>
      </c>
      <c r="H49" s="2142"/>
      <c r="I49" s="1083">
        <f>V49</f>
        <v>3.4</v>
      </c>
      <c r="J49" s="2142"/>
      <c r="K49" s="2144">
        <f>F49+H49+J49</f>
        <v>0</v>
      </c>
      <c r="L49" s="2495"/>
      <c r="M49" s="2488"/>
      <c r="N49" s="2488"/>
      <c r="O49" s="2488"/>
      <c r="P49" s="3368" t="str">
        <f>A49</f>
        <v>比较价值（元/平方米）</v>
      </c>
      <c r="Q49" s="3397"/>
      <c r="R49" s="3385">
        <f>IF(F1="售价",ROUND(PRODUCT(R48,AA7:AA47),0),ROUND(PRODUCT(R48,AA7:AA47),1))</f>
        <v>3.4</v>
      </c>
      <c r="S49" s="3385"/>
      <c r="T49" s="3385">
        <f>IF(F1="售价",ROUND(PRODUCT(T48,AB7:AB47),0),ROUND(PRODUCT(T48,AB7:AB47),1))</f>
        <v>3.4</v>
      </c>
      <c r="U49" s="3385"/>
      <c r="V49" s="3385">
        <f>IF(F1="售价",ROUND(PRODUCT(V48,AC7:AC47),0),ROUND(PRODUCT(V48,AC7:AC47),1))</f>
        <v>3.4</v>
      </c>
      <c r="W49" s="3385"/>
      <c r="X49" s="385"/>
      <c r="Y49" s="385"/>
      <c r="Z49" s="385"/>
      <c r="AA49" s="385"/>
      <c r="AB49" s="385"/>
      <c r="AC49" s="555"/>
    </row>
    <row r="50" spans="1:29" ht="15.75" thickBot="1">
      <c r="A50" s="427" t="s">
        <v>1710</v>
      </c>
      <c r="B50" s="428"/>
      <c r="C50" s="351">
        <f>R50</f>
        <v>3.4</v>
      </c>
      <c r="D50" s="351"/>
      <c r="E50" s="351"/>
      <c r="F50" s="351"/>
      <c r="G50" s="351"/>
      <c r="H50" s="351"/>
      <c r="I50" s="351"/>
      <c r="J50" s="429"/>
      <c r="K50" s="675"/>
      <c r="L50" s="2495"/>
      <c r="M50" s="2488"/>
      <c r="N50" s="2488"/>
      <c r="O50" s="2488"/>
      <c r="P50" s="3398" t="str">
        <f>A50</f>
        <v>估价对象XX用房的比较价值（楼面单价，元/平方米）</v>
      </c>
      <c r="Q50" s="3399"/>
      <c r="R50" s="3400">
        <f>IF(F1="售价",ROUND(IF(D49="简单平均",AVERAGE(R49:V49),R49*F49+T49*H49+V49*J49),0),ROUND(IF(D49="简单平均",AVERAGE(R49:V49),R49*F49+T49*H49+V49*J49),1))</f>
        <v>3.4</v>
      </c>
      <c r="S50" s="3400"/>
      <c r="T50" s="3400"/>
      <c r="U50" s="3400"/>
      <c r="V50" s="3400"/>
      <c r="W50" s="3400"/>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1711</v>
      </c>
      <c r="D53" s="433"/>
      <c r="E53" s="434">
        <f>IF(E48&lt;E49,E49/E48-1,E48/E49-1)</f>
        <v>2.941176470588247E-2</v>
      </c>
      <c r="F53" s="435" t="str">
        <f>IF(OR(E53&gt;=0.3,E53&lt;=-0.3),"超过30%","")</f>
        <v/>
      </c>
      <c r="G53" s="434">
        <f>IF(G48&lt;G49,G49/G48-1,G48/G49-1)</f>
        <v>2.941176470588247E-2</v>
      </c>
      <c r="H53" s="435" t="str">
        <f>IF(OR(G53&gt;=0.3,G53&lt;=-0.3),"超过30%","")</f>
        <v/>
      </c>
      <c r="I53" s="434">
        <f>IF(I48&lt;I49,I49/I48-1,I48/I49-1)</f>
        <v>2.941176470588247E-2</v>
      </c>
      <c r="J53" s="435" t="str">
        <f>IF(OR(I53&gt;=0.3,I53&lt;=-0.3),"超过30%","")</f>
        <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1712</v>
      </c>
      <c r="D54" s="436"/>
      <c r="E54" s="434">
        <f>IF(E49&lt;G49,G49/E49-1,E49/G49-1)</f>
        <v>0</v>
      </c>
      <c r="F54" s="435" t="str">
        <f>IF(OR(E54&gt;=0.2,E54&lt;=-0.2),"超过20%","")</f>
        <v/>
      </c>
      <c r="G54" s="434">
        <f>IF(G49&lt;I49,I49/G49-1,G49/I49-1)</f>
        <v>0</v>
      </c>
      <c r="H54" s="435" t="str">
        <f>IF(OR(G54&gt;=0.2,G54&lt;=-0.2),"超过20%","")</f>
        <v/>
      </c>
      <c r="I54" s="434">
        <f>IF(I49&lt;E49,E49/I49-1,I49/E49-1)</f>
        <v>0</v>
      </c>
      <c r="J54" s="435" t="str">
        <f>IF(OR(I54&gt;=0.2,I54&lt;=-0.2),"超过20%","")</f>
        <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1713</v>
      </c>
      <c r="D55" s="436"/>
      <c r="E55" s="434">
        <f>IF(E48&lt;G48,G48/E48-1,E48/G48-1)</f>
        <v>0</v>
      </c>
      <c r="F55" s="435" t="str">
        <f>IF(OR(E55&gt;=0.3,E55&lt;=-0.3),"超过30%","")</f>
        <v/>
      </c>
      <c r="G55" s="434">
        <f>IF(G48&lt;I48,I48/G48-1,G48/I48-1)</f>
        <v>0</v>
      </c>
      <c r="H55" s="435" t="str">
        <f>IF(OR(G55&gt;=0.3,G55&lt;=-0.3),"超过30%","")</f>
        <v/>
      </c>
      <c r="I55" s="434">
        <f>IF(I48&lt;E48,E48/I48-1,I48/E48-1)</f>
        <v>0</v>
      </c>
      <c r="J55" s="435" t="str">
        <f>IF(OR(I55&gt;=0.3,I55&lt;=-0.3),"超过30%","")</f>
        <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1714</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1718</v>
      </c>
      <c r="D62" s="3155" t="s">
        <v>3417</v>
      </c>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v>103</v>
      </c>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t="str">
        <f>C9</f>
        <v>办公</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0（含）-1</v>
      </c>
      <c r="D68" s="478" t="str">
        <f t="shared" ref="D68:L68" si="17">D69&amp;"（含）"&amp;"-"&amp;E69</f>
        <v>1（含）-2</v>
      </c>
      <c r="E68" s="478" t="str">
        <f t="shared" si="17"/>
        <v>2（含）-3</v>
      </c>
      <c r="F68" s="478" t="str">
        <f t="shared" si="17"/>
        <v>3（含）-4</v>
      </c>
      <c r="G68" s="478" t="str">
        <f t="shared" si="17"/>
        <v>4（含）-5</v>
      </c>
      <c r="H68" s="478" t="str">
        <f t="shared" si="17"/>
        <v>5（含）-6</v>
      </c>
      <c r="I68" s="478" t="str">
        <f t="shared" si="17"/>
        <v>6（含）-7</v>
      </c>
      <c r="J68" s="478" t="str">
        <f t="shared" si="17"/>
        <v>7（含）-8</v>
      </c>
      <c r="K68" s="478" t="str">
        <f t="shared" si="17"/>
        <v>8（含）-9</v>
      </c>
      <c r="L68" s="478" t="str">
        <f t="shared" si="17"/>
        <v>9（含）-10</v>
      </c>
      <c r="M68" s="387" t="str">
        <f>M69&amp;"（含）"&amp;"-"&amp;P69</f>
        <v>10（含）-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1</v>
      </c>
      <c r="E69" s="480">
        <v>2</v>
      </c>
      <c r="F69" s="480">
        <v>3</v>
      </c>
      <c r="G69" s="480">
        <v>4</v>
      </c>
      <c r="H69" s="480">
        <v>5</v>
      </c>
      <c r="I69" s="480">
        <v>6</v>
      </c>
      <c r="J69" s="480">
        <v>7</v>
      </c>
      <c r="K69" s="480">
        <v>8</v>
      </c>
      <c r="L69" s="480">
        <v>9</v>
      </c>
      <c r="M69" s="480">
        <v>10</v>
      </c>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98</v>
      </c>
      <c r="E78" s="475">
        <f>D78-$K15</f>
        <v>96</v>
      </c>
      <c r="F78" s="475">
        <f>E78-$K15</f>
        <v>94</v>
      </c>
      <c r="G78" s="475">
        <f>F78-$K15</f>
        <v>92</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98</v>
      </c>
      <c r="E80" s="475">
        <f>D80-$K17</f>
        <v>96</v>
      </c>
      <c r="F80" s="475">
        <f>E80-$K17</f>
        <v>94</v>
      </c>
      <c r="G80" s="475">
        <f>F80-$K17</f>
        <v>92</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98</v>
      </c>
      <c r="E82" s="475">
        <f>D82-$K19</f>
        <v>96</v>
      </c>
      <c r="F82" s="475">
        <f>E82-$K19</f>
        <v>94</v>
      </c>
      <c r="G82" s="475">
        <f>F82-$K19</f>
        <v>92</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98</v>
      </c>
      <c r="E84" s="475">
        <f>D84-$K21</f>
        <v>96</v>
      </c>
      <c r="F84" s="475">
        <f>E84-$K21</f>
        <v>94</v>
      </c>
      <c r="G84" s="475">
        <f>F84-$K21</f>
        <v>92</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98</v>
      </c>
      <c r="E86" s="475">
        <f>D86-$K23</f>
        <v>96</v>
      </c>
      <c r="F86" s="475">
        <f>E86-$K23</f>
        <v>94</v>
      </c>
      <c r="G86" s="475">
        <f>F86-$K23</f>
        <v>92</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3157" t="s">
        <v>3437</v>
      </c>
      <c r="D89" s="3157" t="s">
        <v>3439</v>
      </c>
      <c r="E89" s="3157" t="s">
        <v>3441</v>
      </c>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3156" t="s">
        <v>3418</v>
      </c>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99</v>
      </c>
      <c r="E102" s="475">
        <f t="shared" si="22"/>
        <v>98</v>
      </c>
      <c r="F102" s="475">
        <f t="shared" si="22"/>
        <v>97</v>
      </c>
      <c r="G102" s="475">
        <f t="shared" si="22"/>
        <v>96</v>
      </c>
      <c r="H102" s="475">
        <f t="shared" si="22"/>
        <v>95</v>
      </c>
      <c r="I102" s="475">
        <f t="shared" si="22"/>
        <v>94</v>
      </c>
      <c r="J102" s="475">
        <f t="shared" si="22"/>
        <v>93</v>
      </c>
      <c r="K102" s="475">
        <f t="shared" si="22"/>
        <v>92</v>
      </c>
      <c r="L102" s="475">
        <f t="shared" si="22"/>
        <v>91</v>
      </c>
      <c r="M102" s="476">
        <f t="shared" si="22"/>
        <v>90</v>
      </c>
      <c r="N102" s="2523"/>
      <c r="O102" s="2523"/>
      <c r="P102" s="2531"/>
      <c r="Q102" s="2509"/>
      <c r="R102" s="2488"/>
      <c r="S102" s="2488"/>
      <c r="T102" s="2488"/>
      <c r="U102" s="2488"/>
      <c r="V102" s="2488"/>
      <c r="W102" s="2488"/>
      <c r="X102" s="2488"/>
      <c r="Y102" s="2488"/>
      <c r="Z102" s="2488"/>
      <c r="AA102" s="2488"/>
      <c r="AB102" s="2488"/>
      <c r="AC102" s="2488"/>
    </row>
    <row r="103" spans="1:29" ht="29.25" thickTop="1">
      <c r="A103" s="367"/>
      <c r="B103" s="469" t="s">
        <v>1737</v>
      </c>
      <c r="C103" s="509" t="str">
        <f>C104&amp;"(含)"&amp;"-"&amp;D104</f>
        <v>0(含)-200</v>
      </c>
      <c r="D103" s="509" t="str">
        <f t="shared" ref="D103:L103" si="23">D104&amp;"(含)"&amp;"-"&amp;E104</f>
        <v>200(含)-400</v>
      </c>
      <c r="E103" s="509" t="str">
        <f t="shared" si="23"/>
        <v>400(含)-600</v>
      </c>
      <c r="F103" s="509" t="str">
        <f t="shared" si="23"/>
        <v>600(含)-800</v>
      </c>
      <c r="G103" s="509" t="str">
        <f t="shared" si="23"/>
        <v>800(含)-1000</v>
      </c>
      <c r="H103" s="509" t="str">
        <f t="shared" si="23"/>
        <v>1000(含)-1200</v>
      </c>
      <c r="I103" s="509" t="str">
        <f t="shared" si="23"/>
        <v>1200(含)-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v>0</v>
      </c>
      <c r="D104" s="6">
        <v>200</v>
      </c>
      <c r="E104" s="6">
        <v>400</v>
      </c>
      <c r="F104" s="6">
        <v>600</v>
      </c>
      <c r="G104" s="6">
        <v>800</v>
      </c>
      <c r="H104" s="6">
        <v>1000</v>
      </c>
      <c r="I104" s="6">
        <v>1200</v>
      </c>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v>100</v>
      </c>
      <c r="D105" s="467">
        <v>99</v>
      </c>
      <c r="E105" s="491">
        <v>98</v>
      </c>
      <c r="F105" s="467">
        <v>97</v>
      </c>
      <c r="G105" s="491">
        <v>96</v>
      </c>
      <c r="H105" s="467">
        <v>95</v>
      </c>
      <c r="I105" s="491">
        <v>94</v>
      </c>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3157" t="s">
        <v>3419</v>
      </c>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3157" t="s">
        <v>3420</v>
      </c>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99</v>
      </c>
      <c r="E109" s="475">
        <f t="shared" si="25"/>
        <v>98</v>
      </c>
      <c r="F109" s="475">
        <f t="shared" si="25"/>
        <v>97</v>
      </c>
      <c r="G109" s="475">
        <f t="shared" si="25"/>
        <v>96</v>
      </c>
      <c r="H109" s="475">
        <f t="shared" si="25"/>
        <v>95</v>
      </c>
      <c r="I109" s="475">
        <f t="shared" si="25"/>
        <v>94</v>
      </c>
      <c r="J109" s="475">
        <f t="shared" si="25"/>
        <v>93</v>
      </c>
      <c r="K109" s="475">
        <f t="shared" si="25"/>
        <v>92</v>
      </c>
      <c r="L109" s="475">
        <f t="shared" si="25"/>
        <v>91</v>
      </c>
      <c r="M109" s="476">
        <f t="shared" si="25"/>
        <v>90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3157" t="s">
        <v>3421</v>
      </c>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99</v>
      </c>
      <c r="E114" s="475">
        <f t="shared" ref="E114:M114" si="27">D114-$K38</f>
        <v>98</v>
      </c>
      <c r="F114" s="475">
        <f t="shared" si="27"/>
        <v>97</v>
      </c>
      <c r="G114" s="475">
        <f t="shared" si="27"/>
        <v>96</v>
      </c>
      <c r="H114" s="475">
        <f t="shared" si="27"/>
        <v>95</v>
      </c>
      <c r="I114" s="475">
        <f t="shared" si="27"/>
        <v>94</v>
      </c>
      <c r="J114" s="475">
        <f t="shared" si="27"/>
        <v>93</v>
      </c>
      <c r="K114" s="475">
        <f t="shared" si="27"/>
        <v>92</v>
      </c>
      <c r="L114" s="475">
        <f t="shared" si="27"/>
        <v>91</v>
      </c>
      <c r="M114" s="475">
        <f t="shared" si="27"/>
        <v>90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3157" t="s">
        <v>3422</v>
      </c>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3157" t="s">
        <v>3423</v>
      </c>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3158" t="s">
        <v>3424</v>
      </c>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3157" t="s">
        <v>3420</v>
      </c>
      <c r="D123" s="3157" t="s">
        <v>3425</v>
      </c>
      <c r="E123" s="3157" t="s">
        <v>3426</v>
      </c>
      <c r="F123" s="3158" t="s">
        <v>3427</v>
      </c>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99</v>
      </c>
      <c r="E124" s="475">
        <f t="shared" si="30"/>
        <v>98</v>
      </c>
      <c r="F124" s="475">
        <f t="shared" si="30"/>
        <v>97</v>
      </c>
      <c r="G124" s="475">
        <f t="shared" si="30"/>
        <v>96</v>
      </c>
      <c r="H124" s="475">
        <f t="shared" si="30"/>
        <v>95</v>
      </c>
      <c r="I124" s="475">
        <f t="shared" si="30"/>
        <v>94</v>
      </c>
      <c r="J124" s="475">
        <f t="shared" si="30"/>
        <v>93</v>
      </c>
      <c r="K124" s="475">
        <f t="shared" si="30"/>
        <v>92</v>
      </c>
      <c r="L124" s="475">
        <f t="shared" si="30"/>
        <v>91</v>
      </c>
      <c r="M124" s="476">
        <f t="shared" si="30"/>
        <v>90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t="str">
        <f>B45</f>
        <v>赠送部分</v>
      </c>
      <c r="C127" s="3157" t="s">
        <v>3451</v>
      </c>
      <c r="D127" s="3157" t="s">
        <v>3452</v>
      </c>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v>100</v>
      </c>
      <c r="D128" s="467">
        <v>98</v>
      </c>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algorithmName="SHA-512" hashValue="z6wBilK/LfQLPprF+cROjROegEsULzKiWEOJG60O79V8CT9rEehv1JA9pxXiZe+CT/baZDJEY9Ce9LmFytD5Eg==" saltValue="4n1Guad5PFZSt8c1HqFvsw==" spinCount="100000"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34" type="noConversion"/>
  <conditionalFormatting sqref="E53">
    <cfRule type="expression" dxfId="20" priority="14" stopIfTrue="1">
      <formula>$F$53="超过30%"</formula>
    </cfRule>
  </conditionalFormatting>
  <conditionalFormatting sqref="E54">
    <cfRule type="expression" dxfId="19" priority="13" stopIfTrue="1">
      <formula>$F$54="超过20%"</formula>
    </cfRule>
  </conditionalFormatting>
  <conditionalFormatting sqref="E55">
    <cfRule type="expression" dxfId="18" priority="12" stopIfTrue="1">
      <formula>$F$55="超过30%"</formula>
    </cfRule>
  </conditionalFormatting>
  <conditionalFormatting sqref="F7:F47 H7:H47 J7:J47">
    <cfRule type="cellIs" dxfId="17" priority="1" operator="notEqual">
      <formula>100</formula>
    </cfRule>
  </conditionalFormatting>
  <conditionalFormatting sqref="F49">
    <cfRule type="expression" dxfId="16" priority="4">
      <formula>$D$49="简单平均"</formula>
    </cfRule>
  </conditionalFormatting>
  <conditionalFormatting sqref="F53:F55 H53:H55">
    <cfRule type="containsText" dxfId="15" priority="15" stopIfTrue="1" operator="containsText" text="超过">
      <formula>NOT(ISERROR(SEARCH("超过",F53)))</formula>
    </cfRule>
  </conditionalFormatting>
  <conditionalFormatting sqref="G53">
    <cfRule type="expression" dxfId="14" priority="10" stopIfTrue="1">
      <formula>$H$53="超过30%"</formula>
    </cfRule>
  </conditionalFormatting>
  <conditionalFormatting sqref="G54">
    <cfRule type="expression" dxfId="13" priority="9" stopIfTrue="1">
      <formula>$H$54="超过20%"</formula>
    </cfRule>
  </conditionalFormatting>
  <conditionalFormatting sqref="G55">
    <cfRule type="expression" dxfId="12" priority="11" stopIfTrue="1">
      <formula>$H$55="超过30%"</formula>
    </cfRule>
  </conditionalFormatting>
  <conditionalFormatting sqref="H49">
    <cfRule type="expression" dxfId="11" priority="3">
      <formula>$D$49="简单平均"</formula>
    </cfRule>
  </conditionalFormatting>
  <conditionalFormatting sqref="I53">
    <cfRule type="expression" dxfId="10" priority="7" stopIfTrue="1">
      <formula>$J$53="超过30%"</formula>
    </cfRule>
  </conditionalFormatting>
  <conditionalFormatting sqref="I54">
    <cfRule type="expression" dxfId="9" priority="6" stopIfTrue="1">
      <formula>$J$53+$J$54="超过20%"</formula>
    </cfRule>
  </conditionalFormatting>
  <conditionalFormatting sqref="I55">
    <cfRule type="expression" dxfId="8" priority="5" stopIfTrue="1">
      <formula>$J$55="超过30%"</formula>
    </cfRule>
  </conditionalFormatting>
  <conditionalFormatting sqref="J49">
    <cfRule type="expression" dxfId="7" priority="2">
      <formula>$D$49="简单平均"</formula>
    </cfRule>
  </conditionalFormatting>
  <conditionalFormatting sqref="J53:J55">
    <cfRule type="containsText" dxfId="6" priority="8" stopIfTrue="1" operator="containsText" text="超过">
      <formula>NOT(ISERROR(SEARCH("超过",J53)))</formula>
    </cfRule>
  </conditionalFormatting>
  <dataValidations count="25">
    <dataValidation type="list" allowBlank="1" showInputMessage="1" showErrorMessage="1" sqref="E1" xr:uid="{56BFC0B6-49AF-47B6-BA9D-BBD3F6B2B47E}">
      <formula1>"项目模式,单套模式"</formula1>
    </dataValidation>
    <dataValidation type="list" allowBlank="1" showInputMessage="1" showErrorMessage="1" sqref="D49" xr:uid="{20D12174-F0BC-4FF3-8B99-027751943BEB}">
      <formula1>"简单平均,加权平均"</formula1>
    </dataValidation>
    <dataValidation type="list" allowBlank="1" showInputMessage="1" showErrorMessage="1" sqref="F2" xr:uid="{D25FA56A-B4F0-4163-8D6F-4C2CEEF30663}">
      <formula1>估价方法</formula1>
    </dataValidation>
    <dataValidation type="list" allowBlank="1" showInputMessage="1" showErrorMessage="1" sqref="C2" xr:uid="{570D742B-974A-49F7-8D19-499AB6D2B618}">
      <formula1>"需扣减承租人权益,——"</formula1>
    </dataValidation>
    <dataValidation type="list" allowBlank="1" showInputMessage="1" showErrorMessage="1" sqref="F1" xr:uid="{C422F57F-C41E-44C2-AB7D-9992A9B25AF1}">
      <formula1>"售价,租金"</formula1>
    </dataValidation>
    <dataValidation type="list" allowBlank="1" showInputMessage="1" showErrorMessage="1" sqref="C22 E22 G22 I22" xr:uid="{B40FF1E3-94C9-4435-8021-BEB7D1B65DE2}">
      <formula1>基础设施水平</formula1>
    </dataValidation>
    <dataValidation type="list" allowBlank="1" showInputMessage="1" showErrorMessage="1" sqref="C8 E8 G8 I8" xr:uid="{228806C2-6914-4F5F-AA0B-6B68B3DCB061}">
      <formula1>办公交易情况</formula1>
    </dataValidation>
    <dataValidation type="list" allowBlank="1" showInputMessage="1" showErrorMessage="1" sqref="C43 E43 G43 I43" xr:uid="{804F75DC-2CD1-4663-A47F-33566953E8BA}">
      <formula1>办公内部装修</formula1>
    </dataValidation>
    <dataValidation type="list" allowBlank="1" showInputMessage="1" showErrorMessage="1" sqref="C41 E41 G41 I41" xr:uid="{152F0D4A-8783-431C-96B4-C33A54B826DF}">
      <formula1>办公层高</formula1>
    </dataValidation>
    <dataValidation type="list" allowBlank="1" showInputMessage="1" showErrorMessage="1" sqref="C40 E40 G40 I40" xr:uid="{03EF6E07-AAB4-4B02-A812-2BF2EFF7C26F}">
      <formula1>办公基础设施水平</formula1>
    </dataValidation>
    <dataValidation type="list" allowBlank="1" showInputMessage="1" showErrorMessage="1" sqref="C39 E39 G39 I39" xr:uid="{FBBD4E55-75F1-4F70-A263-B3421B7276FE}">
      <formula1>办公物业管理</formula1>
    </dataValidation>
    <dataValidation type="list" allowBlank="1" showInputMessage="1" showErrorMessage="1" sqref="C38 E38 G38 I38" xr:uid="{07F367BC-DDDF-404B-9AC7-2220C2D58353}">
      <formula1>写字楼等级</formula1>
    </dataValidation>
    <dataValidation type="list" allowBlank="1" showInputMessage="1" showErrorMessage="1" sqref="C36 E36 G36 I36" xr:uid="{5D4BF6E4-3B81-4315-9212-4B26B7A4D326}">
      <formula1>办公公共部分装修</formula1>
    </dataValidation>
    <dataValidation type="list" allowBlank="1" showInputMessage="1" showErrorMessage="1" sqref="C33 E33 G33 I33" xr:uid="{FAF3B99B-3F26-49AC-9CA4-9C4D804CF1A0}">
      <formula1>办公建筑类型</formula1>
    </dataValidation>
    <dataValidation type="list" allowBlank="1" showInputMessage="1" showErrorMessage="1" sqref="C27 E27 G27 I27" xr:uid="{A41835F4-0506-4861-9882-81B952206B60}">
      <formula1>办公楼层</formula1>
    </dataValidation>
    <dataValidation type="list" allowBlank="1" showInputMessage="1" showErrorMessage="1" sqref="C28 E28 G28 I28" xr:uid="{6DFF8E48-CFD0-4DE8-B7EE-4C62ACBF5397}">
      <formula1>办公朝向</formula1>
    </dataValidation>
    <dataValidation type="list" allowBlank="1" showInputMessage="1" showErrorMessage="1" sqref="G26 C26 E26 I26" xr:uid="{746C8818-C86D-4334-87B0-A489C6D749FA}">
      <formula1>办公道路级别</formula1>
    </dataValidation>
    <dataValidation type="list" allowBlank="1" showInputMessage="1" showErrorMessage="1" sqref="C16 E16 G16 I16" xr:uid="{C5C4D03D-87B8-4609-B4D4-24DAEFA9EA96}">
      <formula1>办公集聚程度</formula1>
    </dataValidation>
    <dataValidation type="list" allowBlank="1" showInputMessage="1" showErrorMessage="1" sqref="E9 G9 I9" xr:uid="{175BF2C0-4E83-456E-99DB-8A5A96A7C6E0}">
      <formula1>办公用途</formula1>
    </dataValidation>
    <dataValidation type="list" allowBlank="1" showInputMessage="1" showErrorMessage="1" sqref="D1" xr:uid="{D97247D3-1040-4877-B79A-05FA2DB5DAE8}">
      <formula1>项目类型</formula1>
    </dataValidation>
    <dataValidation type="list" allowBlank="1" showInputMessage="1" showErrorMessage="1" sqref="C44 E44 G44 I44" xr:uid="{DD551D6B-499D-464E-99F1-D641C0B903DD}">
      <formula1>内部装修维护情况</formula1>
    </dataValidation>
    <dataValidation type="list" allowBlank="1" showInputMessage="1" showErrorMessage="1" sqref="E20 I20 G20 C20" xr:uid="{2B37A098-57F0-4F18-831E-B04506C1F46E}">
      <formula1>公共配套设施</formula1>
    </dataValidation>
    <dataValidation type="list" allowBlank="1" showInputMessage="1" showErrorMessage="1" sqref="E18 G18 I18 C18" xr:uid="{623806AC-5EC9-4D4A-B389-A518B507970C}">
      <formula1>交通便捷度</formula1>
    </dataValidation>
    <dataValidation type="list" allowBlank="1" showInputMessage="1" showErrorMessage="1" sqref="E24 G24 I24 C24" xr:uid="{65A2D680-32EA-4472-8FFC-941860E432C2}">
      <formula1>环境</formula1>
    </dataValidation>
    <dataValidation type="list" allowBlank="1" showInputMessage="1" showErrorMessage="1" sqref="C35 E35 G35 I35" xr:uid="{D92AC43B-401A-44B7-8502-4831AA102288}">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K23" sqref="K2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1057.2465999999999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17424</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5702040.5</v>
      </c>
      <c r="D5" s="203" t="s">
        <v>1469</v>
      </c>
      <c r="E5" s="204" t="s">
        <v>1470</v>
      </c>
      <c r="F5" s="204" t="s">
        <v>1471</v>
      </c>
      <c r="G5" s="205"/>
    </row>
    <row r="6" spans="1:8" s="206" customFormat="1" ht="13.5" customHeight="1">
      <c r="A6" s="732" t="s">
        <v>1472</v>
      </c>
      <c r="B6" s="207" t="s">
        <v>1473</v>
      </c>
      <c r="C6" s="208">
        <f>基准地价修正!C33*基准地价修正!D33</f>
        <v>5415511.5</v>
      </c>
      <c r="D6" s="209"/>
      <c r="E6" s="210"/>
      <c r="F6" s="210"/>
      <c r="G6" s="211"/>
    </row>
    <row r="7" spans="1:8" s="206" customFormat="1" ht="13.5" customHeight="1">
      <c r="A7" s="732" t="s">
        <v>1474</v>
      </c>
      <c r="B7" s="207" t="s">
        <v>1475</v>
      </c>
      <c r="C7" s="212">
        <f>ROUND(C6*F7,0)</f>
        <v>165173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121356</v>
      </c>
      <c r="D8" s="214"/>
      <c r="E8" s="212"/>
      <c r="F8" s="213"/>
      <c r="G8" s="1714" t="s">
        <v>3414</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121356</v>
      </c>
      <c r="D10" s="795">
        <f ca="1">IF(B1="",'数据-汇总表'!E6,IF(INDIRECT("'数据-取费表'!c"&amp;$G$1)="住宅",INDIRECT("'数据-取费表'!s"&amp;$G$1),INDIRECT("'数据-取费表'!k"&amp;$G$1)+INDIRECT("'数据-取费表'!s"&amp;$G$1)))</f>
        <v>606.78</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606.78</v>
      </c>
      <c r="E19" s="203">
        <f>'数据-取费表'!B31</f>
        <v>200</v>
      </c>
      <c r="F19" s="223"/>
      <c r="G19" s="1714" t="s">
        <v>3415</v>
      </c>
    </row>
    <row r="20" spans="1:7" s="206" customFormat="1" ht="13.5" customHeight="1">
      <c r="A20" s="247" t="s">
        <v>1574</v>
      </c>
      <c r="B20" s="202" t="s">
        <v>1575</v>
      </c>
      <c r="C20" s="224">
        <f ca="1">ROUND((C5+C19)*F20,0)</f>
        <v>114041</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362541</v>
      </c>
      <c r="D22" s="227">
        <f ca="1">C26</f>
        <v>5.9999999999999995E-4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359006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3535</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4.75">
      <c r="A27" s="247" t="s">
        <v>1512</v>
      </c>
      <c r="B27" s="236" t="s">
        <v>1513</v>
      </c>
      <c r="C27" s="237">
        <f ca="1">C28</f>
        <v>872412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872412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7630990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2718374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2427120</v>
      </c>
      <c r="D34" s="209"/>
      <c r="E34" s="212"/>
      <c r="F34" s="249"/>
      <c r="G34" s="211"/>
    </row>
    <row r="35" spans="1:7" ht="13.5" customHeight="1">
      <c r="A35" s="734" t="s">
        <v>351</v>
      </c>
      <c r="B35" s="207" t="s">
        <v>1527</v>
      </c>
      <c r="C35" s="212">
        <f ca="1">ROUND(C34*F35,0)</f>
        <v>121356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121356</v>
      </c>
      <c r="D37" s="209">
        <f ca="1">D19</f>
        <v>606.78</v>
      </c>
      <c r="E37" s="241">
        <f>'数据-取费表'!B35</f>
        <v>200</v>
      </c>
      <c r="F37" s="251"/>
      <c r="G37" s="253"/>
    </row>
    <row r="38" spans="1:7" ht="13.5" customHeight="1">
      <c r="A38" s="734" t="s">
        <v>354</v>
      </c>
      <c r="B38" s="207" t="s">
        <v>1533</v>
      </c>
      <c r="C38" s="212">
        <f ca="1">ROUND(C34*F38,0)</f>
        <v>48542</v>
      </c>
      <c r="D38" s="212"/>
      <c r="E38" s="212"/>
      <c r="F38" s="251">
        <f>'数据-取费表'!B36</f>
        <v>0.02</v>
      </c>
      <c r="G38" s="211" t="s">
        <v>1528</v>
      </c>
    </row>
    <row r="39" spans="1:7" s="206" customFormat="1" ht="13.5" customHeight="1">
      <c r="A39" s="247" t="s">
        <v>1534</v>
      </c>
      <c r="B39" s="202" t="s">
        <v>1535</v>
      </c>
      <c r="C39" s="224">
        <f ca="1">ROUND(C33*F20,0)</f>
        <v>54367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85955</v>
      </c>
      <c r="D41" s="227">
        <f ca="1">C44</f>
        <v>5.9999999999999995E-4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84270</v>
      </c>
      <c r="D42" s="230"/>
      <c r="E42" s="230"/>
      <c r="F42" s="231"/>
      <c r="G42" s="3347" t="s">
        <v>1591</v>
      </c>
    </row>
    <row r="43" spans="1:7" ht="13.5" customHeight="1">
      <c r="A43" s="734" t="s">
        <v>347</v>
      </c>
      <c r="B43" s="207" t="s">
        <v>1545</v>
      </c>
      <c r="C43" s="230">
        <f ca="1">ROUND(IF('数据-取费表'!B22&lt;=1,C39*F22*'数据-取费表'!B20/2,C39*(POWER((1+F22),'数据-取费表'!B20/2)-1)),0)</f>
        <v>1685</v>
      </c>
      <c r="D43" s="230"/>
      <c r="E43" s="230"/>
      <c r="F43" s="231"/>
      <c r="G43" s="3348"/>
    </row>
    <row r="44" spans="1:7" ht="13.5" customHeight="1">
      <c r="A44" s="734" t="s">
        <v>348</v>
      </c>
      <c r="B44" s="207" t="s">
        <v>1546</v>
      </c>
      <c r="C44" s="230">
        <f ca="1">ROUND(IF('数据-取费表'!B22&lt;=1,C40*F22*'数据-取费表'!B20/2,C40*(POWER((1+F22),'数据-取费表'!B20/2)-1)),4)</f>
        <v>5.9999999999999995E-4</v>
      </c>
      <c r="D44" s="230"/>
      <c r="E44" s="230"/>
      <c r="F44" s="231"/>
      <c r="G44" s="3349"/>
    </row>
    <row r="45" spans="1:7" s="206" customFormat="1" ht="13.5" customHeight="1">
      <c r="A45" s="247" t="s">
        <v>1547</v>
      </c>
      <c r="B45" s="236" t="s">
        <v>1513</v>
      </c>
      <c r="C45" s="237">
        <f ca="1">C46</f>
        <v>415911</v>
      </c>
      <c r="D45" s="227">
        <f ca="1">C47</f>
        <v>3.0000000000000001E-3</v>
      </c>
      <c r="E45" s="228" t="s">
        <v>1539</v>
      </c>
      <c r="F45" s="238">
        <f ca="1">F27</f>
        <v>0.15</v>
      </c>
      <c r="G45" s="239" t="s">
        <v>1548</v>
      </c>
    </row>
    <row r="46" spans="1:7" s="206" customFormat="1" ht="13.5" customHeight="1">
      <c r="A46" s="734" t="s">
        <v>346</v>
      </c>
      <c r="B46" s="240" t="s">
        <v>1549</v>
      </c>
      <c r="C46" s="241">
        <f ca="1">ROUND((C33+C39)*F27,0)</f>
        <v>415911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3543947</v>
      </c>
      <c r="D49" s="224"/>
      <c r="E49" s="224"/>
      <c r="F49" s="256"/>
      <c r="G49" s="226" t="s">
        <v>1554</v>
      </c>
    </row>
    <row r="50" spans="1:7" s="250" customFormat="1">
      <c r="A50" s="247" t="s">
        <v>1555</v>
      </c>
      <c r="B50" s="202" t="s">
        <v>1556</v>
      </c>
      <c r="C50" s="224"/>
      <c r="D50" s="224"/>
      <c r="E50" s="224"/>
      <c r="F50" s="256">
        <f>IF('数据-取费表'!B24=0,'数据-取费表'!N16,1)</f>
        <v>0.83</v>
      </c>
      <c r="G50" s="239"/>
    </row>
    <row r="51" spans="1:7" ht="16.5" customHeight="1">
      <c r="A51" s="247" t="s">
        <v>1558</v>
      </c>
      <c r="B51" s="202" t="s">
        <v>1593</v>
      </c>
      <c r="C51" s="224">
        <f ca="1">ROUND(C49*F50,0)</f>
        <v>2941476</v>
      </c>
      <c r="D51" s="224"/>
      <c r="E51" s="224"/>
      <c r="F51" s="256"/>
      <c r="G51" s="226" t="s">
        <v>1560</v>
      </c>
    </row>
    <row r="52" spans="1:7" s="200" customFormat="1" ht="16.5" thickBot="1">
      <c r="A52" s="257" t="s">
        <v>1561</v>
      </c>
      <c r="B52" s="258"/>
      <c r="C52" s="259">
        <f ca="1">C31+C51</f>
        <v>10572466</v>
      </c>
      <c r="D52" s="258"/>
      <c r="E52" s="258"/>
      <c r="F52" s="258"/>
      <c r="G52" s="260"/>
    </row>
    <row r="55" spans="1:7" ht="15">
      <c r="B55" s="262" t="s">
        <v>1562</v>
      </c>
      <c r="C55" s="263"/>
    </row>
    <row r="56" spans="1:7">
      <c r="B56" s="265" t="s">
        <v>802</v>
      </c>
      <c r="C56" s="267">
        <f ca="1">1-C57</f>
        <v>0.72199999999999998</v>
      </c>
    </row>
    <row r="57" spans="1:7">
      <c r="B57" s="265" t="s">
        <v>803</v>
      </c>
      <c r="C57" s="266">
        <f ca="1">ROUND(C51/C52,3)</f>
        <v>0.27800000000000002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55" zoomScale="85" zoomScaleNormal="80" zoomScaleSheetLayoutView="85" workbookViewId="0">
      <selection activeCell="G61" sqref="G61:G69"/>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606.78</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542</v>
      </c>
      <c r="C2" s="1846" t="s">
        <v>1935</v>
      </c>
      <c r="D2" s="162" t="s">
        <v>1936</v>
      </c>
      <c r="E2" s="3121"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Ⅶ-昌3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13404</v>
      </c>
      <c r="U2" s="1130"/>
      <c r="V2" s="3064">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8932</v>
      </c>
      <c r="C3" s="1846" t="s">
        <v>1941</v>
      </c>
      <c r="D3" s="162" t="s">
        <v>1942</v>
      </c>
      <c r="E3" s="3119" t="s">
        <v>3407</v>
      </c>
      <c r="F3" s="1848" t="s">
        <v>3408</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10565</v>
      </c>
      <c r="U3" s="1130"/>
      <c r="V3" s="3064">
        <f t="shared" ref="V3:V16" si="1">ROUND(T3*U3/10000,0)</f>
        <v>0</v>
      </c>
      <c r="W3" s="1133"/>
      <c r="X3" s="1133"/>
      <c r="Y3" s="1133"/>
      <c r="Z3" s="1133"/>
      <c r="AA3" s="1133"/>
      <c r="AB3" s="1133"/>
      <c r="AC3" s="1134"/>
      <c r="AD3" s="1135"/>
      <c r="AE3" s="1135"/>
      <c r="AF3" s="1135"/>
      <c r="AG3" s="1135"/>
      <c r="AH3" s="1135"/>
      <c r="AI3" s="1135"/>
      <c r="AJ3" s="1136"/>
    </row>
    <row r="4" spans="1:36" ht="15.75">
      <c r="A4" s="3460"/>
      <c r="B4" s="3461"/>
      <c r="C4" s="3461"/>
      <c r="D4" s="3462"/>
      <c r="E4" s="3462"/>
      <c r="F4" s="3462"/>
      <c r="G4" s="3462"/>
      <c r="H4" s="3462"/>
      <c r="I4" s="3462"/>
      <c r="J4" s="3463"/>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8929</v>
      </c>
      <c r="U4" s="1130"/>
      <c r="V4" s="3064">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8980</v>
      </c>
      <c r="D5" s="1252">
        <f>ROUND(C6*C17+C20,0)</f>
        <v>8980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7875</v>
      </c>
      <c r="U5" s="1130"/>
      <c r="V5" s="3064">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8980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0.84799999999999998</v>
      </c>
      <c r="T6" s="3064">
        <f t="shared" si="0"/>
        <v>7568</v>
      </c>
      <c r="U6" s="1130"/>
      <c r="V6" s="3064">
        <f t="shared" si="1"/>
        <v>0</v>
      </c>
      <c r="W6" s="1133"/>
      <c r="X6" s="1133"/>
      <c r="Y6" s="1133"/>
      <c r="Z6" s="1133"/>
      <c r="AA6" s="1133"/>
      <c r="AB6" s="1133"/>
      <c r="AC6" s="1855"/>
      <c r="AD6" s="1856"/>
      <c r="AE6" s="1856"/>
      <c r="AF6" s="1856"/>
      <c r="AG6" s="1856"/>
      <c r="AH6" s="1856"/>
      <c r="AI6" s="1856"/>
      <c r="AJ6" s="1857"/>
    </row>
    <row r="7" spans="1:36" ht="24.75" thickBot="1">
      <c r="A7" s="3013" t="s">
        <v>3228</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8980</v>
      </c>
      <c r="N7" s="813">
        <f>SUMPRODUCT((因素修正幅度!B190:B233=I2)*(因素修正幅度!C3:G3=E2)*(因素修正幅度!C190:G233))</f>
        <v>0.13</v>
      </c>
      <c r="O7" s="1056"/>
      <c r="P7" s="1056"/>
      <c r="Q7" s="1056"/>
      <c r="R7" s="1129">
        <v>6</v>
      </c>
      <c r="S7" s="3118"/>
      <c r="T7" s="3064">
        <f t="shared" si="0"/>
        <v>0</v>
      </c>
      <c r="U7" s="1130"/>
      <c r="V7" s="3064">
        <f t="shared" si="1"/>
        <v>0</v>
      </c>
      <c r="W7" s="1267" t="s">
        <v>1955</v>
      </c>
      <c r="X7" s="1131" t="str">
        <f>G2</f>
        <v>七级</v>
      </c>
      <c r="Y7" s="1131" t="s">
        <v>1956</v>
      </c>
      <c r="Z7" s="1132">
        <f>G3</f>
        <v>2.5</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57" t="s">
        <v>1960</v>
      </c>
      <c r="X8" s="3458"/>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59"/>
      <c r="X9" s="3065" t="s">
        <v>3258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59"/>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v>1</v>
      </c>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0.93120000000000003</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4" t="s">
        <v>3245</v>
      </c>
      <c r="B20" s="159" t="s">
        <v>1994</v>
      </c>
      <c r="C20" s="3032">
        <f>ROUND(IF(F21="与级别开发程度一致",0,(G21-E21)/C21),0)</f>
        <v>0</v>
      </c>
      <c r="D20" s="3047" t="s">
        <v>1998</v>
      </c>
      <c r="E20" s="3048"/>
      <c r="F20" s="3470" t="s">
        <v>1995</v>
      </c>
      <c r="G20" s="3471"/>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65"/>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6" t="s">
        <v>2002</v>
      </c>
      <c r="E23" s="717">
        <v>44197</v>
      </c>
      <c r="F23" s="1896" t="s">
        <v>2003</v>
      </c>
      <c r="G23" s="718">
        <f>'数据-取费表'!B2</f>
        <v>45693</v>
      </c>
      <c r="H23" s="3049" t="s">
        <v>3246</v>
      </c>
      <c r="I23" s="3050" t="str">
        <f>IF(H23="季度增幅（自定义）",SUMIF(N25:N28,E2,O25:O28),"")</f>
        <v/>
      </c>
      <c r="J23" s="3142" t="s">
        <v>3410</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0.93489999999999995</v>
      </c>
      <c r="D24" s="1902" t="s">
        <v>2007</v>
      </c>
      <c r="E24" s="1248">
        <f>存贷款利率!E27/100</f>
        <v>4.3499999999999997E-2</v>
      </c>
      <c r="F24" s="1902" t="s">
        <v>1999</v>
      </c>
      <c r="G24" s="724">
        <f>SUMIF(M30:Q30,E2,M33:Q33)</f>
        <v>5.5E-2</v>
      </c>
      <c r="H24" s="1902" t="s">
        <v>2008</v>
      </c>
      <c r="I24" s="725">
        <f>SUMIF('数据-取费表'!C6:C15,E2,'数据-取费表'!F6:F15)/COUNTIF('数据-取费表'!C6:C15,E2)</f>
        <v>38.200000000000003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3325</v>
      </c>
      <c r="C25" s="461">
        <f>IF(B25="容积率修正",IF(G3&lt;10,D26,J26),C27)</f>
        <v>1</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3247</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3248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1.0451999999999999</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542</v>
      </c>
      <c r="D30" s="1925"/>
      <c r="E30" s="1842"/>
      <c r="F30" s="1926"/>
      <c r="G30" s="1842"/>
      <c r="H30" s="1842"/>
      <c r="I30" s="1842"/>
      <c r="J30" s="1927"/>
      <c r="K30" s="1056"/>
      <c r="L30" s="3056" t="s">
        <v>1936</v>
      </c>
      <c r="M30" s="3057" t="s">
        <v>1990</v>
      </c>
      <c r="N30" s="3057" t="s">
        <v>1991</v>
      </c>
      <c r="O30" s="3057" t="s">
        <v>1992</v>
      </c>
      <c r="P30" s="3057" t="s">
        <v>1993</v>
      </c>
      <c r="Q30" s="3060" t="s">
        <v>3252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8925</v>
      </c>
      <c r="D33" s="1940">
        <f>'数据-汇总表'!E3</f>
        <v>606.78</v>
      </c>
      <c r="E33" s="727">
        <f>ROUND(C33*D33/10000,0)</f>
        <v>542</v>
      </c>
      <c r="F33" s="3051" t="s">
        <v>3250</v>
      </c>
      <c r="G33" s="1941"/>
      <c r="H33" s="1941"/>
      <c r="I33" s="1941"/>
      <c r="J33" s="1942"/>
      <c r="K33" s="1056"/>
      <c r="L33" s="3054" t="s">
        <v>3253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f>ROUND(IF(E2="工业",C33*M42,IF(B25="楼层修正",SUM(V2:V16)*M41*10000/D34,C33*M41)),0)</f>
        <v>2231</v>
      </c>
      <c r="D34" s="1945"/>
      <c r="E34" s="727">
        <f>ROUND(IF(B25="楼层修正",SUM(V2:V16)*M40,C34*D34/10000),0)</f>
        <v>0</v>
      </c>
      <c r="F34" s="1946" t="s">
        <v>2032</v>
      </c>
      <c r="G34" s="1947"/>
      <c r="H34" s="1947"/>
      <c r="I34" s="1947"/>
      <c r="J34" s="1948"/>
      <c r="K34" s="1056"/>
      <c r="L34" s="3054" t="s">
        <v>3254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3255</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8"/>
      <c r="B37" s="1955" t="s">
        <v>2036</v>
      </c>
      <c r="C37" s="167">
        <f>ROUND(D5*C22*C23*C24*C28*F37,0)</f>
        <v>5355</v>
      </c>
      <c r="D37" s="1940"/>
      <c r="E37" s="163">
        <f>ROUND(C37*D37/10000,0)</f>
        <v>0</v>
      </c>
      <c r="F37" s="163">
        <f>SUMIF(修正!A57:A68,G2,修正!B57:B68)</f>
        <v>0.6</v>
      </c>
      <c r="G37" s="163">
        <f>ROUND(IF(E2="工业",C37*$M$42,C37*$M$41),0)</f>
        <v>1339</v>
      </c>
      <c r="H37" s="163">
        <f>D37</f>
        <v>0</v>
      </c>
      <c r="I37" s="163">
        <f>ROUND(G37*H37/10000,0)</f>
        <v>0</v>
      </c>
      <c r="J37" s="2755"/>
      <c r="K37" s="3062" t="s">
        <v>3256</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9"/>
      <c r="B38" s="1884" t="s">
        <v>2037</v>
      </c>
      <c r="C38" s="167">
        <f>ROUND(D5*C22*C23*C24*C28*F38,0)</f>
        <v>2677</v>
      </c>
      <c r="D38" s="1940"/>
      <c r="E38" s="163">
        <f t="shared" ref="E38:E42" si="4">ROUND(C38*D38/10000,0)</f>
        <v>0</v>
      </c>
      <c r="F38" s="163">
        <f>SUMIF(修正!A57:A68,G2,修正!C57:C68)</f>
        <v>0.3</v>
      </c>
      <c r="G38" s="163">
        <f>ROUND(IF(E2="工业",C38*$M$42,C38*$M$41),0)</f>
        <v>669</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9"/>
      <c r="B39" s="1884" t="s">
        <v>3249</v>
      </c>
      <c r="C39" s="167">
        <f>ROUND(D5*C22*C23*C24*C28*F39,0)</f>
        <v>2231</v>
      </c>
      <c r="D39" s="1940"/>
      <c r="E39" s="163">
        <f t="shared" si="4"/>
        <v>0</v>
      </c>
      <c r="F39" s="163">
        <f>SUMIF(修正!A57:A68,G2,修正!D57:D68)</f>
        <v>0.25</v>
      </c>
      <c r="G39" s="163">
        <f>ROUND(IF(E2="工业",C39*$M$42,C39*$M$41),0)</f>
        <v>558</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2231</v>
      </c>
      <c r="D40" s="1940"/>
      <c r="E40" s="163">
        <f t="shared" si="4"/>
        <v>0</v>
      </c>
      <c r="F40" s="167">
        <f>SUMIF(修正!A57:A68,G2,修正!E57:E68)</f>
        <v>0.25</v>
      </c>
      <c r="G40" s="163">
        <f>ROUND(IF(E2="工业",C40*$M$42,C40*$M$41),0)</f>
        <v>558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2231</v>
      </c>
      <c r="D41" s="1940"/>
      <c r="E41" s="163">
        <f t="shared" si="4"/>
        <v>0</v>
      </c>
      <c r="F41" s="167">
        <f>SUMIF(修正!A57:A68,G2,修正!F57:F68)</f>
        <v>0.25</v>
      </c>
      <c r="G41" s="163">
        <f>ROUND(IF(E2="工业",C41*$M$42,C41*$M$41),0)</f>
        <v>558</v>
      </c>
      <c r="H41" s="163">
        <f t="shared" si="5"/>
        <v>0</v>
      </c>
      <c r="I41" s="163">
        <f t="shared" si="6"/>
        <v>0</v>
      </c>
      <c r="J41" s="939"/>
      <c r="L41" s="3063" t="s">
        <v>3257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1339</v>
      </c>
      <c r="D42" s="1945"/>
      <c r="E42" s="179">
        <f t="shared" si="4"/>
        <v>0</v>
      </c>
      <c r="F42" s="723">
        <f>SUMIF(修正!A57:A68,G2,修正!G57:G68)</f>
        <v>0.15</v>
      </c>
      <c r="G42" s="179">
        <f>ROUND(IF(E2="工业",C42*$M$42,C42*$M$41),0)</f>
        <v>335</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0.93489999999999995</v>
      </c>
      <c r="D44" s="163" t="s">
        <v>1999</v>
      </c>
      <c r="E44" s="1991">
        <f>G24</f>
        <v>5.5E-2</v>
      </c>
      <c r="F44" s="163" t="s">
        <v>2008</v>
      </c>
      <c r="G44" s="175">
        <f>项目基本情况!E15</f>
        <v>38.200000000000003</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3259</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1.0451999999999999</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t="s">
        <v>3411</v>
      </c>
      <c r="D61" s="1002">
        <f t="shared" ref="D61:D69" si="12">SUMIF($J$60:$N$60,C61,J61:N61)</f>
        <v>1.6199999999999999E-2</v>
      </c>
      <c r="E61" s="702">
        <f>ROUND(SUM(D61:D69),4)</f>
        <v>4.5199999999999997E-2</v>
      </c>
      <c r="F61" s="1675">
        <f>IF(E2="办公",SUMIF(L1:L12,G2,N1:N12),"——")</f>
        <v>0.13</v>
      </c>
      <c r="G61" s="1000">
        <f>H61</f>
        <v>1.6199999999999999E-2</v>
      </c>
      <c r="H61" s="1003">
        <f t="shared" ref="H61:H69" si="13">IFERROR(ROUNDDOWN($F$61*I61/2,4),"——")</f>
        <v>1.6199999999999999E-2</v>
      </c>
      <c r="I61" s="3069">
        <v>0.25</v>
      </c>
      <c r="J61" s="1001">
        <f t="shared" ref="J61:J69" si="14">K61+$G61</f>
        <v>3.2399999999999998E-2</v>
      </c>
      <c r="K61" s="1001">
        <f t="shared" ref="K61:K69" si="15">$L61+$G61</f>
        <v>1.6199999999999999E-2</v>
      </c>
      <c r="L61" s="1001">
        <v>0</v>
      </c>
      <c r="M61" s="1001">
        <f t="shared" ref="M61:N69" si="16">L61-$G61</f>
        <v>-1.6199999999999999E-2</v>
      </c>
      <c r="N61" s="1001">
        <f t="shared" si="16"/>
        <v>-3.2399999999999998E-2</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t="s">
        <v>3412</v>
      </c>
      <c r="D62" s="1002">
        <f t="shared" si="12"/>
        <v>0</v>
      </c>
      <c r="E62" s="703"/>
      <c r="F62" s="1675"/>
      <c r="G62" s="1000">
        <f t="shared" ref="G62:G69" si="17">H62</f>
        <v>1.6899999999999998E-2</v>
      </c>
      <c r="H62" s="1003">
        <f t="shared" si="13"/>
        <v>1.6899999999999998E-2</v>
      </c>
      <c r="I62" s="3069">
        <v>0.26</v>
      </c>
      <c r="J62" s="1001">
        <f t="shared" si="14"/>
        <v>3.3799999999999997E-2</v>
      </c>
      <c r="K62" s="1001">
        <f t="shared" si="15"/>
        <v>1.6899999999999998E-2</v>
      </c>
      <c r="L62" s="1001">
        <v>0</v>
      </c>
      <c r="M62" s="1001">
        <f t="shared" si="16"/>
        <v>-1.6899999999999998E-2</v>
      </c>
      <c r="N62" s="1001">
        <f t="shared" si="16"/>
        <v>-3.3799999999999997E-2</v>
      </c>
      <c r="AA62" s="1057"/>
      <c r="AB62" s="1057"/>
      <c r="AC62" s="1057"/>
      <c r="AD62" s="1057"/>
      <c r="AE62" s="1057"/>
      <c r="AF62" s="1057"/>
      <c r="AG62" s="1057"/>
      <c r="AH62" s="1057"/>
      <c r="AI62" s="1057"/>
      <c r="AJ62" s="1057"/>
      <c r="AK62" s="1057"/>
    </row>
    <row r="63" spans="1:37" s="1056" customFormat="1" ht="36">
      <c r="A63" s="3071" t="s">
        <v>3259</v>
      </c>
      <c r="B63" s="1262">
        <f>估价对象房地状况!C19</f>
        <v>0</v>
      </c>
      <c r="C63" s="1887" t="s">
        <v>3411</v>
      </c>
      <c r="D63" s="1002">
        <f t="shared" si="12"/>
        <v>7.1000000000000004E-3</v>
      </c>
      <c r="E63" s="703"/>
      <c r="F63" s="1675"/>
      <c r="G63" s="1000">
        <f t="shared" si="17"/>
        <v>7.1000000000000004E-3</v>
      </c>
      <c r="H63" s="1003">
        <f t="shared" si="13"/>
        <v>7.1000000000000004E-3</v>
      </c>
      <c r="I63" s="3069">
        <v>0.11</v>
      </c>
      <c r="J63" s="1001">
        <f t="shared" si="14"/>
        <v>1.4200000000000001E-2</v>
      </c>
      <c r="K63" s="1001">
        <f t="shared" si="15"/>
        <v>7.1000000000000004E-3</v>
      </c>
      <c r="L63" s="1001">
        <v>0</v>
      </c>
      <c r="M63" s="1001">
        <f t="shared" si="16"/>
        <v>-7.1000000000000004E-3</v>
      </c>
      <c r="N63" s="1001">
        <f t="shared" si="16"/>
        <v>-1.4200000000000001E-2</v>
      </c>
      <c r="AA63" s="1057"/>
      <c r="AB63" s="1057"/>
      <c r="AC63" s="1057"/>
      <c r="AD63" s="1057"/>
      <c r="AE63" s="1057"/>
      <c r="AF63" s="1057"/>
      <c r="AG63" s="1057"/>
      <c r="AH63" s="1057"/>
      <c r="AI63" s="1057"/>
      <c r="AJ63" s="1057"/>
      <c r="AK63" s="1057"/>
    </row>
    <row r="64" spans="1:37" s="1056" customFormat="1" ht="36.75">
      <c r="A64" s="1970" t="s">
        <v>2054</v>
      </c>
      <c r="B64" s="1974" t="s">
        <v>2055</v>
      </c>
      <c r="C64" s="1887" t="s">
        <v>3411</v>
      </c>
      <c r="D64" s="1002">
        <f t="shared" si="12"/>
        <v>3.2000000000000002E-3</v>
      </c>
      <c r="E64" s="703"/>
      <c r="F64" s="1675"/>
      <c r="G64" s="1000">
        <f t="shared" si="17"/>
        <v>3.2000000000000002E-3</v>
      </c>
      <c r="H64" s="1003">
        <f t="shared" si="13"/>
        <v>3.2000000000000002E-3</v>
      </c>
      <c r="I64" s="3069">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3411</v>
      </c>
      <c r="D65" s="1002">
        <f t="shared" si="12"/>
        <v>3.2000000000000002E-3</v>
      </c>
      <c r="E65" s="703"/>
      <c r="F65" s="1675"/>
      <c r="G65" s="1000">
        <f t="shared" si="17"/>
        <v>3.2000000000000002E-3</v>
      </c>
      <c r="H65" s="1003">
        <f t="shared" si="13"/>
        <v>3.2000000000000002E-3</v>
      </c>
      <c r="I65" s="3069">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24">
      <c r="A66" s="1970" t="s">
        <v>2057</v>
      </c>
      <c r="B66" s="1975" t="s">
        <v>2058</v>
      </c>
      <c r="C66" s="1887" t="s">
        <v>3411</v>
      </c>
      <c r="D66" s="1002">
        <f t="shared" si="12"/>
        <v>3.8999999999999998E-3</v>
      </c>
      <c r="E66" s="703"/>
      <c r="F66" s="1675"/>
      <c r="G66" s="1000">
        <f t="shared" si="17"/>
        <v>3.8999999999999998E-3</v>
      </c>
      <c r="H66" s="1003">
        <f t="shared" si="13"/>
        <v>3.8999999999999998E-3</v>
      </c>
      <c r="I66" s="3069">
        <v>0.06</v>
      </c>
      <c r="J66" s="1001">
        <f t="shared" si="14"/>
        <v>7.7999999999999996E-3</v>
      </c>
      <c r="K66" s="1001">
        <f t="shared" si="15"/>
        <v>3.8999999999999998E-3</v>
      </c>
      <c r="L66" s="1001">
        <v>0</v>
      </c>
      <c r="M66" s="1001">
        <f t="shared" si="16"/>
        <v>-3.8999999999999998E-3</v>
      </c>
      <c r="N66" s="1001">
        <f t="shared" si="16"/>
        <v>-7.7999999999999996E-3</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t="s">
        <v>3412</v>
      </c>
      <c r="D67" s="1002">
        <f t="shared" si="12"/>
        <v>0</v>
      </c>
      <c r="E67" s="703"/>
      <c r="F67" s="1675"/>
      <c r="G67" s="1000">
        <f t="shared" si="17"/>
        <v>3.8999999999999998E-3</v>
      </c>
      <c r="H67" s="1003">
        <f t="shared" si="13"/>
        <v>3.8999999999999998E-3</v>
      </c>
      <c r="I67" s="3069">
        <v>0.06</v>
      </c>
      <c r="J67" s="1001">
        <f t="shared" si="14"/>
        <v>7.7999999999999996E-3</v>
      </c>
      <c r="K67" s="1001">
        <f t="shared" si="15"/>
        <v>3.8999999999999998E-3</v>
      </c>
      <c r="L67" s="1001">
        <v>0</v>
      </c>
      <c r="M67" s="1001">
        <f t="shared" si="16"/>
        <v>-3.8999999999999998E-3</v>
      </c>
      <c r="N67" s="1001">
        <f t="shared" si="16"/>
        <v>-7.7999999999999996E-3</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t="s">
        <v>3413</v>
      </c>
      <c r="D68" s="1002">
        <f t="shared" si="12"/>
        <v>1.1599999999999999E-2</v>
      </c>
      <c r="E68" s="703"/>
      <c r="F68" s="1675"/>
      <c r="G68" s="1000">
        <f t="shared" si="17"/>
        <v>5.7999999999999996E-3</v>
      </c>
      <c r="H68" s="1003">
        <f t="shared" si="13"/>
        <v>5.7999999999999996E-3</v>
      </c>
      <c r="I68" s="3069">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t="s">
        <v>3412</v>
      </c>
      <c r="D69" s="1002">
        <f t="shared" si="12"/>
        <v>0</v>
      </c>
      <c r="E69" s="704"/>
      <c r="F69" s="1675"/>
      <c r="G69" s="1000">
        <f t="shared" si="17"/>
        <v>4.4999999999999997E-3</v>
      </c>
      <c r="H69" s="1003">
        <f t="shared" si="13"/>
        <v>4.4999999999999997E-3</v>
      </c>
      <c r="I69" s="3070">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3259</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3260</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3261</v>
      </c>
      <c r="B92" s="2310"/>
      <c r="C92" s="2310" t="s">
        <v>3270</v>
      </c>
      <c r="D92" s="2310" t="s">
        <v>3271</v>
      </c>
      <c r="E92" s="3053" t="s">
        <v>3272</v>
      </c>
      <c r="F92" s="3083" t="s">
        <v>3273</v>
      </c>
      <c r="G92" s="2310" t="s">
        <v>3274</v>
      </c>
      <c r="H92" s="3090" t="s">
        <v>3277</v>
      </c>
      <c r="I92" s="2310" t="s">
        <v>3278</v>
      </c>
      <c r="J92" s="2150" t="s">
        <v>3279</v>
      </c>
      <c r="K92" s="2150" t="s">
        <v>3280</v>
      </c>
      <c r="L92" s="2150" t="s">
        <v>3281</v>
      </c>
      <c r="M92" s="2150" t="s">
        <v>3282</v>
      </c>
      <c r="N92" s="2150" t="s">
        <v>3283</v>
      </c>
    </row>
    <row r="93" spans="1:37" ht="24">
      <c r="A93" s="3071" t="s">
        <v>3262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3263</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3259</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3264</v>
      </c>
      <c r="B96" s="3087" t="s">
        <v>3275</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3265</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3266</v>
      </c>
      <c r="B98" s="3088" t="s">
        <v>3276</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3267</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3268</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3269</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66" t="s">
        <v>3284</v>
      </c>
      <c r="B103" s="3466"/>
      <c r="C103" s="3466"/>
      <c r="D103" s="3466"/>
      <c r="E103" s="3466"/>
      <c r="F103" s="3466"/>
      <c r="G103" s="3466"/>
      <c r="H103" s="3466"/>
      <c r="I103" s="3466"/>
      <c r="J103" s="3466"/>
      <c r="K103" s="1667"/>
      <c r="L103" s="1667"/>
      <c r="M103" s="1667"/>
      <c r="N103" s="1667"/>
    </row>
    <row r="104" spans="1:14">
      <c r="A104" s="3467" t="s">
        <v>3285</v>
      </c>
      <c r="B104" s="3467" t="s">
        <v>3286</v>
      </c>
      <c r="C104" s="3091" t="s">
        <v>3287</v>
      </c>
      <c r="D104" s="3092"/>
      <c r="E104" s="3092"/>
      <c r="F104" s="3092"/>
      <c r="G104" s="3092"/>
      <c r="H104" s="3092"/>
      <c r="I104" s="3092"/>
      <c r="J104" s="3093"/>
      <c r="K104" s="3094"/>
      <c r="L104" s="3094"/>
      <c r="M104" s="3094"/>
      <c r="N104" s="3094"/>
    </row>
    <row r="105" spans="1:14">
      <c r="A105" s="3467"/>
      <c r="B105" s="3467"/>
      <c r="C105" s="3095" t="s">
        <v>3288</v>
      </c>
      <c r="D105" s="3095" t="s">
        <v>3289</v>
      </c>
      <c r="E105" s="3095" t="s">
        <v>3290</v>
      </c>
      <c r="F105" s="3095" t="s">
        <v>3291</v>
      </c>
      <c r="G105" s="3095" t="s">
        <v>3292</v>
      </c>
      <c r="H105" s="3095" t="s">
        <v>3293</v>
      </c>
      <c r="I105" s="3095" t="s">
        <v>3294</v>
      </c>
      <c r="J105" s="3095" t="s">
        <v>3295</v>
      </c>
      <c r="K105" s="3095" t="s">
        <v>3296</v>
      </c>
      <c r="L105" s="3095" t="s">
        <v>3297</v>
      </c>
      <c r="M105" s="3095" t="s">
        <v>3298</v>
      </c>
      <c r="N105" s="3095" t="s">
        <v>3299</v>
      </c>
    </row>
    <row r="106" spans="1:14">
      <c r="A106" s="3453" t="s">
        <v>3300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4"/>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4"/>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4"/>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4"/>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4"/>
      <c r="B111" s="3095" t="s">
        <v>3258</v>
      </c>
      <c r="C111" s="3096">
        <f>$I$3</f>
        <v>0</v>
      </c>
      <c r="D111" s="3096">
        <f t="shared" ref="D111:M111" si="33">$I$3</f>
        <v>0</v>
      </c>
      <c r="E111" s="3096">
        <f t="shared" si="33"/>
        <v>0</v>
      </c>
      <c r="F111" s="3096">
        <f t="shared" si="33"/>
        <v>0</v>
      </c>
      <c r="G111" s="3096">
        <f t="shared" si="33"/>
        <v>0</v>
      </c>
      <c r="H111" s="3096">
        <f t="shared" si="33"/>
        <v>0</v>
      </c>
      <c r="I111" s="3096">
        <f t="shared" si="33"/>
        <v>0</v>
      </c>
      <c r="J111" s="3096">
        <f t="shared" si="33"/>
        <v>0</v>
      </c>
      <c r="K111" s="3096">
        <f t="shared" si="33"/>
        <v>0</v>
      </c>
      <c r="L111" s="3096">
        <f t="shared" si="33"/>
        <v>0</v>
      </c>
      <c r="M111" s="3096">
        <f t="shared" si="33"/>
        <v>0</v>
      </c>
      <c r="N111" s="3096">
        <f>$I$3</f>
        <v>0</v>
      </c>
    </row>
    <row r="112" spans="1:14">
      <c r="A112" s="3455"/>
      <c r="B112" s="3095">
        <v>6</v>
      </c>
      <c r="C112" s="3090">
        <f>(-0.5556*(C111^2)-0.2719*C111+8944)*(10^(-4))</f>
        <v>0.89440000000000008</v>
      </c>
      <c r="D112" s="3090">
        <f>(-0.5556*(D111^2)-0.2719*D111+8944)*(10^(-4))</f>
        <v>0.89440000000000008</v>
      </c>
      <c r="E112" s="3090">
        <f>(-0.7912*(E111^2)-11.3794*E111+8482)*(10^(-4))</f>
        <v>0.84820000000000007</v>
      </c>
      <c r="F112" s="3090">
        <f t="shared" ref="F112:I112" si="34">(-0.7912*(F111^2)-11.3794*F111+8482)*(10^(-4))</f>
        <v>0.84820000000000007</v>
      </c>
      <c r="G112" s="3090">
        <f t="shared" si="34"/>
        <v>0.84820000000000007</v>
      </c>
      <c r="H112" s="3090">
        <f t="shared" si="34"/>
        <v>0.84820000000000007</v>
      </c>
      <c r="I112" s="3090">
        <f t="shared" si="34"/>
        <v>0.84820000000000007</v>
      </c>
      <c r="J112" s="3090">
        <f>(-0.989*(J111^2)-63.78*J111+7771)*(10^(-4))</f>
        <v>0.77710000000000001</v>
      </c>
      <c r="K112" s="3090">
        <f t="shared" ref="K112:N112" si="35">(-0.989*(K111^2)-63.78*K111+7771)*(10^(-4))</f>
        <v>0.77710000000000001</v>
      </c>
      <c r="L112" s="3090">
        <f t="shared" si="35"/>
        <v>0.77710000000000001</v>
      </c>
      <c r="M112" s="3090">
        <f t="shared" si="35"/>
        <v>0.77710000000000001</v>
      </c>
      <c r="N112" s="3090">
        <f t="shared" si="35"/>
        <v>0.77710000000000001</v>
      </c>
    </row>
    <row r="113" spans="1:14">
      <c r="A113" s="3456" t="s">
        <v>3301</v>
      </c>
      <c r="B113" s="3456"/>
      <c r="C113" s="3456"/>
      <c r="D113" s="3456"/>
      <c r="E113" s="3456"/>
      <c r="F113" s="3456"/>
      <c r="G113" s="3456"/>
      <c r="H113" s="3456"/>
      <c r="I113" s="3456"/>
      <c r="J113" s="3456"/>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3302</v>
      </c>
      <c r="B116" s="3115">
        <f>G3</f>
        <v>2.5</v>
      </c>
      <c r="C116" s="3100" t="s">
        <v>3303</v>
      </c>
      <c r="D116" s="3101">
        <f>SUMPRODUCT((A118:A122=F116)*(B117:M117=H116)*B118:M122)</f>
        <v>0.90600000000000003</v>
      </c>
      <c r="E116" s="162" t="s">
        <v>3304</v>
      </c>
      <c r="F116" s="3102" t="str">
        <f>E2</f>
        <v>办公</v>
      </c>
      <c r="G116" s="162" t="s">
        <v>3305</v>
      </c>
      <c r="H116" s="3102" t="str">
        <f>G2</f>
        <v>七级</v>
      </c>
      <c r="I116" s="162"/>
      <c r="J116" s="3103"/>
      <c r="K116" s="3103"/>
      <c r="L116" s="3103"/>
      <c r="M116" s="3103"/>
      <c r="N116" s="3098"/>
    </row>
    <row r="117" spans="1:14">
      <c r="A117" s="3104"/>
      <c r="B117" s="3105" t="s">
        <v>3306</v>
      </c>
      <c r="C117" s="3105" t="s">
        <v>3307</v>
      </c>
      <c r="D117" s="3105" t="s">
        <v>3308</v>
      </c>
      <c r="E117" s="3106" t="s">
        <v>3309</v>
      </c>
      <c r="F117" s="3106" t="s">
        <v>3310</v>
      </c>
      <c r="G117" s="3106" t="s">
        <v>3311</v>
      </c>
      <c r="H117" s="3107" t="s">
        <v>3312</v>
      </c>
      <c r="I117" s="3107" t="s">
        <v>3313</v>
      </c>
      <c r="J117" s="3108" t="s">
        <v>3314</v>
      </c>
      <c r="K117" s="3108" t="s">
        <v>3315</v>
      </c>
      <c r="L117" s="3108" t="s">
        <v>3316</v>
      </c>
      <c r="M117" s="3109" t="s">
        <v>3317</v>
      </c>
      <c r="N117" s="3098"/>
    </row>
    <row r="118" spans="1:14">
      <c r="A118" s="3058" t="s">
        <v>3318</v>
      </c>
      <c r="B118" s="3090">
        <f>ROUND(0.9968-0.011*B116,4)</f>
        <v>0.96930000000000005</v>
      </c>
      <c r="C118" s="3090">
        <f>B118</f>
        <v>0.96930000000000005</v>
      </c>
      <c r="D118" s="3090">
        <f>ROUND(0.949-0.014*B116,4)</f>
        <v>0.91400000000000003</v>
      </c>
      <c r="E118" s="3090">
        <f>D118</f>
        <v>0.91400000000000003</v>
      </c>
      <c r="F118" s="3090">
        <f>E118</f>
        <v>0.91400000000000003</v>
      </c>
      <c r="G118" s="3090">
        <f>F118</f>
        <v>0.91400000000000003</v>
      </c>
      <c r="H118" s="3090">
        <f>G118</f>
        <v>0.91400000000000003</v>
      </c>
      <c r="I118" s="3090">
        <f>ROUND(0.8486-0.018*B116,4)</f>
        <v>0.80359999999999998</v>
      </c>
      <c r="J118" s="3090">
        <f t="shared" ref="J118:M122" si="36">I118</f>
        <v>0.80359999999999998</v>
      </c>
      <c r="K118" s="3090">
        <f t="shared" si="36"/>
        <v>0.80359999999999998</v>
      </c>
      <c r="L118" s="3090">
        <f t="shared" si="36"/>
        <v>0.80359999999999998</v>
      </c>
      <c r="M118" s="3110">
        <f t="shared" si="36"/>
        <v>0.80359999999999998</v>
      </c>
      <c r="N118" s="3098"/>
    </row>
    <row r="119" spans="1:14">
      <c r="A119" s="3058" t="s">
        <v>3319</v>
      </c>
      <c r="B119" s="3090">
        <f>ROUND(0.993-0.0112*B116,4)</f>
        <v>0.96499999999999997</v>
      </c>
      <c r="C119" s="3090">
        <f>B119</f>
        <v>0.96499999999999997</v>
      </c>
      <c r="D119" s="3090">
        <f>ROUND(0.9415-0.0142*B116,4)</f>
        <v>0.90600000000000003</v>
      </c>
      <c r="E119" s="3090">
        <f t="shared" ref="E119:H120" si="37">D119</f>
        <v>0.90600000000000003</v>
      </c>
      <c r="F119" s="3090">
        <f t="shared" si="37"/>
        <v>0.90600000000000003</v>
      </c>
      <c r="G119" s="3090">
        <f t="shared" si="37"/>
        <v>0.90600000000000003</v>
      </c>
      <c r="H119" s="3090">
        <f t="shared" si="37"/>
        <v>0.90600000000000003</v>
      </c>
      <c r="I119" s="3090">
        <f>ROUND(0.838-0.0182*B116,4)</f>
        <v>0.79249999999999998</v>
      </c>
      <c r="J119" s="3090">
        <f t="shared" si="36"/>
        <v>0.79249999999999998</v>
      </c>
      <c r="K119" s="3090">
        <f t="shared" si="36"/>
        <v>0.79249999999999998</v>
      </c>
      <c r="L119" s="3090">
        <f t="shared" si="36"/>
        <v>0.79249999999999998</v>
      </c>
      <c r="M119" s="3110">
        <f t="shared" si="36"/>
        <v>0.79249999999999998</v>
      </c>
      <c r="N119" s="3098"/>
    </row>
    <row r="120" spans="1:14">
      <c r="A120" s="3058" t="s">
        <v>3320</v>
      </c>
      <c r="B120" s="3090">
        <f>ROUND(0.9448-0.0115*B116,4)</f>
        <v>0.91610000000000003</v>
      </c>
      <c r="C120" s="3090">
        <f>B120</f>
        <v>0.91610000000000003</v>
      </c>
      <c r="D120" s="3090">
        <f>ROUND(0.937-0.0145*B116,4)</f>
        <v>0.90080000000000005</v>
      </c>
      <c r="E120" s="3090">
        <f t="shared" si="37"/>
        <v>0.90080000000000005</v>
      </c>
      <c r="F120" s="3090">
        <f t="shared" si="37"/>
        <v>0.90080000000000005</v>
      </c>
      <c r="G120" s="3090">
        <f t="shared" si="37"/>
        <v>0.90080000000000005</v>
      </c>
      <c r="H120" s="3090">
        <f t="shared" si="37"/>
        <v>0.90080000000000005</v>
      </c>
      <c r="I120" s="3090">
        <f>ROUND(0.7965-0.0185*B116,4)</f>
        <v>0.75029999999999997</v>
      </c>
      <c r="J120" s="3090">
        <f t="shared" si="36"/>
        <v>0.75029999999999997</v>
      </c>
      <c r="K120" s="3090">
        <f t="shared" si="36"/>
        <v>0.75029999999999997</v>
      </c>
      <c r="L120" s="3090">
        <f t="shared" si="36"/>
        <v>0.75029999999999997</v>
      </c>
      <c r="M120" s="3110">
        <f t="shared" si="36"/>
        <v>0.75029999999999997</v>
      </c>
      <c r="N120" s="3098"/>
    </row>
    <row r="121" spans="1:14" ht="13.5" thickBot="1">
      <c r="A121" s="3111" t="s">
        <v>3321</v>
      </c>
      <c r="B121" s="3112">
        <f>ROUND(0.7836-0.012*B116,4)</f>
        <v>0.75360000000000005</v>
      </c>
      <c r="C121" s="3112">
        <f>B121</f>
        <v>0.75360000000000005</v>
      </c>
      <c r="D121" s="3112">
        <f>ROUND(0.753-0.015*B116,4)</f>
        <v>0.71550000000000002</v>
      </c>
      <c r="E121" s="3112">
        <f>D121</f>
        <v>0.71550000000000002</v>
      </c>
      <c r="F121" s="3112">
        <f>E121</f>
        <v>0.71550000000000002</v>
      </c>
      <c r="G121" s="3112">
        <f>ROUND(0.6612-0.018*B116,4)</f>
        <v>0.61619999999999997</v>
      </c>
      <c r="H121" s="3112">
        <f>G121</f>
        <v>0.61619999999999997</v>
      </c>
      <c r="I121" s="3112">
        <f>ROUND(0.5905-0.019*B116,4)</f>
        <v>0.54300000000000004</v>
      </c>
      <c r="J121" s="3112">
        <f t="shared" si="36"/>
        <v>0.54300000000000004</v>
      </c>
      <c r="K121" s="3112">
        <f t="shared" si="36"/>
        <v>0.54300000000000004</v>
      </c>
      <c r="L121" s="3112">
        <f t="shared" si="36"/>
        <v>0.54300000000000004</v>
      </c>
      <c r="M121" s="3113">
        <f t="shared" si="36"/>
        <v>0.54300000000000004</v>
      </c>
      <c r="N121" s="3098"/>
    </row>
    <row r="122" spans="1:14">
      <c r="A122" s="3114" t="s">
        <v>2603</v>
      </c>
      <c r="B122" s="3090">
        <f>ROUND(0.9404-0.0106*B116,4)</f>
        <v>0.91390000000000005</v>
      </c>
      <c r="C122" s="3090">
        <f>B122</f>
        <v>0.91390000000000005</v>
      </c>
      <c r="D122" s="3090">
        <f>ROUND(0.8955-0.0135*B116,4)</f>
        <v>0.86180000000000001</v>
      </c>
      <c r="E122" s="3090">
        <f t="shared" ref="E122:H122" si="38">D122</f>
        <v>0.86180000000000001</v>
      </c>
      <c r="F122" s="3090">
        <f t="shared" si="38"/>
        <v>0.86180000000000001</v>
      </c>
      <c r="G122" s="3090">
        <f t="shared" si="38"/>
        <v>0.86180000000000001</v>
      </c>
      <c r="H122" s="3090">
        <f t="shared" si="38"/>
        <v>0.86180000000000001</v>
      </c>
      <c r="I122" s="3090">
        <f>ROUND(0.7632-0.0166*B116,4)</f>
        <v>0.72170000000000001</v>
      </c>
      <c r="J122" s="3090">
        <f t="shared" si="36"/>
        <v>0.72170000000000001</v>
      </c>
      <c r="K122" s="3090">
        <f t="shared" si="36"/>
        <v>0.72170000000000001</v>
      </c>
      <c r="L122" s="3090">
        <f t="shared" si="36"/>
        <v>0.72170000000000001</v>
      </c>
      <c r="M122" s="3110">
        <f t="shared" si="36"/>
        <v>0.72170000000000001</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EE844C-630F-4525-B701-CE14658911CA}">
  <sheetPr>
    <tabColor rgb="FF92D050"/>
  </sheetPr>
  <dimension ref="A1"/>
  <sheetViews>
    <sheetView workbookViewId="0">
      <selection activeCell="M71" sqref="M71"/>
    </sheetView>
  </sheetViews>
  <sheetFormatPr defaultRowHeight="13.5"/>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76D29-5146-4E4F-9B4A-CF734B2F0C32}">
  <sheetPr>
    <tabColor rgb="FF92D050"/>
  </sheetPr>
  <dimension ref="A1"/>
  <sheetViews>
    <sheetView topLeftCell="A10" workbookViewId="0">
      <selection activeCell="M49" sqref="M49"/>
    </sheetView>
  </sheetViews>
  <sheetFormatPr defaultRowHeight="13.5"/>
  <sheetData/>
  <phoneticPr fontId="134"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8">
      <c r="A3" s="3171" t="str">
        <f>IF(项目基本情况!B9="房地产市场价值","估价结果一览表（市场价值不需“结果表-1”）","估价结果一览表")</f>
        <v>估价结果一览表</v>
      </c>
      <c r="B3" s="3171"/>
      <c r="C3" s="3171"/>
      <c r="D3" s="3171"/>
      <c r="E3" s="3171"/>
    </row>
    <row r="4" spans="1:5" ht="19.5" thickBot="1">
      <c r="A4" s="1391"/>
      <c r="B4" s="3169" t="s">
        <v>917</v>
      </c>
      <c r="C4" s="3169"/>
      <c r="D4" s="3169"/>
      <c r="E4" s="1391"/>
    </row>
    <row r="5" spans="1:5" ht="16.5" thickTop="1">
      <c r="B5" s="3167" t="s">
        <v>909</v>
      </c>
      <c r="C5" s="1392" t="s">
        <v>910</v>
      </c>
      <c r="D5" s="797" t="e">
        <f ca="1">结果表!H101</f>
        <v>#REF!</v>
      </c>
    </row>
    <row r="6" spans="1:5" ht="15.75">
      <c r="B6" s="3167"/>
      <c r="C6" s="1392" t="s">
        <v>911</v>
      </c>
      <c r="D6" s="797" t="e">
        <f ca="1">NUMBERSTRING(INT(D5*10000),2)&amp;"元整"</f>
        <v>#REF!</v>
      </c>
    </row>
    <row r="7" spans="1:5" ht="15.75">
      <c r="B7" s="3172"/>
      <c r="C7" s="1393" t="s">
        <v>912</v>
      </c>
      <c r="D7" s="798" t="e">
        <f ca="1">结果表!H102</f>
        <v>#REF!</v>
      </c>
    </row>
    <row r="8" spans="1:5" ht="15.75">
      <c r="B8" s="3173" t="str">
        <f>结果表!E103</f>
        <v>2.估价师知悉的法定优先受偿款</v>
      </c>
      <c r="C8" s="1394" t="s">
        <v>913</v>
      </c>
      <c r="D8" s="798">
        <f>结果表!H103</f>
        <v>0</v>
      </c>
    </row>
    <row r="9" spans="1:5" ht="15.75">
      <c r="B9" s="3175"/>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6" t="str">
        <f>结果表!E107</f>
        <v>3.房地产抵押价值</v>
      </c>
      <c r="C13" s="1397" t="s">
        <v>910</v>
      </c>
      <c r="D13" s="800" t="e">
        <f ca="1">结果表!H107</f>
        <v>#REF!</v>
      </c>
    </row>
    <row r="14" spans="1:5" ht="15.75">
      <c r="B14" s="3167"/>
      <c r="C14" s="1392" t="s">
        <v>911</v>
      </c>
      <c r="D14" s="797" t="e">
        <f ca="1">NUMBERSTRING(INT(D13*10000),2)&amp;"元整"</f>
        <v>#REF!</v>
      </c>
    </row>
    <row r="15" spans="1:5" ht="15">
      <c r="B15" s="3172"/>
      <c r="C15" s="1393" t="s">
        <v>921</v>
      </c>
      <c r="D15" s="806" t="e">
        <f ca="1">结果表!H108</f>
        <v>#REF!</v>
      </c>
    </row>
    <row r="16" spans="1:5" ht="15">
      <c r="B16" s="3173" t="str">
        <f>结果表!E109</f>
        <v>——</v>
      </c>
      <c r="C16" s="1397" t="s">
        <v>922</v>
      </c>
      <c r="D16" s="1398" t="str">
        <f>结果表!H109</f>
        <v>——</v>
      </c>
    </row>
    <row r="17" spans="1:5" ht="15.75">
      <c r="B17" s="3174"/>
      <c r="C17" s="1392" t="s">
        <v>923</v>
      </c>
      <c r="D17" s="797" t="e">
        <f>NUMBERSTRING(INT(D16*10000),2)&amp;"元整"</f>
        <v>#VALUE!</v>
      </c>
    </row>
    <row r="18" spans="1:5" ht="15">
      <c r="B18" s="3175"/>
      <c r="C18" s="1393" t="s">
        <v>912</v>
      </c>
      <c r="D18" s="806" t="str">
        <f>结果表!H110</f>
        <v>——</v>
      </c>
    </row>
    <row r="19" spans="1:5" ht="15.75">
      <c r="B19" s="3166" t="str">
        <f>结果表!E111</f>
        <v>——</v>
      </c>
      <c r="C19" s="1397" t="s">
        <v>910</v>
      </c>
      <c r="D19" s="798" t="str">
        <f>结果表!H111</f>
        <v>——</v>
      </c>
    </row>
    <row r="20" spans="1:5" ht="15.75">
      <c r="B20" s="3167"/>
      <c r="C20" s="1392" t="s">
        <v>923</v>
      </c>
      <c r="D20" s="797" t="e">
        <f>NUMBERSTRING(INT(D19*10000),2)&amp;"元整"</f>
        <v>#VALUE!</v>
      </c>
    </row>
    <row r="21" spans="1:5" ht="15.75" thickBot="1">
      <c r="B21" s="3168"/>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F172E-3ACE-4728-9BC6-DCAA595D8E8E}">
  <dimension ref="A1"/>
  <sheetViews>
    <sheetView workbookViewId="0">
      <selection activeCell="M47" sqref="M47"/>
    </sheetView>
  </sheetViews>
  <sheetFormatPr defaultRowHeight="13.5"/>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79" t="s">
        <v>2598</v>
      </c>
      <c r="B20" s="3472" t="s">
        <v>2619</v>
      </c>
      <c r="C20" s="2843" t="s">
        <v>2430</v>
      </c>
      <c r="D20" s="2844"/>
      <c r="E20" s="2845">
        <v>1</v>
      </c>
      <c r="F20" s="2846" t="s">
        <v>2431</v>
      </c>
      <c r="G20" s="2846"/>
    </row>
    <row r="21" spans="1:13" ht="19.5" customHeight="1">
      <c r="A21" s="3480"/>
      <c r="B21" s="3473"/>
      <c r="C21" s="2847" t="s">
        <v>2432</v>
      </c>
      <c r="D21" s="2848"/>
      <c r="E21" s="2849">
        <v>1</v>
      </c>
      <c r="F21" s="2846" t="s">
        <v>2433</v>
      </c>
      <c r="G21" s="2846"/>
    </row>
    <row r="22" spans="1:13" ht="19.5" customHeight="1">
      <c r="A22" s="3480"/>
      <c r="B22" s="3473"/>
      <c r="C22" s="2847" t="s">
        <v>2434</v>
      </c>
      <c r="D22" s="2848"/>
      <c r="E22" s="2849">
        <v>0.9</v>
      </c>
      <c r="F22" s="2846" t="s">
        <v>2435</v>
      </c>
      <c r="G22" s="2846"/>
    </row>
    <row r="23" spans="1:13" ht="19.5" customHeight="1">
      <c r="A23" s="3480"/>
      <c r="B23" s="3473"/>
      <c r="C23" s="2847" t="s">
        <v>2436</v>
      </c>
      <c r="D23" s="2848"/>
      <c r="E23" s="2849">
        <v>0.9</v>
      </c>
      <c r="F23" s="2846" t="s">
        <v>2437</v>
      </c>
      <c r="G23" s="2846"/>
    </row>
    <row r="24" spans="1:13" ht="19.5" customHeight="1">
      <c r="A24" s="3480"/>
      <c r="B24" s="3473"/>
      <c r="C24" s="2847" t="s">
        <v>2438</v>
      </c>
      <c r="D24" s="2848"/>
      <c r="E24" s="2849">
        <v>0.8</v>
      </c>
      <c r="F24" s="2846" t="s">
        <v>2439</v>
      </c>
      <c r="G24" s="2846"/>
    </row>
    <row r="25" spans="1:13" ht="19.5" customHeight="1" thickBot="1">
      <c r="A25" s="3481"/>
      <c r="B25" s="3474"/>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75" t="s">
        <v>2622</v>
      </c>
      <c r="B27" s="3472" t="s">
        <v>2603</v>
      </c>
      <c r="C27" s="2843" t="s">
        <v>2443</v>
      </c>
      <c r="D27" s="2844"/>
      <c r="E27" s="2845">
        <v>1</v>
      </c>
      <c r="F27" s="2846" t="s">
        <v>2444</v>
      </c>
      <c r="G27" s="2846"/>
    </row>
    <row r="28" spans="1:13" ht="19.5" customHeight="1">
      <c r="A28" s="3476"/>
      <c r="B28" s="3473"/>
      <c r="C28" s="2847" t="s">
        <v>2445</v>
      </c>
      <c r="D28" s="2848"/>
      <c r="E28" s="2849">
        <v>1</v>
      </c>
      <c r="F28" s="2846" t="s">
        <v>2446</v>
      </c>
      <c r="G28" s="2846"/>
    </row>
    <row r="29" spans="1:13" ht="19.5" customHeight="1">
      <c r="A29" s="3476"/>
      <c r="B29" s="3473"/>
      <c r="C29" s="2847" t="s">
        <v>2447</v>
      </c>
      <c r="D29" s="2848"/>
      <c r="E29" s="2849">
        <v>0.8</v>
      </c>
      <c r="F29" s="2846" t="s">
        <v>2448</v>
      </c>
      <c r="G29" s="2846"/>
    </row>
    <row r="30" spans="1:13" ht="19.5" customHeight="1">
      <c r="A30" s="3476"/>
      <c r="B30" s="3473"/>
      <c r="C30" s="2847" t="s">
        <v>2449</v>
      </c>
      <c r="D30" s="2848"/>
      <c r="E30" s="2849">
        <v>0.8</v>
      </c>
      <c r="F30" s="2846" t="s">
        <v>2450</v>
      </c>
      <c r="G30" s="2846"/>
    </row>
    <row r="31" spans="1:13" ht="19.5" customHeight="1">
      <c r="A31" s="3476"/>
      <c r="B31" s="3473"/>
      <c r="C31" s="2847" t="s">
        <v>2451</v>
      </c>
      <c r="D31" s="2848"/>
      <c r="E31" s="2849">
        <v>0.8</v>
      </c>
      <c r="F31" s="2846" t="s">
        <v>2452</v>
      </c>
      <c r="G31" s="2846"/>
    </row>
    <row r="32" spans="1:13" ht="19.5" customHeight="1">
      <c r="A32" s="3476"/>
      <c r="B32" s="3473"/>
      <c r="C32" s="2847" t="s">
        <v>2453</v>
      </c>
      <c r="D32" s="2848"/>
      <c r="E32" s="2849">
        <v>0.7</v>
      </c>
      <c r="F32" s="2846" t="s">
        <v>2454</v>
      </c>
      <c r="G32" s="2846"/>
    </row>
    <row r="33" spans="1:7" ht="19.5" customHeight="1">
      <c r="A33" s="3476"/>
      <c r="B33" s="3473"/>
      <c r="C33" s="2847" t="s">
        <v>2455</v>
      </c>
      <c r="D33" s="2848"/>
      <c r="E33" s="2849">
        <v>0.8</v>
      </c>
      <c r="F33" s="2846" t="s">
        <v>2456</v>
      </c>
      <c r="G33" s="2846"/>
    </row>
    <row r="34" spans="1:7" ht="19.5" customHeight="1">
      <c r="A34" s="3476"/>
      <c r="B34" s="3473"/>
      <c r="C34" s="2847" t="s">
        <v>2457</v>
      </c>
      <c r="D34" s="2848"/>
      <c r="E34" s="2849">
        <v>0.6</v>
      </c>
      <c r="F34" s="2846" t="s">
        <v>2458</v>
      </c>
      <c r="G34" s="2846"/>
    </row>
    <row r="35" spans="1:7" ht="19.5" customHeight="1">
      <c r="A35" s="3476"/>
      <c r="B35" s="3473"/>
      <c r="C35" s="2847" t="s">
        <v>2459</v>
      </c>
      <c r="D35" s="2848"/>
      <c r="E35" s="2849">
        <v>0.2</v>
      </c>
      <c r="F35" s="2846" t="s">
        <v>2460</v>
      </c>
      <c r="G35" s="2846"/>
    </row>
    <row r="36" spans="1:7" ht="19.5" customHeight="1">
      <c r="A36" s="3476"/>
      <c r="B36" s="3473"/>
      <c r="C36" s="2847" t="s">
        <v>2461</v>
      </c>
      <c r="D36" s="2848"/>
      <c r="E36" s="2849">
        <v>0.2</v>
      </c>
      <c r="F36" s="2846" t="s">
        <v>2462</v>
      </c>
      <c r="G36" s="2846"/>
    </row>
    <row r="37" spans="1:7" ht="19.5" customHeight="1">
      <c r="A37" s="3476"/>
      <c r="B37" s="3478" t="s">
        <v>2623</v>
      </c>
      <c r="C37" s="2847" t="s">
        <v>2463</v>
      </c>
      <c r="D37" s="2848"/>
      <c r="E37" s="2849">
        <v>0.6</v>
      </c>
      <c r="F37" s="2846" t="s">
        <v>2464</v>
      </c>
      <c r="G37" s="2846"/>
    </row>
    <row r="38" spans="1:7" ht="19.5" customHeight="1">
      <c r="A38" s="3476"/>
      <c r="B38" s="3473"/>
      <c r="C38" s="2847" t="s">
        <v>2465</v>
      </c>
      <c r="D38" s="2848"/>
      <c r="E38" s="2849">
        <v>0.6</v>
      </c>
      <c r="F38" s="2846" t="s">
        <v>2466</v>
      </c>
      <c r="G38" s="2846"/>
    </row>
    <row r="39" spans="1:7" ht="19.5" customHeight="1" thickBot="1">
      <c r="A39" s="3477"/>
      <c r="B39" s="3474"/>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79" t="s">
        <v>2601</v>
      </c>
      <c r="B41" s="3472" t="s">
        <v>2625</v>
      </c>
      <c r="C41" s="2843" t="s">
        <v>2470</v>
      </c>
      <c r="D41" s="2844"/>
      <c r="E41" s="2845">
        <v>1</v>
      </c>
      <c r="F41" s="2846" t="s">
        <v>2471</v>
      </c>
      <c r="G41" s="2846"/>
    </row>
    <row r="42" spans="1:7" ht="19.5" customHeight="1">
      <c r="A42" s="3480"/>
      <c r="B42" s="3473"/>
      <c r="C42" s="2847" t="s">
        <v>2472</v>
      </c>
      <c r="D42" s="2848"/>
      <c r="E42" s="2849">
        <v>1</v>
      </c>
      <c r="F42" s="2846" t="s">
        <v>2473</v>
      </c>
      <c r="G42" s="2846"/>
    </row>
    <row r="43" spans="1:7" ht="19.5" customHeight="1">
      <c r="A43" s="3480"/>
      <c r="B43" s="3482"/>
      <c r="C43" s="2847" t="s">
        <v>2474</v>
      </c>
      <c r="D43" s="2848"/>
      <c r="E43" s="2849">
        <v>1.5</v>
      </c>
      <c r="F43" s="2846" t="s">
        <v>2475</v>
      </c>
      <c r="G43" s="2846"/>
    </row>
    <row r="44" spans="1:7" ht="19.5" customHeight="1">
      <c r="A44" s="3480"/>
      <c r="B44" s="2858" t="s">
        <v>2626</v>
      </c>
      <c r="C44" s="2847" t="s">
        <v>2627</v>
      </c>
      <c r="D44" s="2848"/>
      <c r="E44" s="2849">
        <v>2</v>
      </c>
      <c r="F44" s="2846" t="s">
        <v>2476</v>
      </c>
      <c r="G44" s="2846"/>
    </row>
    <row r="45" spans="1:7" ht="19.5" customHeight="1">
      <c r="A45" s="3480"/>
      <c r="B45" s="3478" t="s">
        <v>2628</v>
      </c>
      <c r="C45" s="2847" t="s">
        <v>2477</v>
      </c>
      <c r="D45" s="2848"/>
      <c r="E45" s="2849">
        <v>1</v>
      </c>
      <c r="F45" s="2846" t="s">
        <v>2478</v>
      </c>
      <c r="G45" s="2846"/>
    </row>
    <row r="46" spans="1:7" ht="19.5" customHeight="1">
      <c r="A46" s="3480"/>
      <c r="B46" s="3473"/>
      <c r="C46" s="2847" t="s">
        <v>2479</v>
      </c>
      <c r="D46" s="2848"/>
      <c r="E46" s="2849">
        <v>1</v>
      </c>
      <c r="F46" s="2846" t="s">
        <v>2480</v>
      </c>
      <c r="G46" s="2846"/>
    </row>
    <row r="47" spans="1:7" ht="19.5" customHeight="1">
      <c r="A47" s="3480"/>
      <c r="B47" s="3473"/>
      <c r="C47" s="2847" t="s">
        <v>2481</v>
      </c>
      <c r="D47" s="2848"/>
      <c r="E47" s="2849">
        <v>1</v>
      </c>
      <c r="F47" s="2846" t="s">
        <v>2482</v>
      </c>
      <c r="G47" s="2846"/>
    </row>
    <row r="48" spans="1:7" ht="19.5" customHeight="1">
      <c r="A48" s="3480"/>
      <c r="B48" s="3473"/>
      <c r="C48" s="2847" t="s">
        <v>2483</v>
      </c>
      <c r="D48" s="2848"/>
      <c r="E48" s="2849">
        <v>1</v>
      </c>
      <c r="F48" s="2846" t="s">
        <v>2484</v>
      </c>
      <c r="G48" s="2846"/>
    </row>
    <row r="49" spans="1:7" ht="19.5" customHeight="1">
      <c r="A49" s="3480"/>
      <c r="B49" s="3473"/>
      <c r="C49" s="2847" t="s">
        <v>2485</v>
      </c>
      <c r="D49" s="2848"/>
      <c r="E49" s="2849">
        <v>1</v>
      </c>
      <c r="F49" s="2846" t="s">
        <v>2486</v>
      </c>
      <c r="G49" s="2846"/>
    </row>
    <row r="50" spans="1:7" ht="19.5" customHeight="1">
      <c r="A50" s="3480"/>
      <c r="B50" s="3473"/>
      <c r="C50" s="2847" t="s">
        <v>2487</v>
      </c>
      <c r="D50" s="2848"/>
      <c r="E50" s="2849">
        <v>1</v>
      </c>
      <c r="F50" s="2846" t="s">
        <v>2488</v>
      </c>
      <c r="G50" s="2846"/>
    </row>
    <row r="51" spans="1:7" ht="19.5" customHeight="1" thickBot="1">
      <c r="A51" s="3481"/>
      <c r="B51" s="3474"/>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78" t="s">
        <v>2642</v>
      </c>
      <c r="C73" s="2832" t="s">
        <v>2643</v>
      </c>
      <c r="D73" s="2832" t="s">
        <v>2644</v>
      </c>
      <c r="E73" s="2858">
        <v>0.2</v>
      </c>
      <c r="F73" s="2858">
        <v>25</v>
      </c>
    </row>
    <row r="74" spans="1:7" ht="24">
      <c r="A74" s="2858">
        <v>2</v>
      </c>
      <c r="B74" s="3473"/>
      <c r="C74" s="2832" t="s">
        <v>2645</v>
      </c>
      <c r="D74" s="2832" t="s">
        <v>2646</v>
      </c>
      <c r="E74" s="2858">
        <v>0.2</v>
      </c>
      <c r="F74" s="2858">
        <v>25</v>
      </c>
    </row>
    <row r="75" spans="1:7" ht="24">
      <c r="A75" s="2858">
        <v>3</v>
      </c>
      <c r="B75" s="3473"/>
      <c r="C75" s="2832" t="s">
        <v>2647</v>
      </c>
      <c r="D75" s="2832" t="s">
        <v>2648</v>
      </c>
      <c r="E75" s="2858">
        <v>0.2</v>
      </c>
      <c r="F75" s="2858">
        <v>25</v>
      </c>
    </row>
    <row r="76" spans="1:7" ht="13.5">
      <c r="A76" s="2858">
        <v>4</v>
      </c>
      <c r="B76" s="3473"/>
      <c r="C76" s="2832" t="s">
        <v>2649</v>
      </c>
      <c r="D76" s="2832" t="s">
        <v>2650</v>
      </c>
      <c r="E76" s="2858">
        <v>0.15</v>
      </c>
      <c r="F76" s="2858">
        <v>20</v>
      </c>
    </row>
    <row r="77" spans="1:7" ht="24">
      <c r="A77" s="2858">
        <v>5</v>
      </c>
      <c r="B77" s="3473"/>
      <c r="C77" s="2832" t="s">
        <v>2651</v>
      </c>
      <c r="D77" s="2832" t="s">
        <v>2652</v>
      </c>
      <c r="E77" s="2858">
        <v>0.15</v>
      </c>
      <c r="F77" s="2858">
        <v>20</v>
      </c>
    </row>
    <row r="78" spans="1:7" ht="24">
      <c r="A78" s="2858">
        <v>6</v>
      </c>
      <c r="B78" s="3473"/>
      <c r="C78" s="2832" t="s">
        <v>2653</v>
      </c>
      <c r="D78" s="2832" t="s">
        <v>2654</v>
      </c>
      <c r="E78" s="2858">
        <v>0.15</v>
      </c>
      <c r="F78" s="2858">
        <v>20</v>
      </c>
    </row>
    <row r="79" spans="1:7" ht="24">
      <c r="A79" s="2858">
        <v>7</v>
      </c>
      <c r="B79" s="3473"/>
      <c r="C79" s="2832" t="s">
        <v>2655</v>
      </c>
      <c r="D79" s="2832" t="s">
        <v>2656</v>
      </c>
      <c r="E79" s="2858">
        <v>0.15</v>
      </c>
      <c r="F79" s="2858">
        <v>20</v>
      </c>
    </row>
    <row r="80" spans="1:7" ht="24">
      <c r="A80" s="2858">
        <v>8</v>
      </c>
      <c r="B80" s="3473"/>
      <c r="C80" s="2832" t="s">
        <v>2657</v>
      </c>
      <c r="D80" s="2832" t="s">
        <v>2658</v>
      </c>
      <c r="E80" s="2858">
        <v>0.1</v>
      </c>
      <c r="F80" s="2858">
        <v>15</v>
      </c>
    </row>
    <row r="81" spans="1:6" ht="24">
      <c r="A81" s="2858">
        <v>9</v>
      </c>
      <c r="B81" s="3473"/>
      <c r="C81" s="2832" t="s">
        <v>2659</v>
      </c>
      <c r="D81" s="2832" t="s">
        <v>2660</v>
      </c>
      <c r="E81" s="2858">
        <v>0.1</v>
      </c>
      <c r="F81" s="2858">
        <v>15</v>
      </c>
    </row>
    <row r="82" spans="1:6" ht="24">
      <c r="A82" s="2858">
        <v>10</v>
      </c>
      <c r="B82" s="3473"/>
      <c r="C82" s="2832" t="s">
        <v>2661</v>
      </c>
      <c r="D82" s="2832" t="s">
        <v>2662</v>
      </c>
      <c r="E82" s="2858">
        <v>0.1</v>
      </c>
      <c r="F82" s="2858">
        <v>15</v>
      </c>
    </row>
    <row r="83" spans="1:6" ht="24">
      <c r="A83" s="2858">
        <v>11</v>
      </c>
      <c r="B83" s="3473"/>
      <c r="C83" s="2832" t="s">
        <v>2663</v>
      </c>
      <c r="D83" s="2832" t="s">
        <v>2664</v>
      </c>
      <c r="E83" s="2858">
        <v>0.1</v>
      </c>
      <c r="F83" s="2858">
        <v>15</v>
      </c>
    </row>
    <row r="84" spans="1:6" ht="24">
      <c r="A84" s="2858">
        <v>12</v>
      </c>
      <c r="B84" s="3473"/>
      <c r="C84" s="2832" t="s">
        <v>2665</v>
      </c>
      <c r="D84" s="2832" t="s">
        <v>2666</v>
      </c>
      <c r="E84" s="2858">
        <v>0.1</v>
      </c>
      <c r="F84" s="2858">
        <v>15</v>
      </c>
    </row>
    <row r="85" spans="1:6" ht="13.5">
      <c r="A85" s="2858">
        <v>13</v>
      </c>
      <c r="B85" s="3473"/>
      <c r="C85" s="2832" t="s">
        <v>2667</v>
      </c>
      <c r="D85" s="2832" t="s">
        <v>2668</v>
      </c>
      <c r="E85" s="2858">
        <v>0.1</v>
      </c>
      <c r="F85" s="2858">
        <v>15</v>
      </c>
    </row>
    <row r="86" spans="1:6" ht="13.5">
      <c r="A86" s="2858">
        <v>14</v>
      </c>
      <c r="B86" s="3473"/>
      <c r="C86" s="2832" t="s">
        <v>2669</v>
      </c>
      <c r="D86" s="2832" t="s">
        <v>2670</v>
      </c>
      <c r="E86" s="2858">
        <v>0.1</v>
      </c>
      <c r="F86" s="2858">
        <v>15</v>
      </c>
    </row>
    <row r="87" spans="1:6" ht="13.5">
      <c r="A87" s="2858">
        <v>15</v>
      </c>
      <c r="B87" s="3473"/>
      <c r="C87" s="2832" t="s">
        <v>2671</v>
      </c>
      <c r="D87" s="2832" t="s">
        <v>2672</v>
      </c>
      <c r="E87" s="2858">
        <v>0.1</v>
      </c>
      <c r="F87" s="2858">
        <v>15</v>
      </c>
    </row>
    <row r="88" spans="1:6" ht="24">
      <c r="A88" s="2858">
        <v>16</v>
      </c>
      <c r="B88" s="3473"/>
      <c r="C88" s="2832" t="s">
        <v>2673</v>
      </c>
      <c r="D88" s="2832" t="s">
        <v>2674</v>
      </c>
      <c r="E88" s="2858">
        <v>0.1</v>
      </c>
      <c r="F88" s="2858">
        <v>15</v>
      </c>
    </row>
    <row r="89" spans="1:6" ht="24">
      <c r="A89" s="2858">
        <v>17</v>
      </c>
      <c r="B89" s="3482"/>
      <c r="C89" s="2832" t="s">
        <v>2675</v>
      </c>
      <c r="D89" s="2832" t="s">
        <v>2676</v>
      </c>
      <c r="E89" s="2858">
        <v>0.1</v>
      </c>
      <c r="F89" s="2858">
        <v>15</v>
      </c>
    </row>
    <row r="90" spans="1:6" ht="13.5">
      <c r="A90" s="2858">
        <v>18</v>
      </c>
      <c r="B90" s="3478" t="s">
        <v>2677</v>
      </c>
      <c r="C90" s="2832" t="s">
        <v>2678</v>
      </c>
      <c r="D90" s="2832" t="s">
        <v>2679</v>
      </c>
      <c r="E90" s="2858">
        <v>0.2</v>
      </c>
      <c r="F90" s="2858">
        <v>25</v>
      </c>
    </row>
    <row r="91" spans="1:6" ht="24">
      <c r="A91" s="2858">
        <v>19</v>
      </c>
      <c r="B91" s="3473"/>
      <c r="C91" s="2832" t="s">
        <v>2680</v>
      </c>
      <c r="D91" s="2832" t="s">
        <v>2681</v>
      </c>
      <c r="E91" s="2858">
        <v>0.2</v>
      </c>
      <c r="F91" s="2858">
        <v>25</v>
      </c>
    </row>
    <row r="92" spans="1:6" ht="13.5">
      <c r="A92" s="2858">
        <v>20</v>
      </c>
      <c r="B92" s="3473"/>
      <c r="C92" s="2832" t="s">
        <v>2682</v>
      </c>
      <c r="D92" s="2832" t="s">
        <v>2683</v>
      </c>
      <c r="E92" s="2858">
        <v>0.15</v>
      </c>
      <c r="F92" s="2858">
        <v>20</v>
      </c>
    </row>
    <row r="93" spans="1:6" ht="13.5">
      <c r="A93" s="2858">
        <v>21</v>
      </c>
      <c r="B93" s="3473"/>
      <c r="C93" s="2832" t="s">
        <v>2684</v>
      </c>
      <c r="D93" s="2832" t="s">
        <v>2685</v>
      </c>
      <c r="E93" s="2858">
        <v>0.15</v>
      </c>
      <c r="F93" s="2858">
        <v>20</v>
      </c>
    </row>
    <row r="94" spans="1:6" ht="13.5">
      <c r="A94" s="2858">
        <v>22</v>
      </c>
      <c r="B94" s="3473"/>
      <c r="C94" s="2832" t="s">
        <v>2686</v>
      </c>
      <c r="D94" s="2832" t="s">
        <v>2687</v>
      </c>
      <c r="E94" s="2858">
        <v>0.15</v>
      </c>
      <c r="F94" s="2858">
        <v>20</v>
      </c>
    </row>
    <row r="95" spans="1:6" ht="36">
      <c r="A95" s="2858">
        <v>23</v>
      </c>
      <c r="B95" s="3473"/>
      <c r="C95" s="2832" t="s">
        <v>2688</v>
      </c>
      <c r="D95" s="2832" t="s">
        <v>2689</v>
      </c>
      <c r="E95" s="2858">
        <v>0.15</v>
      </c>
      <c r="F95" s="2858">
        <v>20</v>
      </c>
    </row>
    <row r="96" spans="1:6" ht="13.5">
      <c r="A96" s="2858">
        <v>24</v>
      </c>
      <c r="B96" s="3473"/>
      <c r="C96" s="2832" t="s">
        <v>2690</v>
      </c>
      <c r="D96" s="2832" t="s">
        <v>2691</v>
      </c>
      <c r="E96" s="2858">
        <v>0.1</v>
      </c>
      <c r="F96" s="2858">
        <v>15</v>
      </c>
    </row>
    <row r="97" spans="1:6" ht="13.5">
      <c r="A97" s="2858">
        <v>25</v>
      </c>
      <c r="B97" s="3473"/>
      <c r="C97" s="2832" t="s">
        <v>2692</v>
      </c>
      <c r="D97" s="2832" t="s">
        <v>2693</v>
      </c>
      <c r="E97" s="2858">
        <v>0.1</v>
      </c>
      <c r="F97" s="2858">
        <v>15</v>
      </c>
    </row>
    <row r="98" spans="1:6" ht="24">
      <c r="A98" s="2858">
        <v>26</v>
      </c>
      <c r="B98" s="3473"/>
      <c r="C98" s="2832" t="s">
        <v>2694</v>
      </c>
      <c r="D98" s="2832" t="s">
        <v>2695</v>
      </c>
      <c r="E98" s="2858">
        <v>0.1</v>
      </c>
      <c r="F98" s="2858">
        <v>15</v>
      </c>
    </row>
    <row r="99" spans="1:6" ht="24">
      <c r="A99" s="2858">
        <v>27</v>
      </c>
      <c r="B99" s="3473"/>
      <c r="C99" s="2832" t="s">
        <v>2696</v>
      </c>
      <c r="D99" s="2832" t="s">
        <v>2697</v>
      </c>
      <c r="E99" s="2858">
        <v>0.1</v>
      </c>
      <c r="F99" s="2858">
        <v>15</v>
      </c>
    </row>
    <row r="100" spans="1:6" ht="13.5">
      <c r="A100" s="2858">
        <v>28</v>
      </c>
      <c r="B100" s="3473"/>
      <c r="C100" s="2832" t="s">
        <v>2698</v>
      </c>
      <c r="D100" s="2832" t="s">
        <v>2699</v>
      </c>
      <c r="E100" s="2858">
        <v>0.1</v>
      </c>
      <c r="F100" s="2858">
        <v>15</v>
      </c>
    </row>
    <row r="101" spans="1:6" ht="13.5">
      <c r="A101" s="2858">
        <v>29</v>
      </c>
      <c r="B101" s="3473"/>
      <c r="C101" s="2832" t="s">
        <v>2700</v>
      </c>
      <c r="D101" s="2832" t="s">
        <v>2701</v>
      </c>
      <c r="E101" s="2858">
        <v>0.1</v>
      </c>
      <c r="F101" s="2858">
        <v>15</v>
      </c>
    </row>
    <row r="102" spans="1:6" ht="13.5">
      <c r="A102" s="2858">
        <v>30</v>
      </c>
      <c r="B102" s="3473"/>
      <c r="C102" s="2832" t="s">
        <v>2702</v>
      </c>
      <c r="D102" s="2832" t="s">
        <v>2703</v>
      </c>
      <c r="E102" s="2858">
        <v>0.1</v>
      </c>
      <c r="F102" s="2858">
        <v>15</v>
      </c>
    </row>
    <row r="103" spans="1:6" ht="24">
      <c r="A103" s="2858">
        <v>31</v>
      </c>
      <c r="B103" s="3473"/>
      <c r="C103" s="2832" t="s">
        <v>2704</v>
      </c>
      <c r="D103" s="2832" t="s">
        <v>2705</v>
      </c>
      <c r="E103" s="2858">
        <v>0.1</v>
      </c>
      <c r="F103" s="2858">
        <v>15</v>
      </c>
    </row>
    <row r="104" spans="1:6" ht="24">
      <c r="A104" s="2858">
        <v>32</v>
      </c>
      <c r="B104" s="3473"/>
      <c r="C104" s="2832" t="s">
        <v>2706</v>
      </c>
      <c r="D104" s="2832" t="s">
        <v>2707</v>
      </c>
      <c r="E104" s="2858">
        <v>0.1</v>
      </c>
      <c r="F104" s="2858">
        <v>15</v>
      </c>
    </row>
    <row r="105" spans="1:6" ht="24">
      <c r="A105" s="2858">
        <v>33</v>
      </c>
      <c r="B105" s="3473"/>
      <c r="C105" s="2832" t="s">
        <v>2708</v>
      </c>
      <c r="D105" s="2832" t="s">
        <v>2709</v>
      </c>
      <c r="E105" s="2858">
        <v>0.1</v>
      </c>
      <c r="F105" s="2858">
        <v>15</v>
      </c>
    </row>
    <row r="106" spans="1:6" ht="24">
      <c r="A106" s="2858">
        <v>34</v>
      </c>
      <c r="B106" s="3482"/>
      <c r="C106" s="2832" t="s">
        <v>2710</v>
      </c>
      <c r="D106" s="2832" t="s">
        <v>2711</v>
      </c>
      <c r="E106" s="2858">
        <v>0.1</v>
      </c>
      <c r="F106" s="2858">
        <v>15</v>
      </c>
    </row>
    <row r="107" spans="1:6" ht="24">
      <c r="A107" s="2858">
        <v>35</v>
      </c>
      <c r="B107" s="3478" t="s">
        <v>2712</v>
      </c>
      <c r="C107" s="2858" t="s">
        <v>2713</v>
      </c>
      <c r="D107" s="2832" t="s">
        <v>2714</v>
      </c>
      <c r="E107" s="2858">
        <v>0.15</v>
      </c>
      <c r="F107" s="2858">
        <v>20</v>
      </c>
    </row>
    <row r="108" spans="1:6" ht="13.5">
      <c r="A108" s="2858">
        <v>36</v>
      </c>
      <c r="B108" s="3473"/>
      <c r="C108" s="2858" t="s">
        <v>2715</v>
      </c>
      <c r="D108" s="2832" t="s">
        <v>2716</v>
      </c>
      <c r="E108" s="2858">
        <v>0.15</v>
      </c>
      <c r="F108" s="2858">
        <v>20</v>
      </c>
    </row>
    <row r="109" spans="1:6" ht="13.5">
      <c r="A109" s="2858">
        <v>37</v>
      </c>
      <c r="B109" s="3473"/>
      <c r="C109" s="2858" t="s">
        <v>2717</v>
      </c>
      <c r="D109" s="2832" t="s">
        <v>2718</v>
      </c>
      <c r="E109" s="2858">
        <v>0.15</v>
      </c>
      <c r="F109" s="2858">
        <v>20</v>
      </c>
    </row>
    <row r="110" spans="1:6" ht="13.5">
      <c r="A110" s="2858">
        <v>38</v>
      </c>
      <c r="B110" s="3473"/>
      <c r="C110" s="2858" t="s">
        <v>2719</v>
      </c>
      <c r="D110" s="2832" t="s">
        <v>2720</v>
      </c>
      <c r="E110" s="2858">
        <v>0.1</v>
      </c>
      <c r="F110" s="2858">
        <v>15</v>
      </c>
    </row>
    <row r="111" spans="1:6" ht="24">
      <c r="A111" s="2858">
        <v>39</v>
      </c>
      <c r="B111" s="3473"/>
      <c r="C111" s="2858" t="s">
        <v>2721</v>
      </c>
      <c r="D111" s="2832" t="s">
        <v>2722</v>
      </c>
      <c r="E111" s="2858">
        <v>0.1</v>
      </c>
      <c r="F111" s="2858">
        <v>15</v>
      </c>
    </row>
    <row r="112" spans="1:6" ht="24">
      <c r="A112" s="2858">
        <v>40</v>
      </c>
      <c r="B112" s="3482"/>
      <c r="C112" s="2858" t="s">
        <v>2723</v>
      </c>
      <c r="D112" s="2832" t="s">
        <v>2724</v>
      </c>
      <c r="E112" s="2858">
        <v>0.1</v>
      </c>
      <c r="F112" s="2858">
        <v>15</v>
      </c>
    </row>
    <row r="113" spans="1:6" ht="13.5">
      <c r="A113" s="2858">
        <v>41</v>
      </c>
      <c r="B113" s="3483" t="s">
        <v>2725</v>
      </c>
      <c r="C113" s="2858" t="s">
        <v>2726</v>
      </c>
      <c r="D113" s="2832" t="s">
        <v>2727</v>
      </c>
      <c r="E113" s="2858">
        <v>0.1</v>
      </c>
      <c r="F113" s="2858">
        <v>15</v>
      </c>
    </row>
    <row r="114" spans="1:6" ht="13.5">
      <c r="A114" s="2858">
        <v>42</v>
      </c>
      <c r="B114" s="3483"/>
      <c r="C114" s="2858" t="s">
        <v>2728</v>
      </c>
      <c r="D114" s="2832" t="s">
        <v>2729</v>
      </c>
      <c r="E114" s="2858">
        <v>0.1</v>
      </c>
      <c r="F114" s="2858">
        <v>15</v>
      </c>
    </row>
    <row r="115" spans="1:6" ht="24">
      <c r="A115" s="2858">
        <v>43</v>
      </c>
      <c r="B115" s="3483"/>
      <c r="C115" s="2858" t="s">
        <v>2730</v>
      </c>
      <c r="D115" s="2832" t="s">
        <v>2731</v>
      </c>
      <c r="E115" s="2858">
        <v>0.1</v>
      </c>
      <c r="F115" s="2858">
        <v>15</v>
      </c>
    </row>
    <row r="116" spans="1:6" ht="13.5">
      <c r="A116" s="2858">
        <v>44</v>
      </c>
      <c r="B116" s="3478" t="s">
        <v>2732</v>
      </c>
      <c r="C116" s="2858" t="s">
        <v>2733</v>
      </c>
      <c r="D116" s="2832" t="s">
        <v>2734</v>
      </c>
      <c r="E116" s="2858">
        <v>0.1</v>
      </c>
      <c r="F116" s="2858">
        <v>15</v>
      </c>
    </row>
    <row r="117" spans="1:6" ht="24">
      <c r="A117" s="2858">
        <v>45</v>
      </c>
      <c r="B117" s="3482"/>
      <c r="C117" s="2832" t="s">
        <v>2735</v>
      </c>
      <c r="D117" s="2832" t="s">
        <v>2736</v>
      </c>
      <c r="E117" s="2858">
        <v>0.1</v>
      </c>
      <c r="F117" s="2858">
        <v>15</v>
      </c>
    </row>
    <row r="118" spans="1:6" ht="24">
      <c r="A118" s="2858">
        <v>46</v>
      </c>
      <c r="B118" s="3478" t="s">
        <v>2737</v>
      </c>
      <c r="C118" s="2858" t="s">
        <v>2738</v>
      </c>
      <c r="D118" s="2832" t="s">
        <v>2739</v>
      </c>
      <c r="E118" s="2858">
        <v>0.1</v>
      </c>
      <c r="F118" s="2858">
        <v>15</v>
      </c>
    </row>
    <row r="119" spans="1:6" ht="24">
      <c r="A119" s="2858">
        <v>47</v>
      </c>
      <c r="B119" s="3482"/>
      <c r="C119" s="2858" t="s">
        <v>2740</v>
      </c>
      <c r="D119" s="2832" t="s">
        <v>2741</v>
      </c>
      <c r="E119" s="2858">
        <v>0.1</v>
      </c>
      <c r="F119" s="2858">
        <v>15</v>
      </c>
    </row>
    <row r="120" spans="1:6" ht="13.5">
      <c r="A120" s="2858">
        <v>48</v>
      </c>
      <c r="B120" s="3478" t="s">
        <v>2742</v>
      </c>
      <c r="C120" s="2858" t="s">
        <v>2743</v>
      </c>
      <c r="D120" s="2832" t="s">
        <v>2744</v>
      </c>
      <c r="E120" s="2858">
        <v>0.1</v>
      </c>
      <c r="F120" s="2858">
        <v>15</v>
      </c>
    </row>
    <row r="121" spans="1:6" ht="13.5">
      <c r="A121" s="2858">
        <v>49</v>
      </c>
      <c r="B121" s="3482"/>
      <c r="C121" s="2858" t="s">
        <v>2745</v>
      </c>
      <c r="D121" s="2832" t="s">
        <v>2746</v>
      </c>
      <c r="E121" s="2858">
        <v>0.1</v>
      </c>
      <c r="F121" s="2858">
        <v>15</v>
      </c>
    </row>
    <row r="122" spans="1:6" ht="24">
      <c r="A122" s="2858">
        <v>50</v>
      </c>
      <c r="B122" s="3483" t="s">
        <v>2747</v>
      </c>
      <c r="C122" s="2858" t="s">
        <v>2748</v>
      </c>
      <c r="D122" s="2832" t="s">
        <v>2749</v>
      </c>
      <c r="E122" s="2858">
        <v>0.1</v>
      </c>
      <c r="F122" s="2858">
        <v>15</v>
      </c>
    </row>
    <row r="123" spans="1:6" ht="24">
      <c r="A123" s="2858">
        <v>51</v>
      </c>
      <c r="B123" s="3483"/>
      <c r="C123" s="2858" t="s">
        <v>2750</v>
      </c>
      <c r="D123" s="2832" t="s">
        <v>2751</v>
      </c>
      <c r="E123" s="2858">
        <v>0.1</v>
      </c>
      <c r="F123" s="2858">
        <v>15</v>
      </c>
    </row>
    <row r="124" spans="1:6" ht="24">
      <c r="A124" s="2858">
        <v>52</v>
      </c>
      <c r="B124" s="3483" t="s">
        <v>2752</v>
      </c>
      <c r="C124" s="2858" t="s">
        <v>2753</v>
      </c>
      <c r="D124" s="2832" t="s">
        <v>2754</v>
      </c>
      <c r="E124" s="2858">
        <v>0.1</v>
      </c>
      <c r="F124" s="2858">
        <v>15</v>
      </c>
    </row>
    <row r="125" spans="1:6" ht="24">
      <c r="A125" s="2858">
        <v>53</v>
      </c>
      <c r="B125" s="3483"/>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83" t="s">
        <v>2760</v>
      </c>
      <c r="C127" s="2858" t="s">
        <v>2761</v>
      </c>
      <c r="D127" s="2832" t="s">
        <v>2762</v>
      </c>
      <c r="E127" s="2858">
        <v>0.1</v>
      </c>
      <c r="F127" s="2858">
        <v>15</v>
      </c>
    </row>
    <row r="128" spans="1:6" ht="13.5">
      <c r="A128" s="2858">
        <v>56</v>
      </c>
      <c r="B128" s="3483"/>
      <c r="C128" s="2858" t="s">
        <v>2763</v>
      </c>
      <c r="D128" s="2832" t="s">
        <v>2764</v>
      </c>
      <c r="E128" s="2858">
        <v>0.1</v>
      </c>
      <c r="F128" s="2858">
        <v>15</v>
      </c>
    </row>
    <row r="129" spans="1:6" ht="24">
      <c r="A129" s="2858">
        <v>57</v>
      </c>
      <c r="B129" s="3483"/>
      <c r="C129" s="2858" t="s">
        <v>2765</v>
      </c>
      <c r="D129" s="2832" t="s">
        <v>2766</v>
      </c>
      <c r="E129" s="2858">
        <v>0.1</v>
      </c>
      <c r="F129" s="2858">
        <v>15</v>
      </c>
    </row>
    <row r="130" spans="1:6" ht="24">
      <c r="A130" s="2858">
        <v>58</v>
      </c>
      <c r="B130" s="3483" t="s">
        <v>2767</v>
      </c>
      <c r="C130" s="2858" t="s">
        <v>2768</v>
      </c>
      <c r="D130" s="2832" t="s">
        <v>2769</v>
      </c>
      <c r="E130" s="2858">
        <v>0.1</v>
      </c>
      <c r="F130" s="2858">
        <v>15</v>
      </c>
    </row>
    <row r="131" spans="1:6" ht="13.5">
      <c r="A131" s="2858">
        <v>59</v>
      </c>
      <c r="B131" s="3483"/>
      <c r="C131" s="2858" t="s">
        <v>2770</v>
      </c>
      <c r="D131" s="2832" t="s">
        <v>2771</v>
      </c>
      <c r="E131" s="2858">
        <v>0.1</v>
      </c>
      <c r="F131" s="2858">
        <v>15</v>
      </c>
    </row>
    <row r="132" spans="1:6" ht="13.5">
      <c r="A132" s="2858">
        <v>60</v>
      </c>
      <c r="B132" s="3478" t="s">
        <v>2772</v>
      </c>
      <c r="C132" s="2858" t="s">
        <v>2773</v>
      </c>
      <c r="D132" s="2832" t="s">
        <v>2774</v>
      </c>
      <c r="E132" s="2858">
        <v>0.1</v>
      </c>
      <c r="F132" s="2858">
        <v>15</v>
      </c>
    </row>
    <row r="133" spans="1:6" ht="13.5">
      <c r="A133" s="2858">
        <v>61</v>
      </c>
      <c r="B133" s="3482"/>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83" t="s">
        <v>2780</v>
      </c>
      <c r="C135" s="2858" t="s">
        <v>2781</v>
      </c>
      <c r="D135" s="2832" t="s">
        <v>2782</v>
      </c>
      <c r="E135" s="2858">
        <v>0.1</v>
      </c>
      <c r="F135" s="2858">
        <v>15</v>
      </c>
    </row>
    <row r="136" spans="1:6" ht="13.5">
      <c r="A136" s="2858">
        <v>64</v>
      </c>
      <c r="B136" s="3483"/>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0.95120000000000005</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27892</v>
      </c>
      <c r="C2" s="2" t="s">
        <v>106</v>
      </c>
      <c r="D2" s="191"/>
      <c r="E2" s="191"/>
      <c r="F2" s="191"/>
      <c r="G2" s="191"/>
    </row>
    <row r="3" spans="1:7" s="192" customFormat="1" ht="18" customHeight="1" thickBot="1">
      <c r="A3" s="195" t="s">
        <v>58</v>
      </c>
      <c r="B3" s="196">
        <f ca="1">ROUND(B2*10000/'数据-汇总表'!E3,0)</f>
        <v>459672</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12</v>
      </c>
      <c r="D10" s="795">
        <f>'数据-汇总表'!E6</f>
        <v>606.78</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12</v>
      </c>
      <c r="D19" s="204">
        <f>'数据-汇总表'!E3</f>
        <v>606.78</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1312</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4.75">
      <c r="A27" s="731" t="s">
        <v>342</v>
      </c>
      <c r="B27" s="236" t="s">
        <v>85</v>
      </c>
      <c r="C27" s="237">
        <f>C28</f>
        <v>3155</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3155</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27598</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272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243</v>
      </c>
      <c r="D34" s="209"/>
      <c r="E34" s="212"/>
      <c r="F34" s="249">
        <f>IF('数据-取费表'!B24=0,1,'数据-取费表'!N16)</f>
        <v>1</v>
      </c>
      <c r="G34" s="211" t="s">
        <v>89</v>
      </c>
    </row>
    <row r="35" spans="1:7" ht="13.5" customHeight="1">
      <c r="A35" s="734" t="s">
        <v>351</v>
      </c>
      <c r="B35" s="207" t="s">
        <v>33</v>
      </c>
      <c r="C35" s="212">
        <f>ROUND(C34*F35,0)</f>
        <v>12</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12</v>
      </c>
      <c r="D37" s="209">
        <f>'数据-汇总表'!E3</f>
        <v>606.78</v>
      </c>
      <c r="E37" s="241">
        <f>'数据-取费表'!B35</f>
        <v>200</v>
      </c>
      <c r="F37" s="251"/>
      <c r="G37" s="253" t="s">
        <v>92</v>
      </c>
    </row>
    <row r="38" spans="1:7" ht="13.5" customHeight="1">
      <c r="A38" s="734" t="s">
        <v>354</v>
      </c>
      <c r="B38" s="207" t="s">
        <v>36</v>
      </c>
      <c r="C38" s="212">
        <f>ROUND(C34*F38,0)</f>
        <v>5</v>
      </c>
      <c r="D38" s="212"/>
      <c r="E38" s="212"/>
      <c r="F38" s="251">
        <f>'数据-取费表'!B36</f>
        <v>0.02</v>
      </c>
      <c r="G38" s="211" t="s">
        <v>90</v>
      </c>
    </row>
    <row r="39" spans="1:7" s="206" customFormat="1" ht="13.5" customHeight="1">
      <c r="A39" s="731" t="s">
        <v>338</v>
      </c>
      <c r="B39" s="202" t="s">
        <v>77</v>
      </c>
      <c r="C39" s="224">
        <f>ROUND(C33*F20,0)</f>
        <v>5</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8</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8</v>
      </c>
      <c r="D42" s="230"/>
      <c r="E42" s="230"/>
      <c r="F42" s="231"/>
      <c r="G42" s="3347" t="s">
        <v>94</v>
      </c>
    </row>
    <row r="43" spans="1:7" ht="13.5" customHeight="1">
      <c r="A43" s="734" t="s">
        <v>347</v>
      </c>
      <c r="B43" s="207" t="s">
        <v>426</v>
      </c>
      <c r="C43" s="230">
        <f ca="1">ROUND(IF('数据-取费表'!B22&lt;=1,C39*F22*'数据-取费表'!B21/2,C39*(POWER((1+F22),'数据-取费表'!B21/2)-1)),0)</f>
        <v>0</v>
      </c>
      <c r="D43" s="230"/>
      <c r="E43" s="230"/>
      <c r="F43" s="231"/>
      <c r="G43" s="3348"/>
    </row>
    <row r="44" spans="1:7" ht="13.5" customHeight="1">
      <c r="A44" s="734" t="s">
        <v>348</v>
      </c>
      <c r="B44" s="207" t="s">
        <v>428</v>
      </c>
      <c r="C44" s="230">
        <f ca="1">ROUND(IF('数据-取费表'!B22&lt;=1,C40*F22*'数据-取费表'!B21/2,C40*(POWER((1+F22),'数据-取费表'!B21/2)-1)),4)</f>
        <v>5.9999999999999995E-4</v>
      </c>
      <c r="D44" s="230"/>
      <c r="E44" s="230"/>
      <c r="F44" s="231"/>
      <c r="G44" s="3349"/>
    </row>
    <row r="45" spans="1:7" s="206" customFormat="1" ht="13.5" customHeight="1">
      <c r="A45" s="731" t="s">
        <v>341</v>
      </c>
      <c r="B45" s="236" t="s">
        <v>85</v>
      </c>
      <c r="C45" s="237">
        <f>C46</f>
        <v>42</v>
      </c>
      <c r="D45" s="227">
        <f>C47</f>
        <v>3.0000000000000001E-3</v>
      </c>
      <c r="E45" s="228" t="s">
        <v>102</v>
      </c>
      <c r="F45" s="238"/>
      <c r="G45" s="239" t="s">
        <v>434</v>
      </c>
    </row>
    <row r="46" spans="1:7" s="206" customFormat="1" ht="13.5" customHeight="1">
      <c r="A46" s="734" t="s">
        <v>349</v>
      </c>
      <c r="B46" s="240" t="s">
        <v>427</v>
      </c>
      <c r="C46" s="241">
        <f>ROUND((C33+C39)*F27,0)</f>
        <v>42</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354</v>
      </c>
      <c r="D49" s="224"/>
      <c r="E49" s="224"/>
      <c r="F49" s="256"/>
      <c r="G49" s="226" t="s">
        <v>435</v>
      </c>
    </row>
    <row r="50" spans="1:7" s="250" customFormat="1" ht="24">
      <c r="A50" s="731" t="s">
        <v>344</v>
      </c>
      <c r="B50" s="202" t="s">
        <v>97</v>
      </c>
      <c r="C50" s="224"/>
      <c r="D50" s="224"/>
      <c r="E50" s="224"/>
      <c r="F50" s="256">
        <f>IF('数据-取费表'!B24=0,'数据-取费表'!N16,1)</f>
        <v>0.83</v>
      </c>
      <c r="G50" s="239" t="s">
        <v>98</v>
      </c>
    </row>
    <row r="51" spans="1:7" ht="16.5" customHeight="1">
      <c r="A51" s="731" t="s">
        <v>345</v>
      </c>
      <c r="B51" s="202" t="s">
        <v>105</v>
      </c>
      <c r="C51" s="224">
        <f ca="1">ROUND(C49*F50,0)</f>
        <v>294</v>
      </c>
      <c r="D51" s="224"/>
      <c r="E51" s="224"/>
      <c r="F51" s="256"/>
      <c r="G51" s="226" t="s">
        <v>37</v>
      </c>
    </row>
    <row r="52" spans="1:7" s="200" customFormat="1" ht="16.5" thickBot="1">
      <c r="A52" s="257" t="s">
        <v>38</v>
      </c>
      <c r="B52" s="258"/>
      <c r="C52" s="259">
        <f ca="1">C31+C51</f>
        <v>27892</v>
      </c>
      <c r="D52" s="258"/>
      <c r="E52" s="258"/>
      <c r="F52" s="258"/>
      <c r="G52" s="260"/>
    </row>
    <row r="55" spans="1:7" ht="15">
      <c r="B55" s="262" t="s">
        <v>39</v>
      </c>
      <c r="C55" s="263"/>
    </row>
    <row r="56" spans="1:7">
      <c r="B56" s="265" t="s">
        <v>40</v>
      </c>
      <c r="C56" s="266">
        <f ca="1">ROUND(C51/C52,3)</f>
        <v>1.0999999999999999E-2</v>
      </c>
    </row>
    <row r="57" spans="1:7">
      <c r="B57" s="265" t="s">
        <v>41</v>
      </c>
      <c r="C57" s="267">
        <f ca="1">1-C56</f>
        <v>0.98899999999999999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6" t="s">
        <v>2830</v>
      </c>
      <c r="B1" s="3486"/>
      <c r="C1" s="3486"/>
      <c r="D1" s="3486"/>
      <c r="E1" s="3486"/>
      <c r="F1" s="3486"/>
      <c r="G1" s="3487"/>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84"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85"/>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8" t="s">
        <v>3172</v>
      </c>
      <c r="B1" s="3488"/>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89" t="s">
        <v>3223</v>
      </c>
      <c r="B1" s="3489"/>
      <c r="C1" s="3489"/>
      <c r="D1" s="3489"/>
      <c r="E1" s="3489"/>
      <c r="F1" s="3490"/>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8">
        <f>基准地价修正!G23</f>
        <v>45693</v>
      </c>
      <c r="B1" s="2930" t="s">
        <v>3370</v>
      </c>
      <c r="C1" s="2931"/>
      <c r="D1" s="2931"/>
      <c r="E1" s="2931"/>
      <c r="F1" s="2931"/>
      <c r="G1" s="2931"/>
      <c r="H1" s="2931"/>
      <c r="I1" s="2931"/>
      <c r="J1" s="2897"/>
      <c r="K1" s="2931" t="s">
        <v>454</v>
      </c>
      <c r="L1" s="2931"/>
      <c r="M1" s="2931"/>
      <c r="N1" s="2931"/>
      <c r="O1" s="2931"/>
      <c r="P1" s="2931"/>
      <c r="Q1" s="2897"/>
      <c r="R1" s="3491" t="s">
        <v>456</v>
      </c>
      <c r="S1" s="3492"/>
      <c r="T1" s="3492"/>
      <c r="U1" s="3492"/>
      <c r="V1" s="3492"/>
      <c r="W1" s="3492"/>
      <c r="X1" s="2897"/>
      <c r="Y1" s="3491" t="s">
        <v>457</v>
      </c>
      <c r="Z1" s="3492"/>
      <c r="AA1" s="3492"/>
      <c r="AB1" s="3492"/>
      <c r="AC1" s="3492"/>
      <c r="AD1" s="3492"/>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3366</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3375</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3374</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3367</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3365</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3361</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3360</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3358</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3357</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3356</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3354</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3345</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3373</v>
      </c>
    </row>
    <row r="24" spans="1:30">
      <c r="I24" s="1405" t="s">
        <v>2816</v>
      </c>
    </row>
    <row r="26" spans="1:30" s="2009" customFormat="1" ht="12.75">
      <c r="B26" s="2930" t="s">
        <v>3371</v>
      </c>
      <c r="C26" s="2931"/>
      <c r="D26" s="2931"/>
      <c r="E26" s="2931"/>
      <c r="F26" s="2931"/>
      <c r="G26" s="2931"/>
      <c r="H26" s="2931"/>
      <c r="I26" s="2931"/>
      <c r="J26" s="2897"/>
      <c r="K26" s="2931" t="s">
        <v>2817</v>
      </c>
      <c r="L26" s="2931"/>
      <c r="M26" s="2931"/>
      <c r="N26" s="2931"/>
      <c r="O26" s="2931"/>
      <c r="P26" s="2931"/>
      <c r="Q26" s="2897"/>
      <c r="R26" s="3491" t="s">
        <v>2818</v>
      </c>
      <c r="S26" s="3492"/>
      <c r="T26" s="3492"/>
      <c r="U26" s="3492"/>
      <c r="V26" s="3492"/>
      <c r="W26" s="3492"/>
      <c r="X26" s="2897"/>
      <c r="Y26" s="3491" t="s">
        <v>2819</v>
      </c>
      <c r="Z26" s="3492"/>
      <c r="AA26" s="3492"/>
      <c r="AB26" s="3492"/>
      <c r="AC26" s="3492"/>
      <c r="AD26" s="3492"/>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3366</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3368</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3363</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3369</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3364</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3362</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3360</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3359</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3357</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3356</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3355</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3345</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9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9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9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9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9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9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9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9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9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9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9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9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4">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5">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9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4">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5">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45693</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在建建筑物价值</v>
      </c>
      <c r="G2" s="3177"/>
      <c r="H2" s="3177" t="str">
        <f>IF(项目基本情况!B9="房地产市场价值","房地产市场价值","房地产价值")</f>
        <v>房地产价值</v>
      </c>
      <c r="I2" s="3177"/>
    </row>
    <row r="3" spans="1:9" ht="15">
      <c r="A3" s="3178"/>
      <c r="B3" s="3178"/>
      <c r="C3" s="3178"/>
      <c r="D3" s="801" t="s">
        <v>925</v>
      </c>
      <c r="E3" s="801" t="s">
        <v>931</v>
      </c>
      <c r="F3" s="801" t="s">
        <v>925</v>
      </c>
      <c r="G3" s="801" t="s">
        <v>926</v>
      </c>
      <c r="H3" s="801" t="s">
        <v>925</v>
      </c>
      <c r="I3" s="801" t="s">
        <v>926</v>
      </c>
    </row>
    <row r="4" spans="1:9" ht="15">
      <c r="A4" s="1403" t="str">
        <f>项目基本情况!S2</f>
        <v>北京市房地产</v>
      </c>
      <c r="B4" s="801">
        <f>项目基本情况!C17</f>
        <v>606.78</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8" t="s">
        <v>927</v>
      </c>
      <c r="B5" s="3178"/>
      <c r="C5" s="3178"/>
      <c r="D5" s="3178" t="e">
        <f ca="1">结果表!D119</f>
        <v>#REF!</v>
      </c>
      <c r="E5" s="3178"/>
      <c r="F5" s="3178" t="e">
        <f ca="1">结果表!F119</f>
        <v>#REF!</v>
      </c>
      <c r="G5" s="3178"/>
      <c r="H5" s="3178" t="e">
        <f ca="1">结果表!H119</f>
        <v>#REF!</v>
      </c>
      <c r="I5" s="3178"/>
    </row>
    <row r="6" spans="1:9" ht="15.75">
      <c r="A6" s="3179" t="str">
        <f>结果表!A120</f>
        <v>估价师知悉的法定优先受偿款</v>
      </c>
      <c r="B6" s="3179"/>
      <c r="C6" s="3179"/>
      <c r="D6" s="3179">
        <f>结果表!D120</f>
        <v>0</v>
      </c>
      <c r="E6" s="3179"/>
      <c r="F6" s="3179"/>
      <c r="G6" s="3179"/>
      <c r="H6" s="3179"/>
      <c r="I6" s="3179"/>
    </row>
    <row r="7" spans="1:9" ht="15">
      <c r="A7" s="3178" t="s">
        <v>927</v>
      </c>
      <c r="B7" s="3178"/>
      <c r="C7" s="3178"/>
      <c r="D7" s="3180" t="str">
        <f>结果表!D121</f>
        <v>零元整</v>
      </c>
      <c r="E7" s="3181"/>
      <c r="F7" s="3181"/>
      <c r="G7" s="3181"/>
      <c r="H7" s="3181"/>
      <c r="I7" s="3182"/>
    </row>
    <row r="8" spans="1:9" ht="15.75">
      <c r="A8" s="3179" t="str">
        <f>结果表!A122</f>
        <v>房地产抵押价值</v>
      </c>
      <c r="B8" s="3179"/>
      <c r="C8" s="3179"/>
      <c r="D8" s="3179" t="e">
        <f ca="1">结果表!D122</f>
        <v>#REF!</v>
      </c>
      <c r="E8" s="3179"/>
      <c r="F8" s="3179"/>
      <c r="G8" s="3179"/>
      <c r="H8" s="3179"/>
      <c r="I8" s="3179"/>
    </row>
    <row r="9" spans="1:9" ht="15">
      <c r="A9" s="3178" t="s">
        <v>927</v>
      </c>
      <c r="B9" s="3178"/>
      <c r="C9" s="3178"/>
      <c r="D9" s="3178" t="e">
        <f ca="1">结果表!D123</f>
        <v>#REF!</v>
      </c>
      <c r="E9" s="3178"/>
      <c r="F9" s="3178"/>
      <c r="G9" s="3178"/>
      <c r="H9" s="3178"/>
      <c r="I9" s="3178"/>
    </row>
    <row r="10" spans="1:9" ht="15.75">
      <c r="A10" s="3179" t="str">
        <f>结果表!A124</f>
        <v/>
      </c>
      <c r="B10" s="3179"/>
      <c r="C10" s="3179"/>
      <c r="D10" s="3179" t="str">
        <f>结果表!D124</f>
        <v>——</v>
      </c>
      <c r="E10" s="3179"/>
      <c r="F10" s="3179"/>
      <c r="G10" s="3179"/>
      <c r="H10" s="3179"/>
      <c r="I10" s="3179"/>
    </row>
    <row r="11" spans="1:9" ht="15">
      <c r="A11" s="3178" t="s">
        <v>927</v>
      </c>
      <c r="B11" s="3178"/>
      <c r="C11" s="3178"/>
      <c r="D11" s="3178" t="e">
        <f>结果表!D125</f>
        <v>#VALUE!</v>
      </c>
      <c r="E11" s="3178"/>
      <c r="F11" s="3178"/>
      <c r="G11" s="3178"/>
      <c r="H11" s="3178"/>
      <c r="I11" s="3178"/>
    </row>
    <row r="12" spans="1:9" ht="15.75">
      <c r="A12" s="3179" t="str">
        <f>结果表!A126</f>
        <v/>
      </c>
      <c r="B12" s="3179"/>
      <c r="C12" s="3179"/>
      <c r="D12" s="3179" t="str">
        <f>结果表!D126</f>
        <v>——</v>
      </c>
      <c r="E12" s="3179"/>
      <c r="F12" s="3179"/>
      <c r="G12" s="3179"/>
      <c r="H12" s="3179"/>
      <c r="I12" s="3179"/>
    </row>
    <row r="13" spans="1:9" ht="15.75" thickBot="1">
      <c r="A13" s="3183" t="s">
        <v>927</v>
      </c>
      <c r="B13" s="3183"/>
      <c r="C13" s="3183"/>
      <c r="D13" s="3183" t="e">
        <f>结果表!D127</f>
        <v>#VALUE!</v>
      </c>
      <c r="E13" s="3183"/>
      <c r="F13" s="3183"/>
      <c r="G13" s="3183"/>
      <c r="H13" s="3183"/>
      <c r="I13" s="3183"/>
    </row>
    <row r="14" spans="1:9" ht="15" thickTop="1">
      <c r="A14" s="3184" t="s">
        <v>932</v>
      </c>
      <c r="B14" s="3184"/>
      <c r="C14" s="3184"/>
      <c r="D14" s="3184"/>
      <c r="E14" s="3184"/>
      <c r="F14" s="3184"/>
      <c r="G14" s="3184"/>
      <c r="H14" s="3184"/>
      <c r="I14" s="318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5" t="s">
        <v>949</v>
      </c>
      <c r="B1" s="3185"/>
      <c r="C1" s="3185"/>
      <c r="D1" s="3185"/>
    </row>
    <row r="2" spans="1:4" ht="18">
      <c r="A2" s="3186" t="s">
        <v>933</v>
      </c>
      <c r="B2" s="3186"/>
      <c r="C2" s="3186"/>
      <c r="D2" s="318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6" t="s">
        <v>939</v>
      </c>
      <c r="B6" s="3186"/>
      <c r="C6" s="3186"/>
      <c r="D6" s="318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7" t="s">
        <v>942</v>
      </c>
      <c r="B11" s="3188"/>
      <c r="C11" s="3188"/>
      <c r="D11" s="3188"/>
    </row>
    <row r="12" spans="1:4" ht="15.75">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8" t="str">
        <f>IF(项目基本情况!B8="抵押","4.本次评估估价师所知悉的法定优先受偿款情况说明如下：","——")</f>
        <v>4.本次评估估价师所知悉的法定优先受偿款情况说明如下：</v>
      </c>
      <c r="B14" s="3189"/>
      <c r="C14" s="3189"/>
      <c r="D14" s="3189"/>
    </row>
    <row r="15" spans="1:4" ht="42" customHeight="1">
      <c r="A15" s="31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1" t="s">
        <v>943</v>
      </c>
      <c r="B16" s="3191"/>
      <c r="C16" s="3191"/>
      <c r="D16" s="3191"/>
    </row>
    <row r="17" spans="1:4" ht="144" customHeight="1">
      <c r="A17" s="3191" t="s">
        <v>944</v>
      </c>
      <c r="B17" s="3191"/>
      <c r="C17" s="3191"/>
      <c r="D17" s="3191"/>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8"/>
      <c r="C20" s="3188"/>
      <c r="D20" s="3188"/>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2"/>
      <c r="C21" s="3192"/>
      <c r="D21" s="3192"/>
    </row>
    <row r="22" spans="1:4" ht="18.75" customHeight="1">
      <c r="A22" s="3193" t="s">
        <v>945</v>
      </c>
      <c r="B22" s="3193"/>
      <c r="C22" s="3193"/>
      <c r="D22" s="319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90">
        <v>42551</v>
      </c>
      <c r="D31" s="31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9" t="s">
        <v>956</v>
      </c>
      <c r="B15" s="3194" t="s">
        <v>109</v>
      </c>
      <c r="C15" s="3195"/>
    </row>
    <row r="16" spans="1:7" ht="13.5">
      <c r="A16" s="3200"/>
      <c r="B16" s="3194" t="s">
        <v>42</v>
      </c>
      <c r="C16" s="3195"/>
    </row>
    <row r="17" spans="1:3" ht="13.5">
      <c r="A17" s="3200"/>
      <c r="B17" s="3197" t="s">
        <v>957</v>
      </c>
      <c r="C17" s="1429" t="s">
        <v>956</v>
      </c>
    </row>
    <row r="18" spans="1:3" ht="13.5">
      <c r="A18" s="3200"/>
      <c r="B18" s="3197"/>
      <c r="C18" s="1429" t="s">
        <v>958</v>
      </c>
    </row>
    <row r="19" spans="1:3" ht="13.5">
      <c r="A19" s="3200"/>
      <c r="B19" s="3197"/>
      <c r="C19" s="1429" t="s">
        <v>959</v>
      </c>
    </row>
    <row r="20" spans="1:3" ht="13.5">
      <c r="A20" s="3201"/>
      <c r="B20" s="3196" t="s">
        <v>960</v>
      </c>
      <c r="C20" s="3195"/>
    </row>
    <row r="21" spans="1:3" ht="13.5">
      <c r="A21" s="1430" t="s">
        <v>961</v>
      </c>
      <c r="B21" s="1431"/>
      <c r="C21" s="1432"/>
    </row>
    <row r="22" spans="1:3" ht="13.5">
      <c r="A22" s="3198" t="s">
        <v>962</v>
      </c>
      <c r="B22" s="3196" t="s">
        <v>963</v>
      </c>
      <c r="C22" s="3195"/>
    </row>
    <row r="23" spans="1:3" ht="13.5">
      <c r="A23" s="3198"/>
      <c r="B23" s="3196" t="s">
        <v>964</v>
      </c>
      <c r="C23" s="3195"/>
    </row>
    <row r="24" spans="1:3" ht="13.5">
      <c r="A24" s="3198"/>
      <c r="B24" s="3196" t="s">
        <v>965</v>
      </c>
      <c r="C24" s="3195"/>
    </row>
    <row r="25" spans="1:3" ht="13.5">
      <c r="A25" s="3198"/>
      <c r="B25" s="3197" t="s">
        <v>966</v>
      </c>
      <c r="C25" s="1429" t="s">
        <v>967</v>
      </c>
    </row>
    <row r="26" spans="1:3" ht="13.5">
      <c r="A26" s="3198"/>
      <c r="B26" s="3197"/>
      <c r="C26" s="1429" t="s">
        <v>968</v>
      </c>
    </row>
    <row r="27" spans="1:3" ht="13.5">
      <c r="A27" s="3198"/>
      <c r="B27" s="3197"/>
      <c r="C27" s="1429" t="s">
        <v>969</v>
      </c>
    </row>
    <row r="28" spans="1:3" ht="13.5">
      <c r="A28" s="3198"/>
      <c r="B28" s="3197"/>
      <c r="C28" s="1429" t="s">
        <v>970</v>
      </c>
    </row>
    <row r="29" spans="1:3" ht="13.5">
      <c r="A29" s="3198"/>
      <c r="B29" s="3197"/>
      <c r="C29" s="1429" t="s">
        <v>971</v>
      </c>
    </row>
    <row r="30" spans="1:3" ht="13.5">
      <c r="A30" s="3198"/>
      <c r="B30" s="3197"/>
      <c r="C30" s="1429" t="s">
        <v>972</v>
      </c>
    </row>
    <row r="31" spans="1:3" ht="13.5">
      <c r="A31" s="3198"/>
      <c r="B31" s="3197"/>
      <c r="C31" s="1429" t="s">
        <v>973</v>
      </c>
    </row>
    <row r="32" spans="1:3" ht="13.5">
      <c r="A32" s="3198"/>
      <c r="B32" s="3197"/>
      <c r="C32" s="1429" t="s">
        <v>974</v>
      </c>
    </row>
    <row r="33" spans="1:3" ht="13.5">
      <c r="A33" s="3198"/>
      <c r="B33" s="3197"/>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45694</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166</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租金比较法-办公</vt:lpstr>
      <vt:lpstr>成本法 (元)</vt:lpstr>
      <vt:lpstr>基准地价修正</vt:lpstr>
      <vt:lpstr>项目情况</vt:lpstr>
      <vt:lpstr>售</vt:lpstr>
      <vt:lpstr>租</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'租金比较法-办公'!Print_Area</vt:lpstr>
      <vt:lpstr>八级</vt:lpstr>
      <vt:lpstr>'租金比较法-办公'!办公层高</vt:lpstr>
      <vt:lpstr>办公层高</vt:lpstr>
      <vt:lpstr>'租金比较法-办公'!办公朝向</vt:lpstr>
      <vt:lpstr>办公朝向</vt:lpstr>
      <vt:lpstr>'租金比较法-办公'!办公道路级别</vt:lpstr>
      <vt:lpstr>办公道路级别</vt:lpstr>
      <vt:lpstr>'租金比较法-办公'!办公公共部分装修</vt:lpstr>
      <vt:lpstr>办公公共部分装修</vt:lpstr>
      <vt:lpstr>'租金比较法-办公'!办公基础设施水平</vt:lpstr>
      <vt:lpstr>办公基础设施水平</vt:lpstr>
      <vt:lpstr>办公集聚程度</vt:lpstr>
      <vt:lpstr>'租金比较法-办公'!办公建筑结构</vt:lpstr>
      <vt:lpstr>办公建筑结构</vt:lpstr>
      <vt:lpstr>'租金比较法-办公'!办公建筑类型</vt:lpstr>
      <vt:lpstr>办公建筑类型</vt:lpstr>
      <vt:lpstr>'租金比较法-办公'!办公交易情况</vt:lpstr>
      <vt:lpstr>办公交易情况</vt:lpstr>
      <vt:lpstr>'租金比较法-办公'!办公楼层</vt:lpstr>
      <vt:lpstr>办公楼层</vt:lpstr>
      <vt:lpstr>'租金比较法-办公'!办公内部装修</vt:lpstr>
      <vt:lpstr>办公内部装修</vt:lpstr>
      <vt:lpstr>'租金比较法-办公'!办公物业管理</vt:lpstr>
      <vt:lpstr>办公物业管理</vt:lpstr>
      <vt:lpstr>'租金比较法-办公'!办公用途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'租金比较法-办公'!写字楼等级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2025-02-06T01:58:46Z</dcterms:modified>
</cp:coreProperties>
</file>