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陈宁询价\"/>
    </mc:Choice>
  </mc:AlternateContent>
  <xr:revisionPtr revIDLastSave="0" documentId="13_ncr:1_{E54376CF-05B7-4136-B809-979C30D267D1}" xr6:coauthVersionLast="47" xr6:coauthVersionMax="47" xr10:uidLastSave="{00000000-0000-0000-0000-000000000000}"/>
  <bookViews>
    <workbookView xWindow="-110" yWindow="-110" windowWidth="25820" windowHeight="14020"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比较法-商业" sheetId="33" r:id="rId20"/>
    <sheet name="收益法 (元)101" sheetId="67" r:id="rId21"/>
    <sheet name="典型户型修正" sheetId="31" r:id="rId22"/>
    <sheet name="案例" sheetId="83" r:id="rId23"/>
    <sheet name="Sheet1" sheetId="80" r:id="rId24"/>
    <sheet name="结果表101成本法、收益法" sheetId="84" r:id="rId25"/>
    <sheet name="结果表501成本法、收益法 " sheetId="85"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成本法 (元)101" sheetId="69" r:id="rId32"/>
    <sheet name="成本法 (元)501" sheetId="82" r:id="rId33"/>
    <sheet name="基准地价修正" sheetId="43" r:id="rId34"/>
    <sheet name="收益法 (元)501" sheetId="81"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31">'成本法 (元)101'!$A$1:$G$57</definedName>
    <definedName name="_xlnm.Print_Area" localSheetId="32">'成本法 (元)501'!$A$1:$G$57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3">基准地价修正!$A$1:$J$44,基准地价修正!$A$47:$H$101,基准地价修正!$R$1:$V$16</definedName>
    <definedName name="_xlnm.Print_Area" localSheetId="26">假设开发法!$A$1:$K$32</definedName>
    <definedName name="_xlnm.Print_Area" localSheetId="17">结果表101!$A$1:$I$127</definedName>
    <definedName name="_xlnm.Print_Area" localSheetId="24">'结果表101成本法、收益法'!$A$1:$I$127</definedName>
    <definedName name="_xlnm.Print_Area" localSheetId="25">'结果表501成本法、收益法 '!$A$1:$I$127</definedName>
    <definedName name="_xlnm.Print_Area" localSheetId="27">收益法!$A$1:$F$43,收益法!$H$3:$M$29,收益法!$A$46:$F$71,收益法!$I$46:$N$65</definedName>
    <definedName name="_xlnm.Print_Area" localSheetId="20">'收益法 (元)101'!$A$1:$F$43,'收益法 (元)101'!$H$3:$M$29,'收益法 (元)101'!$A$45:$F$71,'收益法 (元)101'!$I$46:$N$65</definedName>
    <definedName name="_xlnm.Print_Area" localSheetId="34">'收益法 (元)501'!$A$1:$F$43,'收益法 (元)501'!$H$3:$M$29,'收益法 (元)501'!$A$45:$F$71,'收益法 (元)501'!$I$46:$N$65</definedName>
    <definedName name="_xlnm.Print_Area" localSheetId="29">'收益法（汇总）'!$A$1:$F$13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7" i="1" l="1"/>
  <c r="U6" i="1"/>
  <c r="A124" i="85"/>
  <c r="A120" i="85"/>
  <c r="E111" i="85"/>
  <c r="H112" i="85" s="1"/>
  <c r="H109" i="85"/>
  <c r="D124" i="85" s="1"/>
  <c r="D125" i="85" s="1"/>
  <c r="E109" i="85"/>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5" i="85" s="1"/>
  <c r="N56" i="85"/>
  <c r="M56" i="85"/>
  <c r="K56" i="85"/>
  <c r="J56" i="85"/>
  <c r="J57" i="85" s="1"/>
  <c r="J59" i="85" s="1"/>
  <c r="J61" i="85" s="1"/>
  <c r="F56" i="85"/>
  <c r="O55" i="85"/>
  <c r="K55" i="85"/>
  <c r="J55" i="85"/>
  <c r="I55" i="85"/>
  <c r="F55" i="85"/>
  <c r="O54" i="85"/>
  <c r="N54" i="85"/>
  <c r="F54" i="85"/>
  <c r="O53" i="85"/>
  <c r="N53" i="85"/>
  <c r="F53" i="85"/>
  <c r="F52" i="85"/>
  <c r="K49" i="85"/>
  <c r="F48" i="85"/>
  <c r="O52" i="85" s="1"/>
  <c r="E48" i="85"/>
  <c r="N52" i="85" s="1"/>
  <c r="D48" i="85"/>
  <c r="M52" i="85" s="1"/>
  <c r="M47" i="85"/>
  <c r="C35" i="85"/>
  <c r="G118" i="85" s="1"/>
  <c r="C34" i="85"/>
  <c r="E118" i="85" s="1"/>
  <c r="F33" i="85"/>
  <c r="D27" i="85"/>
  <c r="C25" i="85"/>
  <c r="C24" i="85"/>
  <c r="M19" i="85"/>
  <c r="C118" i="85" s="1"/>
  <c r="L19" i="85"/>
  <c r="M18" i="85"/>
  <c r="B118" i="85" s="1"/>
  <c r="L18" i="85"/>
  <c r="C18" i="85"/>
  <c r="D18" i="85" s="1"/>
  <c r="D17" i="85"/>
  <c r="C17" i="85"/>
  <c r="L4" i="85"/>
  <c r="K4" i="85"/>
  <c r="H1" i="85"/>
  <c r="A120" i="84"/>
  <c r="E111" i="84"/>
  <c r="H112" i="84" s="1"/>
  <c r="E109" i="84"/>
  <c r="A124" i="84" s="1"/>
  <c r="E107" i="84"/>
  <c r="A122" i="84" s="1"/>
  <c r="H106" i="84"/>
  <c r="H105" i="84"/>
  <c r="H104" i="84"/>
  <c r="H103" i="84"/>
  <c r="D120" i="84" s="1"/>
  <c r="D101" i="84"/>
  <c r="C101" i="84"/>
  <c r="D93" i="84"/>
  <c r="C91" i="84"/>
  <c r="E90" i="84"/>
  <c r="D89" i="84"/>
  <c r="C89" i="84" s="1"/>
  <c r="C87" i="84" s="1"/>
  <c r="D78" i="84"/>
  <c r="H77" i="84"/>
  <c r="D77" i="84"/>
  <c r="C77" i="84" s="1"/>
  <c r="C74" i="84" s="1"/>
  <c r="C76" i="84"/>
  <c r="D68" i="84"/>
  <c r="F59" i="84"/>
  <c r="E59" i="84"/>
  <c r="N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D48" i="84"/>
  <c r="M52" i="84" s="1"/>
  <c r="M47" i="84"/>
  <c r="C35" i="84"/>
  <c r="G118" i="84" s="1"/>
  <c r="C34" i="84"/>
  <c r="E118" i="84" s="1"/>
  <c r="F33" i="84"/>
  <c r="D27" i="84"/>
  <c r="C25" i="84"/>
  <c r="C24" i="84"/>
  <c r="M19" i="84"/>
  <c r="C118" i="84" s="1"/>
  <c r="L19" i="84"/>
  <c r="M18" i="84"/>
  <c r="B118" i="84" s="1"/>
  <c r="L18" i="84"/>
  <c r="D17" i="84"/>
  <c r="C17" i="84"/>
  <c r="L4" i="84"/>
  <c r="K4" i="84"/>
  <c r="H1" i="84"/>
  <c r="B14" i="74"/>
  <c r="D3" i="31"/>
  <c r="E3" i="31"/>
  <c r="F3" i="31"/>
  <c r="G3" i="31"/>
  <c r="H3" i="31"/>
  <c r="I3" i="31"/>
  <c r="D4" i="31"/>
  <c r="E4" i="31"/>
  <c r="F4" i="31"/>
  <c r="G4" i="31"/>
  <c r="H4" i="31"/>
  <c r="I4" i="31"/>
  <c r="C4" i="31"/>
  <c r="C3" i="31"/>
  <c r="B25" i="31"/>
  <c r="B24" i="31"/>
  <c r="C33" i="33"/>
  <c r="C36" i="33"/>
  <c r="E104" i="33"/>
  <c r="F104" i="33" s="1"/>
  <c r="G104" i="33" s="1"/>
  <c r="H104" i="33" s="1"/>
  <c r="I104" i="33" s="1"/>
  <c r="D104" i="33"/>
  <c r="E89" i="33"/>
  <c r="F89" i="33" s="1"/>
  <c r="G89" i="33" s="1"/>
  <c r="D89" i="33"/>
  <c r="I7" i="33"/>
  <c r="G7" i="33"/>
  <c r="E7" i="33"/>
  <c r="F50" i="82"/>
  <c r="C48" i="82"/>
  <c r="G41" i="82"/>
  <c r="F38" i="82"/>
  <c r="E37" i="82"/>
  <c r="F36" i="82"/>
  <c r="F35" i="82"/>
  <c r="F30" i="82"/>
  <c r="C30" i="82" s="1"/>
  <c r="G22" i="82"/>
  <c r="F21" i="82"/>
  <c r="F40" i="82" s="1"/>
  <c r="F20" i="82"/>
  <c r="F39" i="82" s="1"/>
  <c r="E19" i="82"/>
  <c r="C19" i="82"/>
  <c r="E10" i="82"/>
  <c r="E9" i="82"/>
  <c r="F7" i="82"/>
  <c r="H1" i="82"/>
  <c r="G1" i="82"/>
  <c r="Q72" i="81"/>
  <c r="C62" i="81"/>
  <c r="C61" i="81"/>
  <c r="C60" i="81"/>
  <c r="Q59" i="81"/>
  <c r="K59" i="81"/>
  <c r="P74" i="81" s="1"/>
  <c r="Q58" i="81"/>
  <c r="Q51" i="81"/>
  <c r="J50" i="81"/>
  <c r="J51" i="81" s="1"/>
  <c r="J49" i="81"/>
  <c r="M47" i="81"/>
  <c r="D46" i="81"/>
  <c r="F34" i="81"/>
  <c r="F62" i="81" s="1"/>
  <c r="C34" i="81"/>
  <c r="F33" i="81"/>
  <c r="F61" i="81" s="1"/>
  <c r="C33" i="81"/>
  <c r="F32" i="81"/>
  <c r="F60" i="81" s="1"/>
  <c r="C32" i="81"/>
  <c r="F28" i="81"/>
  <c r="C28" i="81"/>
  <c r="F23" i="81"/>
  <c r="D24" i="81" s="1"/>
  <c r="D23" i="81"/>
  <c r="D22" i="81"/>
  <c r="F21" i="81"/>
  <c r="M20" i="81"/>
  <c r="F20" i="81"/>
  <c r="M19" i="81"/>
  <c r="M18" i="81"/>
  <c r="F18" i="81"/>
  <c r="F17" i="81"/>
  <c r="F15" i="81"/>
  <c r="G1" i="81"/>
  <c r="U5" i="43"/>
  <c r="U2" i="43"/>
  <c r="P18" i="1"/>
  <c r="J49" i="67"/>
  <c r="AM7" i="1"/>
  <c r="AL7" i="1"/>
  <c r="AK7" i="1"/>
  <c r="Y7" i="1"/>
  <c r="W7" i="1"/>
  <c r="V7" i="1"/>
  <c r="Q7" i="1"/>
  <c r="N7" i="1"/>
  <c r="L7" i="1"/>
  <c r="J7" i="1"/>
  <c r="I7" i="1"/>
  <c r="H7" i="1"/>
  <c r="V20" i="1"/>
  <c r="C20" i="6"/>
  <c r="V19" i="1"/>
  <c r="N6" i="1"/>
  <c r="N19" i="1"/>
  <c r="Y6" i="1"/>
  <c r="B58" i="1"/>
  <c r="B59" i="1"/>
  <c r="B21" i="1"/>
  <c r="F19" i="6"/>
  <c r="E27" i="45"/>
  <c r="D10" i="82"/>
  <c r="E2" i="82"/>
  <c r="F27" i="82"/>
  <c r="C76" i="81"/>
  <c r="D118" i="85" l="1"/>
  <c r="D119" i="85" s="1"/>
  <c r="F118" i="85"/>
  <c r="F119" i="85" s="1"/>
  <c r="D121" i="85"/>
  <c r="K120" i="85"/>
  <c r="C92" i="85"/>
  <c r="C94" i="85"/>
  <c r="H111" i="85"/>
  <c r="D126" i="85" s="1"/>
  <c r="D127" i="85" s="1"/>
  <c r="A126" i="85"/>
  <c r="H110" i="85"/>
  <c r="C18" i="84"/>
  <c r="D18" i="84" s="1"/>
  <c r="F118" i="84"/>
  <c r="F119" i="84" s="1"/>
  <c r="C92" i="84"/>
  <c r="C94" i="84"/>
  <c r="D118" i="84"/>
  <c r="D119" i="84" s="1"/>
  <c r="D121" i="84"/>
  <c r="K120" i="84"/>
  <c r="H111" i="84"/>
  <c r="D126" i="84" s="1"/>
  <c r="D127" i="84" s="1"/>
  <c r="A126" i="84"/>
  <c r="H109" i="84"/>
  <c r="F45" i="82"/>
  <c r="C10" i="82"/>
  <c r="F48" i="82"/>
  <c r="C40" i="82"/>
  <c r="C21" i="82"/>
  <c r="C29" i="82" s="1"/>
  <c r="D27" i="82" s="1"/>
  <c r="Q71" i="81"/>
  <c r="P61" i="81"/>
  <c r="G14" i="73"/>
  <c r="F14" i="73"/>
  <c r="E14" i="73"/>
  <c r="D9" i="82"/>
  <c r="C36" i="82"/>
  <c r="C34" i="82"/>
  <c r="M9" i="81"/>
  <c r="M23" i="81"/>
  <c r="F37" i="81"/>
  <c r="M6" i="81"/>
  <c r="M26" i="81"/>
  <c r="F43" i="81"/>
  <c r="M24" i="81"/>
  <c r="M8" i="81"/>
  <c r="F36" i="81"/>
  <c r="F7" i="81"/>
  <c r="F26" i="81"/>
  <c r="F42" i="81"/>
  <c r="M22" i="81"/>
  <c r="M29" i="81"/>
  <c r="M27" i="81"/>
  <c r="F6" i="81"/>
  <c r="F40" i="81"/>
  <c r="F38" i="81"/>
  <c r="F9" i="81"/>
  <c r="J15" i="81"/>
  <c r="F8" i="81"/>
  <c r="F13" i="81"/>
  <c r="M28" i="81"/>
  <c r="F16" i="81"/>
  <c r="D124" i="84" l="1"/>
  <c r="D125" i="84" s="1"/>
  <c r="H110" i="84"/>
  <c r="C35" i="82"/>
  <c r="C38" i="82"/>
  <c r="D19" i="82"/>
  <c r="D37" i="82" s="1"/>
  <c r="C37" i="82" s="1"/>
  <c r="C9" i="82"/>
  <c r="C8" i="82" s="1"/>
  <c r="C47" i="82"/>
  <c r="D45" i="82" s="1"/>
  <c r="F51" i="81"/>
  <c r="F66" i="81"/>
  <c r="F68" i="81"/>
  <c r="C6" i="81"/>
  <c r="F31" i="81"/>
  <c r="C27" i="81"/>
  <c r="F50" i="81"/>
  <c r="M7" i="81"/>
  <c r="M17" i="81" s="1"/>
  <c r="F64" i="81"/>
  <c r="F71" i="81"/>
  <c r="F65" i="81"/>
  <c r="I12" i="79"/>
  <c r="C14" i="81"/>
  <c r="C16" i="81"/>
  <c r="C17" i="81"/>
  <c r="F59" i="81" l="1"/>
  <c r="C33" i="82"/>
  <c r="C39" i="82" s="1"/>
  <c r="C46" i="82" s="1"/>
  <c r="C45" i="82" s="1"/>
  <c r="J6" i="81"/>
  <c r="J17" i="81" s="1"/>
  <c r="C15" i="81"/>
  <c r="C18" i="81"/>
  <c r="C31" i="81"/>
  <c r="C49"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J18" i="81" l="1"/>
  <c r="C19" i="81"/>
  <c r="C20" i="81" s="1"/>
  <c r="C26" i="81" s="1"/>
  <c r="J19" i="81"/>
  <c r="C59" i="8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L59" i="81" l="1"/>
  <c r="N59" i="81"/>
  <c r="M59" i="81"/>
  <c r="I2" i="43"/>
  <c r="M1" i="43" s="1"/>
  <c r="Q61" i="81" l="1"/>
  <c r="Q74"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AD35" i="79"/>
  <c r="AD37" i="79"/>
  <c r="AD36" i="79"/>
  <c r="AD38" i="79"/>
  <c r="AR40" i="79"/>
  <c r="AR41" i="79" s="1"/>
  <c r="AR42" i="79" s="1"/>
  <c r="AR43" i="79" s="1"/>
  <c r="AR44" i="79" s="1"/>
  <c r="AR45" i="79" s="1"/>
  <c r="AR46" i="79" s="1"/>
  <c r="AR47" i="79" s="1"/>
  <c r="AR48" i="79" s="1"/>
  <c r="AR49" i="79" s="1"/>
  <c r="AR50" i="79" s="1"/>
  <c r="AR51" i="79" s="1"/>
  <c r="AR52" i="79" s="1"/>
  <c r="Z3" i="79"/>
  <c r="AA31" i="79"/>
  <c r="AD31" i="79" s="1"/>
  <c r="U46" i="79"/>
  <c r="AI46" i="79" s="1"/>
  <c r="AD47" i="79"/>
  <c r="AR18" i="79"/>
  <c r="AR19" i="79" s="1"/>
  <c r="AR20" i="79" s="1"/>
  <c r="AR21" i="79" s="1"/>
  <c r="AR22" i="79" s="1"/>
  <c r="AR23" i="79" s="1"/>
  <c r="AR24" i="79" s="1"/>
  <c r="T35" i="79"/>
  <c r="T33" i="79"/>
  <c r="T34" i="79"/>
  <c r="W22" i="79"/>
  <c r="AK22" i="79" s="1"/>
  <c r="AH22" i="79"/>
  <c r="S33" i="79"/>
  <c r="AG33" i="79" s="1"/>
  <c r="S34" i="79"/>
  <c r="AG34" i="79" s="1"/>
  <c r="S35" i="79"/>
  <c r="AG35" i="79" s="1"/>
  <c r="T40" i="79"/>
  <c r="S48" i="79"/>
  <c r="AG48"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34" i="79"/>
  <c r="AK34" i="79" s="1"/>
  <c r="AH34" i="79"/>
  <c r="W12" i="79"/>
  <c r="AK12" i="79" s="1"/>
  <c r="AH12" i="79"/>
  <c r="W21" i="79"/>
  <c r="AK21" i="79" s="1"/>
  <c r="AH21" i="79"/>
  <c r="W45" i="79"/>
  <c r="AK45" i="79" s="1"/>
  <c r="AH45" i="79"/>
  <c r="W10" i="79"/>
  <c r="AK10" i="79" s="1"/>
  <c r="AH1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0" i="79"/>
  <c r="AK20" i="79" s="1"/>
  <c r="AH20"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S430" i="31" s="1"/>
  <c r="R431" i="31"/>
  <c r="S431" i="31" s="1"/>
  <c r="R432" i="31"/>
  <c r="S432" i="31" s="1"/>
  <c r="R433" i="31"/>
  <c r="R434" i="31"/>
  <c r="S434" i="31" s="1"/>
  <c r="R435" i="31"/>
  <c r="S435" i="31" s="1"/>
  <c r="R436" i="31"/>
  <c r="R437" i="31"/>
  <c r="R438" i="31"/>
  <c r="S438" i="31" s="1"/>
  <c r="R439" i="31"/>
  <c r="R440" i="31"/>
  <c r="R441" i="31"/>
  <c r="R442" i="31"/>
  <c r="S442" i="31" s="1"/>
  <c r="R443" i="31"/>
  <c r="S443" i="31" s="1"/>
  <c r="R444" i="31"/>
  <c r="R445" i="31"/>
  <c r="R446" i="31"/>
  <c r="S446" i="31" s="1"/>
  <c r="R447" i="31"/>
  <c r="R448" i="31"/>
  <c r="R449" i="31"/>
  <c r="R450" i="31"/>
  <c r="S450" i="31" s="1"/>
  <c r="R451" i="3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S498" i="31" s="1"/>
  <c r="R499" i="31"/>
  <c r="S499" i="31" s="1"/>
  <c r="R500" i="31"/>
  <c r="R501" i="31"/>
  <c r="R502" i="31"/>
  <c r="S502" i="31" s="1"/>
  <c r="R503" i="31"/>
  <c r="R504" i="31"/>
  <c r="R505" i="31"/>
  <c r="R506" i="31"/>
  <c r="S506" i="31" s="1"/>
  <c r="R507" i="31"/>
  <c r="S507" i="31" s="1"/>
  <c r="R508" i="31"/>
  <c r="S508" i="31" s="1"/>
  <c r="R509" i="31"/>
  <c r="R510" i="31"/>
  <c r="R511" i="31"/>
  <c r="S511" i="31" s="1"/>
  <c r="R512" i="31"/>
  <c r="R513" i="31"/>
  <c r="R514" i="31"/>
  <c r="R515" i="31"/>
  <c r="S515" i="31" s="1"/>
  <c r="R516" i="31"/>
  <c r="R517" i="31"/>
  <c r="R518" i="31"/>
  <c r="S518" i="31" s="1"/>
  <c r="R519" i="31"/>
  <c r="S519" i="31" s="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L16" i="3" s="1"/>
  <c r="BN17" i="3"/>
  <c r="BP13" i="3"/>
  <c r="BP14" i="3"/>
  <c r="BL14" i="3" s="1"/>
  <c r="BP15" i="3"/>
  <c r="BP16" i="3"/>
  <c r="BP17" i="3"/>
  <c r="E19"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8" i="31"/>
  <c r="S404" i="31"/>
  <c r="S396" i="31"/>
  <c r="S392" i="31"/>
  <c r="S388" i="31"/>
  <c r="S380" i="31"/>
  <c r="S376" i="31"/>
  <c r="S372"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18" i="31"/>
  <c r="S316" i="31"/>
  <c r="S314" i="31"/>
  <c r="S310" i="31"/>
  <c r="S308" i="31"/>
  <c r="S306" i="31"/>
  <c r="S302" i="31"/>
  <c r="S300" i="31"/>
  <c r="S298" i="31"/>
  <c r="S294" i="31"/>
  <c r="S292" i="31"/>
  <c r="S290" i="31"/>
  <c r="S286" i="31"/>
  <c r="S282"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4" i="31"/>
  <c r="S441" i="31"/>
  <c r="S440" i="31"/>
  <c r="S439" i="31"/>
  <c r="S437" i="31"/>
  <c r="S436" i="31"/>
  <c r="S433" i="31"/>
  <c r="S122" i="31"/>
  <c r="S121" i="31"/>
  <c r="S119" i="31"/>
  <c r="S118" i="31"/>
  <c r="S117" i="31"/>
  <c r="S115" i="31"/>
  <c r="S114" i="31"/>
  <c r="S113" i="31"/>
  <c r="S504" i="31"/>
  <c r="S500" i="31"/>
  <c r="S467" i="31"/>
  <c r="S465" i="31"/>
  <c r="S464" i="31"/>
  <c r="S461" i="31"/>
  <c r="S460" i="31"/>
  <c r="S457" i="31"/>
  <c r="S456" i="31"/>
  <c r="S453" i="31"/>
  <c r="S452" i="31"/>
  <c r="S451"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7" i="31"/>
  <c r="S448" i="31"/>
  <c r="S449" i="31"/>
  <c r="S509" i="31"/>
  <c r="S510"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K5" i="3" s="1"/>
  <c r="BM556" i="3"/>
  <c r="BN556" i="3"/>
  <c r="BO556" i="3"/>
  <c r="BP556" i="3"/>
  <c r="BQ556" i="3"/>
  <c r="BR556" i="3"/>
  <c r="BS556" i="3"/>
  <c r="BT556" i="3"/>
  <c r="H557" i="3"/>
  <c r="BB557" i="3"/>
  <c r="BC557" i="3"/>
  <c r="BD557" i="3"/>
  <c r="BA557" i="3" s="1"/>
  <c r="BE557" i="3"/>
  <c r="BF557" i="3"/>
  <c r="BG557" i="3"/>
  <c r="BH557" i="3"/>
  <c r="BI557" i="3"/>
  <c r="BJ557" i="3"/>
  <c r="BK557" i="3"/>
  <c r="BM557" i="3"/>
  <c r="BM5" i="3" s="1"/>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L561" i="3" s="1"/>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6" i="31"/>
  <c r="S517" i="31"/>
  <c r="S520" i="31"/>
  <c r="S521"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F73" i="37"/>
  <c r="D71" i="37"/>
  <c r="E71" i="37" s="1"/>
  <c r="F71" i="37" s="1"/>
  <c r="G71" i="37" s="1"/>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U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J13" i="36" s="1"/>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B75" i="35"/>
  <c r="J24" i="35" s="1"/>
  <c r="AC24" i="35"/>
  <c r="B73" i="35"/>
  <c r="J23" i="35" s="1"/>
  <c r="AC23" i="35" s="1"/>
  <c r="H23" i="35"/>
  <c r="U23" i="35" s="1"/>
  <c r="B57" i="35"/>
  <c r="B61" i="35"/>
  <c r="B59" i="35"/>
  <c r="F12" i="35" s="1"/>
  <c r="B131" i="34"/>
  <c r="H47" i="34" s="1"/>
  <c r="U47" i="34" s="1"/>
  <c r="B129" i="34"/>
  <c r="B127" i="34"/>
  <c r="B99" i="34"/>
  <c r="F32" i="34" s="1"/>
  <c r="B97" i="34"/>
  <c r="H31" i="34" s="1"/>
  <c r="B95" i="34"/>
  <c r="B93" i="34"/>
  <c r="B75" i="34"/>
  <c r="F14" i="34" s="1"/>
  <c r="B73" i="34"/>
  <c r="J13" i="34" s="1"/>
  <c r="W13" i="34" s="1"/>
  <c r="B71" i="34"/>
  <c r="J12" i="34" s="1"/>
  <c r="W12" i="34" s="1"/>
  <c r="B130" i="33"/>
  <c r="B128" i="33"/>
  <c r="J45" i="33" s="1"/>
  <c r="B126" i="33"/>
  <c r="F44" i="33" s="1"/>
  <c r="B98" i="33"/>
  <c r="B96" i="33"/>
  <c r="B94" i="33"/>
  <c r="F29" i="33" s="1"/>
  <c r="S29" i="33" s="1"/>
  <c r="B74" i="33"/>
  <c r="J14" i="33" s="1"/>
  <c r="AC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F39" i="33" s="1"/>
  <c r="AA39"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U34" i="34"/>
  <c r="H39" i="33"/>
  <c r="AB39" i="33" s="1"/>
  <c r="S40" i="33"/>
  <c r="W33" i="33"/>
  <c r="H39" i="37"/>
  <c r="AB39" i="37"/>
  <c r="S27" i="35"/>
  <c r="F11" i="40"/>
  <c r="AA11" i="40" s="1"/>
  <c r="H11" i="40"/>
  <c r="AB11" i="40"/>
  <c r="AA9" i="40"/>
  <c r="U9" i="40"/>
  <c r="S34" i="40"/>
  <c r="U34" i="40"/>
  <c r="F42" i="39"/>
  <c r="AA42" i="39" s="1"/>
  <c r="F41" i="39"/>
  <c r="S41" i="39" s="1"/>
  <c r="H40" i="39"/>
  <c r="AB40" i="39" s="1"/>
  <c r="H39" i="39"/>
  <c r="U39" i="39" s="1"/>
  <c r="S38" i="39"/>
  <c r="H34" i="39"/>
  <c r="E108" i="39"/>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AA27" i="39" s="1"/>
  <c r="F11" i="21"/>
  <c r="S11" i="21" s="1"/>
  <c r="S40" i="21"/>
  <c r="U34" i="21"/>
  <c r="C25" i="39"/>
  <c r="H11"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S44" i="39"/>
  <c r="F37" i="39"/>
  <c r="AA37" i="39" s="1"/>
  <c r="J34" i="36"/>
  <c r="W34" i="36" s="1"/>
  <c r="J30" i="35"/>
  <c r="W30" i="35" s="1"/>
  <c r="H30" i="35"/>
  <c r="AB30" i="35" s="1"/>
  <c r="F22" i="35"/>
  <c r="AA22" i="35"/>
  <c r="H10" i="35"/>
  <c r="U10" i="35" s="1"/>
  <c r="F33" i="36"/>
  <c r="AA33" i="36" s="1"/>
  <c r="H16" i="36"/>
  <c r="AB16" i="36" s="1"/>
  <c r="J85" i="36"/>
  <c r="K85" i="36" s="1"/>
  <c r="L85" i="36" s="1"/>
  <c r="M85" i="36" s="1"/>
  <c r="J29" i="36"/>
  <c r="AC29" i="36" s="1"/>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AB23" i="34" s="1"/>
  <c r="J23" i="34"/>
  <c r="F19" i="34"/>
  <c r="H17" i="34"/>
  <c r="U17" i="34" s="1"/>
  <c r="F15" i="34"/>
  <c r="AA15" i="34" s="1"/>
  <c r="J15" i="34"/>
  <c r="H15" i="34"/>
  <c r="AB15" i="34" s="1"/>
  <c r="W8" i="34"/>
  <c r="F41" i="33"/>
  <c r="S41" i="33" s="1"/>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F29" i="35"/>
  <c r="S29" i="35" s="1"/>
  <c r="H29" i="35"/>
  <c r="AB29" i="35" s="1"/>
  <c r="H33" i="37"/>
  <c r="F33" i="37"/>
  <c r="AA33" i="37" s="1"/>
  <c r="U34" i="37"/>
  <c r="S34" i="37"/>
  <c r="AA34" i="37"/>
  <c r="J43" i="34"/>
  <c r="AB42" i="34"/>
  <c r="J40" i="34"/>
  <c r="W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G113" i="33"/>
  <c r="H113" i="33"/>
  <c r="I113" i="33" s="1"/>
  <c r="J113" i="33" s="1"/>
  <c r="K113" i="33" s="1"/>
  <c r="L113" i="33" s="1"/>
  <c r="M113" i="33" s="1"/>
  <c r="H37" i="33"/>
  <c r="AB37" i="33"/>
  <c r="H15" i="33"/>
  <c r="AB15" i="33" s="1"/>
  <c r="H11" i="33"/>
  <c r="AB11" i="33" s="1"/>
  <c r="F28" i="40"/>
  <c r="AA28" i="40"/>
  <c r="AA29" i="35"/>
  <c r="AC38" i="34"/>
  <c r="AA38" i="34"/>
  <c r="J37" i="34"/>
  <c r="AC37" i="34" s="1"/>
  <c r="J11" i="33"/>
  <c r="W11" i="33" s="1"/>
  <c r="S28" i="34"/>
  <c r="J42" i="21"/>
  <c r="AC42" i="21"/>
  <c r="H42" i="21"/>
  <c r="U42" i="21" s="1"/>
  <c r="J44" i="34"/>
  <c r="F44" i="34"/>
  <c r="S44" i="34" s="1"/>
  <c r="J10" i="35"/>
  <c r="AC10" i="35" s="1"/>
  <c r="F14" i="21"/>
  <c r="S14" i="21" s="1"/>
  <c r="H28" i="21"/>
  <c r="AB28" i="21" s="1"/>
  <c r="F28" i="21"/>
  <c r="AA28" i="21" s="1"/>
  <c r="H30" i="21"/>
  <c r="AB30" i="21" s="1"/>
  <c r="U30" i="21"/>
  <c r="J44" i="21"/>
  <c r="H44" i="21"/>
  <c r="U44" i="21" s="1"/>
  <c r="F44" i="21"/>
  <c r="AA44" i="21" s="1"/>
  <c r="H46" i="21"/>
  <c r="U46" i="21" s="1"/>
  <c r="J46" i="21"/>
  <c r="F46" i="21"/>
  <c r="AA46" i="21"/>
  <c r="H28" i="33"/>
  <c r="U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J29" i="33"/>
  <c r="H29" i="33"/>
  <c r="U29" i="33" s="1"/>
  <c r="J31" i="33"/>
  <c r="W31" i="33" s="1"/>
  <c r="H31" i="33"/>
  <c r="F31" i="33"/>
  <c r="H45" i="33"/>
  <c r="U45" i="33" s="1"/>
  <c r="J14" i="34"/>
  <c r="W14" i="34" s="1"/>
  <c r="H14" i="34"/>
  <c r="U14" i="34" s="1"/>
  <c r="H30" i="34"/>
  <c r="F30" i="34"/>
  <c r="S30" i="34" s="1"/>
  <c r="J30" i="34"/>
  <c r="H32" i="34"/>
  <c r="AB32" i="34" s="1"/>
  <c r="H46" i="34"/>
  <c r="AB46" i="34" s="1"/>
  <c r="U46" i="34"/>
  <c r="F46" i="34"/>
  <c r="J46" i="34"/>
  <c r="H11" i="35"/>
  <c r="AB11" i="35" s="1"/>
  <c r="J11" i="35"/>
  <c r="F11" i="35"/>
  <c r="S11" i="35" s="1"/>
  <c r="J26" i="36"/>
  <c r="W26" i="36" s="1"/>
  <c r="H28" i="36"/>
  <c r="U28"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30" i="33"/>
  <c r="AB30" i="33"/>
  <c r="F30" i="33"/>
  <c r="J30" i="33"/>
  <c r="J44" i="33"/>
  <c r="J46" i="33"/>
  <c r="AC46" i="33"/>
  <c r="F46" i="33"/>
  <c r="AA46" i="33" s="1"/>
  <c r="H46" i="33"/>
  <c r="AB46" i="33"/>
  <c r="J29" i="34"/>
  <c r="AC29" i="34" s="1"/>
  <c r="F29" i="34"/>
  <c r="S29" i="34" s="1"/>
  <c r="H29" i="34"/>
  <c r="AB29" i="34" s="1"/>
  <c r="F31" i="34"/>
  <c r="S31" i="34" s="1"/>
  <c r="H45" i="34"/>
  <c r="U45" i="34" s="1"/>
  <c r="J45" i="34"/>
  <c r="W45" i="34"/>
  <c r="F45" i="34"/>
  <c r="S45" i="34" s="1"/>
  <c r="F13" i="35"/>
  <c r="J13" i="35"/>
  <c r="AC13" i="35"/>
  <c r="H13" i="35"/>
  <c r="U13" i="35" s="1"/>
  <c r="J35" i="35"/>
  <c r="AC35" i="35" s="1"/>
  <c r="F35" i="35"/>
  <c r="AA35" i="35" s="1"/>
  <c r="H35" i="35"/>
  <c r="J25" i="36"/>
  <c r="W25" i="36"/>
  <c r="F25" i="36"/>
  <c r="S25" i="36" s="1"/>
  <c r="H25" i="36"/>
  <c r="AB25" i="36"/>
  <c r="F28" i="37"/>
  <c r="AA28" i="37" s="1"/>
  <c r="J28" i="37"/>
  <c r="AC28" i="37" s="1"/>
  <c r="H28" i="37"/>
  <c r="H38" i="37"/>
  <c r="AB38" i="37" s="1"/>
  <c r="J38" i="37"/>
  <c r="AC38" i="37" s="1"/>
  <c r="F38" i="37"/>
  <c r="S38" i="37"/>
  <c r="F43" i="39"/>
  <c r="AA43" i="39" s="1"/>
  <c r="H43" i="39"/>
  <c r="F12" i="40"/>
  <c r="S12" i="40"/>
  <c r="H12" i="40"/>
  <c r="AB12" i="40" s="1"/>
  <c r="H30" i="40"/>
  <c r="AB30" i="40" s="1"/>
  <c r="F33" i="40"/>
  <c r="AA33" i="40" s="1"/>
  <c r="H33" i="40"/>
  <c r="U33" i="40"/>
  <c r="J35" i="40"/>
  <c r="AC35" i="40" s="1"/>
  <c r="J37" i="40"/>
  <c r="AC37" i="40" s="1"/>
  <c r="J13" i="40"/>
  <c r="W13" i="40" s="1"/>
  <c r="F14" i="37"/>
  <c r="AA14" i="37" s="1"/>
  <c r="F27" i="37"/>
  <c r="AA27" i="37" s="1"/>
  <c r="F13" i="39"/>
  <c r="J13" i="39"/>
  <c r="W13" i="39" s="1"/>
  <c r="H13" i="39"/>
  <c r="H14" i="40"/>
  <c r="AB14" i="40"/>
  <c r="J14" i="40"/>
  <c r="W14" i="40" s="1"/>
  <c r="F14" i="40"/>
  <c r="AA14" i="40" s="1"/>
  <c r="J14" i="37"/>
  <c r="J27" i="37"/>
  <c r="AC27" i="37" s="1"/>
  <c r="U46" i="33"/>
  <c r="J36" i="37"/>
  <c r="AC36" i="37" s="1"/>
  <c r="J10" i="36"/>
  <c r="AC10" i="36" s="1"/>
  <c r="S11" i="36"/>
  <c r="AB45" i="33"/>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2" i="3"/>
  <c r="G568" i="3"/>
  <c r="G560" i="3"/>
  <c r="G554" i="3"/>
  <c r="G550" i="3"/>
  <c r="BL576" i="3"/>
  <c r="BL572" i="3"/>
  <c r="BL554" i="3"/>
  <c r="BL546" i="3"/>
  <c r="BL542" i="3"/>
  <c r="BL538" i="3"/>
  <c r="BL534" i="3"/>
  <c r="BL530" i="3"/>
  <c r="BL526" i="3"/>
  <c r="BL522" i="3"/>
  <c r="BL516" i="3"/>
  <c r="BL512" i="3"/>
  <c r="BL506" i="3"/>
  <c r="BL502" i="3"/>
  <c r="BL498" i="3"/>
  <c r="BL494" i="3"/>
  <c r="BL578" i="3"/>
  <c r="BL574" i="3"/>
  <c r="BL562" i="3"/>
  <c r="BL552" i="3"/>
  <c r="BL544" i="3"/>
  <c r="BL540" i="3"/>
  <c r="AZ540" i="3" s="1"/>
  <c r="BL536" i="3"/>
  <c r="G533" i="3"/>
  <c r="BL532" i="3"/>
  <c r="G529" i="3"/>
  <c r="BL528" i="3"/>
  <c r="G525" i="3"/>
  <c r="BL524" i="3"/>
  <c r="BL518" i="3"/>
  <c r="BL514" i="3"/>
  <c r="BL510" i="3"/>
  <c r="BL504" i="3"/>
  <c r="BL500" i="3"/>
  <c r="BL496" i="3"/>
  <c r="G493" i="3"/>
  <c r="BA582" i="3"/>
  <c r="BA580" i="3"/>
  <c r="BA574" i="3"/>
  <c r="AZ574" i="3" s="1"/>
  <c r="BA572" i="3"/>
  <c r="AZ572" i="3" s="1"/>
  <c r="BA566" i="3"/>
  <c r="BA564" i="3"/>
  <c r="BA554" i="3"/>
  <c r="AZ554" i="3"/>
  <c r="BA552" i="3"/>
  <c r="AZ552" i="3" s="1"/>
  <c r="BA548" i="3"/>
  <c r="BA546" i="3"/>
  <c r="AZ546" i="3" s="1"/>
  <c r="BA544" i="3"/>
  <c r="AZ544" i="3" s="1"/>
  <c r="BA542" i="3"/>
  <c r="AZ542" i="3"/>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BA496" i="3"/>
  <c r="BA494" i="3"/>
  <c r="AZ494" i="3" s="1"/>
  <c r="BA583" i="3"/>
  <c r="BA581" i="3"/>
  <c r="BA575" i="3"/>
  <c r="BA573" i="3"/>
  <c r="BA567" i="3"/>
  <c r="BA559" i="3"/>
  <c r="BA555" i="3"/>
  <c r="BA553" i="3"/>
  <c r="BA549" i="3"/>
  <c r="BA547" i="3"/>
  <c r="BA545" i="3"/>
  <c r="BA543" i="3"/>
  <c r="BA541" i="3"/>
  <c r="BA539" i="3"/>
  <c r="BA537" i="3"/>
  <c r="AZ537" i="3" s="1"/>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5" i="3"/>
  <c r="G573" i="3"/>
  <c r="G571" i="3"/>
  <c r="G565" i="3"/>
  <c r="G563" i="3"/>
  <c r="G561" i="3"/>
  <c r="AC557" i="3"/>
  <c r="G557" i="3" s="1"/>
  <c r="BQ557" i="3"/>
  <c r="BQ583" i="3"/>
  <c r="BQ581" i="3"/>
  <c r="BL581" i="3"/>
  <c r="BQ579" i="3"/>
  <c r="BQ577" i="3"/>
  <c r="BL577" i="3" s="1"/>
  <c r="BQ575" i="3"/>
  <c r="BQ573" i="3"/>
  <c r="BQ571" i="3"/>
  <c r="BL571" i="3"/>
  <c r="BQ569" i="3"/>
  <c r="BQ567" i="3"/>
  <c r="BL567" i="3"/>
  <c r="BQ565" i="3"/>
  <c r="BQ563" i="3"/>
  <c r="BL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c r="BQ527" i="3"/>
  <c r="BL527" i="3" s="1"/>
  <c r="BQ525" i="3"/>
  <c r="BL525" i="3" s="1"/>
  <c r="AZ525" i="3" s="1"/>
  <c r="BQ523" i="3"/>
  <c r="BL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s="1"/>
  <c r="AZ505" i="3" s="1"/>
  <c r="BQ503" i="3"/>
  <c r="BL503" i="3" s="1"/>
  <c r="BQ501" i="3"/>
  <c r="BL501" i="3"/>
  <c r="AZ501" i="3" s="1"/>
  <c r="BQ499" i="3"/>
  <c r="BL499" i="3" s="1"/>
  <c r="BQ497" i="3"/>
  <c r="BL497" i="3" s="1"/>
  <c r="AZ497" i="3" s="1"/>
  <c r="BQ495" i="3"/>
  <c r="BL495" i="3" s="1"/>
  <c r="BQ493" i="3"/>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s="1"/>
  <c r="S27" i="31"/>
  <c r="S26" i="31"/>
  <c r="U14" i="40"/>
  <c r="U39" i="37"/>
  <c r="U26" i="37"/>
  <c r="AA13" i="33"/>
  <c r="U11"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BL374" i="3"/>
  <c r="G375" i="3"/>
  <c r="BA377" i="3"/>
  <c r="AZ377" i="3"/>
  <c r="AZ241" i="3"/>
  <c r="BA379" i="3"/>
  <c r="AZ379" i="3" s="1"/>
  <c r="BL380" i="3"/>
  <c r="G381" i="3"/>
  <c r="BA383" i="3"/>
  <c r="AZ383" i="3" s="1"/>
  <c r="BL384" i="3"/>
  <c r="G385" i="3"/>
  <c r="BA387" i="3"/>
  <c r="AZ387" i="3" s="1"/>
  <c r="BL388" i="3"/>
  <c r="G389" i="3"/>
  <c r="BA391" i="3"/>
  <c r="BL392" i="3"/>
  <c r="AZ392" i="3" s="1"/>
  <c r="G393" i="3"/>
  <c r="AZ506" i="3"/>
  <c r="AZ496" i="3"/>
  <c r="G548" i="3"/>
  <c r="G538" i="3"/>
  <c r="G520" i="3"/>
  <c r="G502" i="3"/>
  <c r="BI5" i="3"/>
  <c r="G17" i="3"/>
  <c r="BA17" i="3"/>
  <c r="AZ17" i="3" s="1"/>
  <c r="AZ350" i="3"/>
  <c r="AZ356" i="3"/>
  <c r="BA15" i="3"/>
  <c r="AZ380" i="3"/>
  <c r="AZ499" i="3"/>
  <c r="G509" i="3"/>
  <c r="BL493" i="3"/>
  <c r="AZ493" i="3" s="1"/>
  <c r="U36" i="40"/>
  <c r="F83" i="43"/>
  <c r="H85" i="43" s="1"/>
  <c r="F50" i="43"/>
  <c r="H54" i="43" s="1"/>
  <c r="F72" i="43"/>
  <c r="H75" i="43" s="1"/>
  <c r="U17" i="39"/>
  <c r="S14" i="35"/>
  <c r="U43" i="21"/>
  <c r="U35" i="21"/>
  <c r="AC35" i="21"/>
  <c r="AC11" i="39"/>
  <c r="W37" i="37"/>
  <c r="W44" i="34"/>
  <c r="AC44" i="34"/>
  <c r="S15"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59" i="3"/>
  <c r="AZ7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B34" i="36"/>
  <c r="U34" i="36"/>
  <c r="AB33" i="36"/>
  <c r="U33" i="36"/>
  <c r="AC12" i="39"/>
  <c r="W12" i="39"/>
  <c r="W12" i="33"/>
  <c r="AC12" i="33"/>
  <c r="U30" i="33"/>
  <c r="W28" i="37"/>
  <c r="S19" i="39"/>
  <c r="F12" i="33"/>
  <c r="H12" i="39"/>
  <c r="AB12" i="39" s="1"/>
  <c r="F39" i="40"/>
  <c r="AZ254" i="3"/>
  <c r="AZ18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U19" i="39"/>
  <c r="S17" i="39"/>
  <c r="S15" i="39"/>
  <c r="AA12" i="39"/>
  <c r="S9" i="39"/>
  <c r="U14" i="39"/>
  <c r="S23" i="36"/>
  <c r="U13" i="36"/>
  <c r="U26" i="36"/>
  <c r="S33" i="36"/>
  <c r="AA26" i="36"/>
  <c r="AA34" i="36"/>
  <c r="AA22" i="36"/>
  <c r="W14" i="36"/>
  <c r="AB14" i="36"/>
  <c r="U22" i="36"/>
  <c r="S16" i="36"/>
  <c r="AA25" i="36"/>
  <c r="AB20" i="36"/>
  <c r="U16" i="36"/>
  <c r="S14" i="36"/>
  <c r="S23" i="35"/>
  <c r="W24" i="35"/>
  <c r="AB13" i="35"/>
  <c r="U28" i="35"/>
  <c r="AB27" i="35"/>
  <c r="U36" i="35"/>
  <c r="U32" i="35"/>
  <c r="AA33" i="35"/>
  <c r="AC30" i="35"/>
  <c r="S32" i="35"/>
  <c r="AA36" i="35"/>
  <c r="S28" i="35"/>
  <c r="AB16" i="35"/>
  <c r="U22" i="35"/>
  <c r="S20" i="35"/>
  <c r="S22" i="35"/>
  <c r="AA11" i="35"/>
  <c r="AC9" i="35"/>
  <c r="W9" i="35"/>
  <c r="W13" i="35"/>
  <c r="F9" i="35"/>
  <c r="S9" i="35" s="1"/>
  <c r="H9" i="35"/>
  <c r="U9" i="35" s="1"/>
  <c r="AB40" i="37"/>
  <c r="S25" i="37"/>
  <c r="W27" i="37"/>
  <c r="AC29" i="37"/>
  <c r="U29" i="37"/>
  <c r="S32" i="37"/>
  <c r="AB31" i="37"/>
  <c r="W30" i="37"/>
  <c r="AA38" i="37"/>
  <c r="U32" i="37"/>
  <c r="W38" i="37"/>
  <c r="AC35" i="37"/>
  <c r="W39" i="37"/>
  <c r="S30" i="37"/>
  <c r="S37" i="37"/>
  <c r="AC15" i="37"/>
  <c r="J17" i="37"/>
  <c r="W17" i="37" s="1"/>
  <c r="G73" i="37"/>
  <c r="F17" i="37"/>
  <c r="AA17" i="37" s="1"/>
  <c r="AB17" i="37"/>
  <c r="F75" i="37"/>
  <c r="F19" i="37"/>
  <c r="S19" i="37" s="1"/>
  <c r="F23" i="37"/>
  <c r="S23" i="37" s="1"/>
  <c r="U23" i="37"/>
  <c r="U15"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S17" i="34"/>
  <c r="AA29" i="34"/>
  <c r="S23" i="34"/>
  <c r="U15" i="34"/>
  <c r="H10" i="34"/>
  <c r="AB10" i="34" s="1"/>
  <c r="F11" i="34"/>
  <c r="S11" i="34" s="1"/>
  <c r="F70" i="34"/>
  <c r="G70" i="34" s="1"/>
  <c r="H70" i="34" s="1"/>
  <c r="I70" i="34" s="1"/>
  <c r="J70" i="34" s="1"/>
  <c r="K70" i="34" s="1"/>
  <c r="L70" i="34" s="1"/>
  <c r="M70" i="34" s="1"/>
  <c r="W42" i="33"/>
  <c r="AA35" i="33"/>
  <c r="S32" i="33"/>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G81" i="33" s="1"/>
  <c r="F19" i="33"/>
  <c r="S19" i="33" s="1"/>
  <c r="W19" i="33"/>
  <c r="J17" i="33"/>
  <c r="W17" i="33" s="1"/>
  <c r="F79" i="33"/>
  <c r="G79" i="33" s="1"/>
  <c r="U9" i="33"/>
  <c r="J10" i="33"/>
  <c r="W10" i="33" s="1"/>
  <c r="H10" i="33"/>
  <c r="U10" i="33" s="1"/>
  <c r="AC11" i="33"/>
  <c r="W43" i="21"/>
  <c r="W36" i="21"/>
  <c r="W41" i="21"/>
  <c r="AB39" i="21"/>
  <c r="AA43" i="21"/>
  <c r="AA38" i="21"/>
  <c r="AA36" i="21"/>
  <c r="AC40" i="21"/>
  <c r="J15" i="21"/>
  <c r="W15" i="21" s="1"/>
  <c r="F77" i="21"/>
  <c r="G77" i="21" s="1"/>
  <c r="F23" i="21"/>
  <c r="S23" i="21" s="1"/>
  <c r="E85" i="21"/>
  <c r="AA14" i="21"/>
  <c r="D120" i="9"/>
  <c r="D121" i="9" s="1"/>
  <c r="D7" i="52" s="1"/>
  <c r="C18" i="9"/>
  <c r="D18" i="9" s="1"/>
  <c r="F34" i="15"/>
  <c r="F62" i="15" s="1"/>
  <c r="G13" i="3"/>
  <c r="BL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G1" i="69"/>
  <c r="G1" i="67"/>
  <c r="W23" i="40"/>
  <c r="U32" i="40"/>
  <c r="AB31" i="40"/>
  <c r="S37" i="40"/>
  <c r="AB28" i="40"/>
  <c r="W28" i="40"/>
  <c r="W34" i="40"/>
  <c r="W19" i="40"/>
  <c r="W27" i="40"/>
  <c r="S36" i="40"/>
  <c r="S33" i="40"/>
  <c r="AA15" i="40"/>
  <c r="U11" i="40"/>
  <c r="S31" i="40"/>
  <c r="U15" i="40"/>
  <c r="AB17" i="40"/>
  <c r="U8" i="40"/>
  <c r="S8" i="40"/>
  <c r="AC41" i="39"/>
  <c r="U42" i="39"/>
  <c r="U41" i="39"/>
  <c r="W25" i="39"/>
  <c r="AC25" i="39"/>
  <c r="U13" i="39"/>
  <c r="AB13" i="39"/>
  <c r="AA13" i="39"/>
  <c r="S13" i="39"/>
  <c r="U43" i="39"/>
  <c r="AB43" i="39"/>
  <c r="AB11" i="39"/>
  <c r="U11" i="39"/>
  <c r="W17" i="39"/>
  <c r="AC17" i="39"/>
  <c r="W31" i="39"/>
  <c r="AC31" i="39"/>
  <c r="AA45" i="39"/>
  <c r="AB39" i="39"/>
  <c r="W34" i="39"/>
  <c r="U38" i="39"/>
  <c r="S8" i="39"/>
  <c r="S20" i="36"/>
  <c r="AC25" i="36"/>
  <c r="W29" i="36"/>
  <c r="U25" i="36"/>
  <c r="AB28" i="36"/>
  <c r="W9" i="36"/>
  <c r="W22" i="36"/>
  <c r="AB20" i="35"/>
  <c r="S24" i="35"/>
  <c r="U24" i="35"/>
  <c r="S35" i="35"/>
  <c r="W35" i="35"/>
  <c r="AA16" i="35"/>
  <c r="AA35" i="37"/>
  <c r="W36" i="37"/>
  <c r="S27" i="37"/>
  <c r="W32" i="37"/>
  <c r="U36" i="37"/>
  <c r="S40" i="37"/>
  <c r="U38" i="37"/>
  <c r="AB37" i="37"/>
  <c r="AC34" i="37"/>
  <c r="AB35" i="37"/>
  <c r="AA31" i="37"/>
  <c r="U19" i="37"/>
  <c r="U8" i="37"/>
  <c r="AB40" i="34"/>
  <c r="U19" i="34"/>
  <c r="W19" i="34"/>
  <c r="AC45" i="34"/>
  <c r="AA30" i="34"/>
  <c r="AB45" i="34"/>
  <c r="AB47" i="34"/>
  <c r="U25" i="34"/>
  <c r="AB36" i="34"/>
  <c r="AC14" i="34"/>
  <c r="W46" i="34"/>
  <c r="AC46" i="34"/>
  <c r="S32" i="34"/>
  <c r="AA32" i="34"/>
  <c r="U30" i="34"/>
  <c r="AB30" i="34"/>
  <c r="S37" i="34"/>
  <c r="U38" i="34"/>
  <c r="AC40" i="34"/>
  <c r="AA19" i="34"/>
  <c r="S19" i="34"/>
  <c r="AA36" i="34"/>
  <c r="S36" i="34"/>
  <c r="AA8" i="34"/>
  <c r="S8" i="34"/>
  <c r="AB9" i="34"/>
  <c r="U9" i="34"/>
  <c r="S46" i="34"/>
  <c r="AA46" i="34"/>
  <c r="U32" i="34"/>
  <c r="AC43" i="34"/>
  <c r="W43" i="34"/>
  <c r="W23" i="34"/>
  <c r="AC23" i="34"/>
  <c r="AC35" i="34"/>
  <c r="W35" i="34"/>
  <c r="U12" i="34"/>
  <c r="AB12" i="34"/>
  <c r="AC37" i="33"/>
  <c r="W46" i="33"/>
  <c r="U38" i="33"/>
  <c r="S30" i="33"/>
  <c r="AA30" i="33"/>
  <c r="W14" i="33"/>
  <c r="AC30" i="33"/>
  <c r="W30" i="33"/>
  <c r="S31" i="33"/>
  <c r="AA31" i="33"/>
  <c r="W13" i="33"/>
  <c r="AC13" i="33"/>
  <c r="U37" i="33"/>
  <c r="W9" i="33"/>
  <c r="S44"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s="1"/>
  <c r="AC19" i="21"/>
  <c r="W39" i="21"/>
  <c r="S46" i="21"/>
  <c r="H45" i="21"/>
  <c r="U45" i="21" s="1"/>
  <c r="F29" i="21"/>
  <c r="AA29" i="21" s="1"/>
  <c r="F13" i="21"/>
  <c r="AA13" i="21" s="1"/>
  <c r="AC38" i="21"/>
  <c r="H32" i="21"/>
  <c r="H9" i="21"/>
  <c r="AB9" i="21" s="1"/>
  <c r="J9" i="21"/>
  <c r="AC9" i="21" s="1"/>
  <c r="J32" i="21"/>
  <c r="W32" i="21" s="1"/>
  <c r="F32" i="21"/>
  <c r="AA31" i="21"/>
  <c r="U17" i="21"/>
  <c r="W29" i="21"/>
  <c r="S9" i="21"/>
  <c r="AA9" i="21"/>
  <c r="K141" i="21"/>
  <c r="K144" i="21"/>
  <c r="K143" i="21"/>
  <c r="U27" i="21"/>
  <c r="AB25" i="21"/>
  <c r="AB44" i="21"/>
  <c r="W13" i="21"/>
  <c r="W42" i="21"/>
  <c r="AC45" i="21"/>
  <c r="F10" i="21"/>
  <c r="AA10" i="21" s="1"/>
  <c r="K145" i="21"/>
  <c r="W25" i="21"/>
  <c r="W31" i="21"/>
  <c r="S27" i="21"/>
  <c r="S17" i="21"/>
  <c r="AA15" i="21"/>
  <c r="AC27" i="21"/>
  <c r="AC26" i="21"/>
  <c r="AB29" i="21"/>
  <c r="AC34"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J23" i="37"/>
  <c r="W23" i="37" s="1"/>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G91" i="33"/>
  <c r="H91" i="33" s="1"/>
  <c r="I91" i="33" s="1"/>
  <c r="J91" i="33" s="1"/>
  <c r="K91" i="33" s="1"/>
  <c r="L91" i="33" s="1"/>
  <c r="M91" i="33" s="1"/>
  <c r="J27" i="33"/>
  <c r="W27" i="33" s="1"/>
  <c r="AA25" i="33"/>
  <c r="G87" i="33"/>
  <c r="H87" i="33"/>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S13" i="21"/>
  <c r="AP7" i="1"/>
  <c r="AB45" i="21"/>
  <c r="AA32" i="21"/>
  <c r="S32" i="21"/>
  <c r="W9" i="21"/>
  <c r="AB32" i="21"/>
  <c r="U32" i="21"/>
  <c r="U32" i="39"/>
  <c r="AC32" i="39"/>
  <c r="W32" i="39"/>
  <c r="J11" i="37"/>
  <c r="AC11" i="37" s="1"/>
  <c r="J11" i="34"/>
  <c r="W11" i="34" s="1"/>
  <c r="W25" i="33"/>
  <c r="AB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81"/>
  <c r="F6" i="73"/>
  <c r="F8" i="67"/>
  <c r="F6" i="67"/>
  <c r="F43" i="67"/>
  <c r="F3" i="73"/>
  <c r="E13" i="76"/>
  <c r="E10" i="76"/>
  <c r="B13" i="76"/>
  <c r="C19" i="9"/>
  <c r="E7" i="76"/>
  <c r="F37" i="67"/>
  <c r="E11" i="76"/>
  <c r="F40" i="67"/>
  <c r="F16" i="67"/>
  <c r="M6" i="67"/>
  <c r="B12" i="76"/>
  <c r="E8" i="76"/>
  <c r="B9" i="76"/>
  <c r="J15" i="67"/>
  <c r="F38" i="67"/>
  <c r="M23" i="67"/>
  <c r="F5" i="73"/>
  <c r="F20" i="31"/>
  <c r="B10" i="76"/>
  <c r="F4" i="73"/>
  <c r="M29" i="67"/>
  <c r="M26" i="67"/>
  <c r="B8" i="76"/>
  <c r="C76" i="67"/>
  <c r="F7" i="73"/>
  <c r="C20" i="9"/>
  <c r="F26" i="67"/>
  <c r="M24" i="67"/>
  <c r="F9" i="67"/>
  <c r="E2" i="69"/>
  <c r="M22" i="67"/>
  <c r="E2" i="68"/>
  <c r="F13" i="67"/>
  <c r="E12" i="76"/>
  <c r="AO13" i="1"/>
  <c r="B7" i="76"/>
  <c r="B11" i="76"/>
  <c r="F42" i="67"/>
  <c r="M28" i="67"/>
  <c r="F7" i="67"/>
  <c r="M8" i="67"/>
  <c r="L47" i="67"/>
  <c r="E9" i="76"/>
  <c r="D6" i="73"/>
  <c r="C51" i="10" l="1"/>
  <c r="A13" i="51" s="1"/>
  <c r="B11" i="72" s="1"/>
  <c r="A118" i="85"/>
  <c r="A118" i="84"/>
  <c r="A2" i="84"/>
  <c r="A2" i="85"/>
  <c r="S28" i="33"/>
  <c r="S11" i="33"/>
  <c r="E117" i="33"/>
  <c r="F117" i="33" s="1"/>
  <c r="G117" i="33" s="1"/>
  <c r="J39" i="33"/>
  <c r="AC39" i="33" s="1"/>
  <c r="AB36" i="33"/>
  <c r="S33" i="33"/>
  <c r="U33" i="33"/>
  <c r="U39" i="33"/>
  <c r="S39" i="33"/>
  <c r="AB28" i="33"/>
  <c r="AC28" i="33"/>
  <c r="S27" i="33"/>
  <c r="U27" i="33"/>
  <c r="S15" i="33"/>
  <c r="W15" i="33"/>
  <c r="U15" i="33"/>
  <c r="W8" i="33"/>
  <c r="L60" i="81"/>
  <c r="I54" i="81"/>
  <c r="L57" i="81"/>
  <c r="J57" i="81"/>
  <c r="J55" i="81" s="1"/>
  <c r="J58" i="81" s="1"/>
  <c r="Q50" i="81" s="1"/>
  <c r="L56" i="81"/>
  <c r="J53" i="81"/>
  <c r="L58" i="81"/>
  <c r="G7" i="1"/>
  <c r="D51" i="43"/>
  <c r="D55" i="43"/>
  <c r="D53" i="43"/>
  <c r="F6" i="1"/>
  <c r="BJ5" i="3"/>
  <c r="BS5" i="3"/>
  <c r="BR5" i="3"/>
  <c r="F20" i="6"/>
  <c r="E20" i="6" s="1"/>
  <c r="K7" i="1" s="1"/>
  <c r="M7" i="1" s="1"/>
  <c r="O7" i="1" s="1"/>
  <c r="P7" i="1" s="1"/>
  <c r="M20" i="67"/>
  <c r="F34" i="67"/>
  <c r="F62" i="67" s="1"/>
  <c r="C40" i="69"/>
  <c r="C21" i="68"/>
  <c r="D23" i="15"/>
  <c r="G1" i="15"/>
  <c r="B6" i="1"/>
  <c r="E6" i="1" s="1"/>
  <c r="K6" i="1"/>
  <c r="AP6" i="1" s="1"/>
  <c r="BA13" i="3"/>
  <c r="BH5" i="3"/>
  <c r="BT5" i="3"/>
  <c r="G28" i="6" s="1"/>
  <c r="AZ557" i="3"/>
  <c r="AZ564" i="3"/>
  <c r="AC22" i="35"/>
  <c r="W22" i="35"/>
  <c r="F32" i="36"/>
  <c r="H32" i="36"/>
  <c r="BL564" i="3"/>
  <c r="BO5" i="3"/>
  <c r="F29" i="6" s="1"/>
  <c r="BL558" i="3"/>
  <c r="AZ558" i="3" s="1"/>
  <c r="BG5" i="3"/>
  <c r="AC44" i="33"/>
  <c r="W44" i="33"/>
  <c r="AC44" i="21"/>
  <c r="W44" i="21"/>
  <c r="S44" i="33"/>
  <c r="AA44" i="33"/>
  <c r="H25" i="35"/>
  <c r="J25" i="35"/>
  <c r="G564" i="3"/>
  <c r="H5" i="3"/>
  <c r="BA562" i="3"/>
  <c r="BA561" i="3"/>
  <c r="AZ561" i="3" s="1"/>
  <c r="BF5" i="3"/>
  <c r="BA560" i="3"/>
  <c r="BP5" i="3"/>
  <c r="BA556" i="3"/>
  <c r="AZ556" i="3" s="1"/>
  <c r="AC27" i="33"/>
  <c r="AC23" i="37"/>
  <c r="U9" i="21"/>
  <c r="D6" i="52"/>
  <c r="AC17" i="33"/>
  <c r="S36" i="33"/>
  <c r="AA23" i="37"/>
  <c r="S17" i="37"/>
  <c r="S28" i="21"/>
  <c r="S19" i="21"/>
  <c r="AB42" i="21"/>
  <c r="AB14" i="34"/>
  <c r="W29" i="34"/>
  <c r="W33" i="34"/>
  <c r="AB33" i="34"/>
  <c r="AA40" i="34"/>
  <c r="S28" i="37"/>
  <c r="S23" i="39"/>
  <c r="S42" i="33"/>
  <c r="W38" i="33"/>
  <c r="S43" i="34"/>
  <c r="AC20" i="35"/>
  <c r="S30" i="40"/>
  <c r="AZ14" i="3"/>
  <c r="AC13" i="34"/>
  <c r="AB23" i="35"/>
  <c r="AZ391" i="3"/>
  <c r="AZ364" i="3"/>
  <c r="AZ346" i="3"/>
  <c r="AC13" i="40"/>
  <c r="AZ498" i="3"/>
  <c r="AZ528" i="3"/>
  <c r="AZ582" i="3"/>
  <c r="AZ502" i="3"/>
  <c r="BL560" i="3"/>
  <c r="J13" i="37"/>
  <c r="J47" i="34"/>
  <c r="J31" i="34"/>
  <c r="F13" i="34"/>
  <c r="H44" i="33"/>
  <c r="J32" i="36"/>
  <c r="W32" i="36" s="1"/>
  <c r="AA44" i="34"/>
  <c r="U23" i="34"/>
  <c r="H14" i="21"/>
  <c r="J14" i="21"/>
  <c r="W28" i="21"/>
  <c r="AC28" i="21"/>
  <c r="F30" i="21"/>
  <c r="J30" i="21"/>
  <c r="AA38" i="33"/>
  <c r="S38" i="33"/>
  <c r="W45" i="33"/>
  <c r="AC45" i="33"/>
  <c r="S14" i="34"/>
  <c r="AA14" i="34"/>
  <c r="H23" i="36"/>
  <c r="J23" i="36"/>
  <c r="J39" i="40"/>
  <c r="H39" i="40"/>
  <c r="U30" i="36"/>
  <c r="AB30" i="36"/>
  <c r="BL584" i="3"/>
  <c r="BA584" i="3"/>
  <c r="AZ584" i="3" s="1"/>
  <c r="BL582" i="3"/>
  <c r="BL580" i="3"/>
  <c r="AZ580" i="3" s="1"/>
  <c r="BL579" i="3"/>
  <c r="BA579" i="3"/>
  <c r="AZ579" i="3" s="1"/>
  <c r="BA578" i="3"/>
  <c r="BA577" i="3"/>
  <c r="BA576" i="3"/>
  <c r="AZ576" i="3" s="1"/>
  <c r="BL575" i="3"/>
  <c r="AZ575" i="3" s="1"/>
  <c r="BA571" i="3"/>
  <c r="AZ571" i="3" s="1"/>
  <c r="BL570" i="3"/>
  <c r="BA570" i="3"/>
  <c r="BA569" i="3"/>
  <c r="BL568" i="3"/>
  <c r="BA568" i="3"/>
  <c r="AZ568" i="3" s="1"/>
  <c r="BL566" i="3"/>
  <c r="AZ566" i="3" s="1"/>
  <c r="U23" i="33"/>
  <c r="AB25" i="33"/>
  <c r="AA19" i="37"/>
  <c r="W17" i="21"/>
  <c r="AB34" i="33"/>
  <c r="S27" i="39"/>
  <c r="AC14" i="40"/>
  <c r="S39" i="21"/>
  <c r="U42" i="33"/>
  <c r="AA13" i="37"/>
  <c r="U29" i="35"/>
  <c r="U12" i="39"/>
  <c r="W19" i="39"/>
  <c r="AA27" i="40"/>
  <c r="AB27" i="40"/>
  <c r="BB5" i="3"/>
  <c r="E14" i="6" s="1"/>
  <c r="E63" i="39" s="1"/>
  <c r="BC5" i="3"/>
  <c r="BN5" i="3"/>
  <c r="AZ362" i="3"/>
  <c r="AZ311" i="3"/>
  <c r="AC5" i="3"/>
  <c r="AZ539" i="3"/>
  <c r="BL565" i="3"/>
  <c r="AZ565" i="3" s="1"/>
  <c r="AZ577" i="3"/>
  <c r="AZ500" i="3"/>
  <c r="AZ548" i="3"/>
  <c r="F14" i="39"/>
  <c r="H13" i="37"/>
  <c r="F47" i="34"/>
  <c r="H13" i="34"/>
  <c r="U13" i="34" s="1"/>
  <c r="F14" i="33"/>
  <c r="W11" i="35"/>
  <c r="AC11" i="35"/>
  <c r="W8" i="40"/>
  <c r="BL587" i="3"/>
  <c r="BA587" i="3"/>
  <c r="BL586" i="3"/>
  <c r="AZ586" i="3" s="1"/>
  <c r="J26" i="33"/>
  <c r="F26" i="33"/>
  <c r="H26" i="33"/>
  <c r="AC9" i="34"/>
  <c r="W9" i="34"/>
  <c r="J27" i="34"/>
  <c r="H27" i="34"/>
  <c r="U12" i="36"/>
  <c r="AB12" i="36"/>
  <c r="J12" i="36"/>
  <c r="F12" i="36"/>
  <c r="H13" i="40"/>
  <c r="F13" i="40"/>
  <c r="AB36" i="21"/>
  <c r="AA31" i="34"/>
  <c r="AA29" i="37"/>
  <c r="AC20" i="36"/>
  <c r="AA39" i="39"/>
  <c r="W37" i="40"/>
  <c r="S36" i="37"/>
  <c r="U14" i="35"/>
  <c r="AC26" i="36"/>
  <c r="AC13" i="39"/>
  <c r="BE5" i="3"/>
  <c r="AZ388" i="3"/>
  <c r="AZ334" i="3"/>
  <c r="AZ336" i="3"/>
  <c r="AZ204" i="3"/>
  <c r="S11" i="39"/>
  <c r="AA11" i="39"/>
  <c r="AC31" i="33"/>
  <c r="AA36" i="39"/>
  <c r="AZ529" i="3"/>
  <c r="BL556" i="3"/>
  <c r="S35" i="39"/>
  <c r="S14" i="37"/>
  <c r="J14" i="39"/>
  <c r="AC14" i="39" s="1"/>
  <c r="F25" i="35"/>
  <c r="H14" i="33"/>
  <c r="AC11" i="40"/>
  <c r="AA41" i="33"/>
  <c r="U34" i="39"/>
  <c r="AB34" i="39"/>
  <c r="B97" i="43"/>
  <c r="B75" i="43"/>
  <c r="AB35" i="33"/>
  <c r="U35" i="33"/>
  <c r="W27" i="35"/>
  <c r="AC27" i="35"/>
  <c r="AZ476" i="3"/>
  <c r="J24" i="36"/>
  <c r="H24" i="36"/>
  <c r="W31" i="35"/>
  <c r="AC31" i="35"/>
  <c r="AZ400" i="3"/>
  <c r="AZ469" i="3"/>
  <c r="AZ357" i="3"/>
  <c r="AZ322" i="3"/>
  <c r="AZ313" i="3"/>
  <c r="AZ394" i="3"/>
  <c r="W23" i="35"/>
  <c r="AZ519" i="3"/>
  <c r="AZ531" i="3"/>
  <c r="BL559" i="3"/>
  <c r="AZ559" i="3" s="1"/>
  <c r="BL573" i="3"/>
  <c r="AZ573" i="3" s="1"/>
  <c r="BL583" i="3"/>
  <c r="AZ583" i="3" s="1"/>
  <c r="F13" i="36"/>
  <c r="J32" i="34"/>
  <c r="F45" i="33"/>
  <c r="S42" i="34"/>
  <c r="F24" i="36"/>
  <c r="W30" i="36"/>
  <c r="S34" i="39"/>
  <c r="W31" i="40"/>
  <c r="G587" i="3"/>
  <c r="F9" i="33"/>
  <c r="AA9" i="33" s="1"/>
  <c r="J12" i="35"/>
  <c r="BA551" i="3"/>
  <c r="AZ551" i="3" s="1"/>
  <c r="BA550" i="3"/>
  <c r="AZ550" i="3" s="1"/>
  <c r="BL548" i="3"/>
  <c r="AZ347" i="3"/>
  <c r="AZ183" i="3"/>
  <c r="H28" i="34"/>
  <c r="AZ523" i="3"/>
  <c r="AZ547" i="3"/>
  <c r="BL569" i="3"/>
  <c r="BL557" i="3"/>
  <c r="AZ516" i="3"/>
  <c r="J28" i="34"/>
  <c r="S40" i="39"/>
  <c r="BL585" i="3"/>
  <c r="AZ585" i="3" s="1"/>
  <c r="F38" i="40"/>
  <c r="H38" i="40"/>
  <c r="G556" i="3"/>
  <c r="G399" i="3"/>
  <c r="BL400" i="3"/>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A277" i="3"/>
  <c r="BL277" i="3"/>
  <c r="G558" i="3"/>
  <c r="BL398" i="3"/>
  <c r="G402" i="3"/>
  <c r="BL403" i="3"/>
  <c r="G406" i="3"/>
  <c r="BA408" i="3"/>
  <c r="BA409" i="3"/>
  <c r="AZ409" i="3" s="1"/>
  <c r="BA411" i="3"/>
  <c r="AZ411" i="3" s="1"/>
  <c r="BL414" i="3"/>
  <c r="BL415" i="3"/>
  <c r="BA417" i="3"/>
  <c r="AZ417" i="3" s="1"/>
  <c r="BL421" i="3"/>
  <c r="BL422" i="3"/>
  <c r="AZ422" i="3" s="1"/>
  <c r="BL425" i="3"/>
  <c r="BL426" i="3"/>
  <c r="AZ426" i="3" s="1"/>
  <c r="BA428" i="3"/>
  <c r="BA429" i="3"/>
  <c r="AZ429" i="3" s="1"/>
  <c r="BA430" i="3"/>
  <c r="AZ430" i="3" s="1"/>
  <c r="BA432" i="3"/>
  <c r="AZ432" i="3" s="1"/>
  <c r="BA434" i="3"/>
  <c r="BA436" i="3"/>
  <c r="BA438" i="3"/>
  <c r="G443" i="3"/>
  <c r="BA446" i="3"/>
  <c r="BA450" i="3"/>
  <c r="BA453" i="3"/>
  <c r="AZ453" i="3" s="1"/>
  <c r="BA455" i="3"/>
  <c r="AZ455" i="3" s="1"/>
  <c r="BL457" i="3"/>
  <c r="BL460" i="3"/>
  <c r="BL461" i="3"/>
  <c r="BL463" i="3"/>
  <c r="AZ463" i="3" s="1"/>
  <c r="BA471" i="3"/>
  <c r="AZ471" i="3" s="1"/>
  <c r="BL317" i="3"/>
  <c r="BA349" i="3"/>
  <c r="AZ349" i="3" s="1"/>
  <c r="BA353" i="3"/>
  <c r="AZ353" i="3" s="1"/>
  <c r="BL353" i="3"/>
  <c r="BA358" i="3"/>
  <c r="AZ358" i="3" s="1"/>
  <c r="BL365" i="3"/>
  <c r="AZ365" i="3" s="1"/>
  <c r="BA368" i="3"/>
  <c r="AZ368" i="3" s="1"/>
  <c r="BL368" i="3"/>
  <c r="BA374" i="3"/>
  <c r="AZ374" i="3" s="1"/>
  <c r="BA388" i="3"/>
  <c r="BA396" i="3"/>
  <c r="BA209" i="3"/>
  <c r="BL217" i="3"/>
  <c r="AZ217" i="3" s="1"/>
  <c r="BA219" i="3"/>
  <c r="AZ219" i="3" s="1"/>
  <c r="BA221" i="3"/>
  <c r="BA223" i="3"/>
  <c r="BL228" i="3"/>
  <c r="AZ228" i="3" s="1"/>
  <c r="BA230" i="3"/>
  <c r="AZ230" i="3" s="1"/>
  <c r="BL232" i="3"/>
  <c r="BL234" i="3"/>
  <c r="BA236" i="3"/>
  <c r="BA238" i="3"/>
  <c r="BA243" i="3"/>
  <c r="BL248" i="3"/>
  <c r="AZ248" i="3" s="1"/>
  <c r="BL250" i="3"/>
  <c r="AZ250" i="3" s="1"/>
  <c r="BL260" i="3"/>
  <c r="BL264" i="3"/>
  <c r="BL550" i="3"/>
  <c r="BL15" i="3"/>
  <c r="AZ15" i="3" s="1"/>
  <c r="BA398" i="3"/>
  <c r="AZ398" i="3" s="1"/>
  <c r="BA399" i="3"/>
  <c r="AZ399" i="3" s="1"/>
  <c r="BL401" i="3"/>
  <c r="AZ401" i="3" s="1"/>
  <c r="BL404" i="3"/>
  <c r="AZ404" i="3" s="1"/>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G450" i="3"/>
  <c r="G451" i="3"/>
  <c r="BA454" i="3"/>
  <c r="AZ454" i="3" s="1"/>
  <c r="BA457" i="3"/>
  <c r="AZ457" i="3" s="1"/>
  <c r="BA459" i="3"/>
  <c r="BA460" i="3"/>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G258" i="3"/>
  <c r="BL267" i="3"/>
  <c r="BA268" i="3"/>
  <c r="BL278" i="3"/>
  <c r="AZ403" i="3"/>
  <c r="AZ405" i="3"/>
  <c r="AZ419" i="3"/>
  <c r="AZ444" i="3"/>
  <c r="AZ448" i="3"/>
  <c r="AZ464"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AZ236" i="3" s="1"/>
  <c r="G237" i="3"/>
  <c r="BL238" i="3"/>
  <c r="G239" i="3"/>
  <c r="BL243" i="3"/>
  <c r="G244" i="3"/>
  <c r="BA247" i="3"/>
  <c r="AZ247" i="3" s="1"/>
  <c r="BL247" i="3"/>
  <c r="BA249" i="3"/>
  <c r="AZ249" i="3" s="1"/>
  <c r="BL249" i="3"/>
  <c r="BA251" i="3"/>
  <c r="AZ251" i="3" s="1"/>
  <c r="BL251" i="3"/>
  <c r="BA253" i="3"/>
  <c r="BA258" i="3"/>
  <c r="G266" i="3"/>
  <c r="G270" i="3"/>
  <c r="BL270" i="3"/>
  <c r="AZ270" i="3" s="1"/>
  <c r="BA272" i="3"/>
  <c r="AZ272" i="3" s="1"/>
  <c r="BL275" i="3"/>
  <c r="AZ275" i="3" s="1"/>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54" i="3"/>
  <c r="G156" i="3"/>
  <c r="BL157" i="3"/>
  <c r="AZ157" i="3" s="1"/>
  <c r="BL159" i="3"/>
  <c r="AZ159" i="3" s="1"/>
  <c r="BL177" i="3"/>
  <c r="AZ177" i="3" s="1"/>
  <c r="G179" i="3"/>
  <c r="BL183" i="3"/>
  <c r="BA186" i="3"/>
  <c r="AZ186" i="3" s="1"/>
  <c r="BA190" i="3"/>
  <c r="AZ190" i="3" s="1"/>
  <c r="G196" i="3"/>
  <c r="BA197" i="3"/>
  <c r="AZ197" i="3" s="1"/>
  <c r="BL201" i="3"/>
  <c r="AZ201" i="3" s="1"/>
  <c r="BL203" i="3"/>
  <c r="AZ203" i="3" s="1"/>
  <c r="BA204" i="3"/>
  <c r="BA18" i="3"/>
  <c r="G21" i="3"/>
  <c r="BL21" i="3"/>
  <c r="BA22" i="3"/>
  <c r="BA25" i="3"/>
  <c r="BA26" i="3"/>
  <c r="G28" i="3"/>
  <c r="BL28" i="3"/>
  <c r="BA29" i="3"/>
  <c r="BA31" i="3"/>
  <c r="BA32" i="3"/>
  <c r="G37" i="3"/>
  <c r="BA42" i="3"/>
  <c r="BL69" i="3"/>
  <c r="AZ69" i="3" s="1"/>
  <c r="G89" i="3"/>
  <c r="BA98" i="3"/>
  <c r="D31" i="71"/>
  <c r="C32" i="71"/>
  <c r="C55" i="71"/>
  <c r="D54" i="71"/>
  <c r="N67" i="71"/>
  <c r="B66" i="71"/>
  <c r="F66" i="71"/>
  <c r="Q67" i="71"/>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AZ134" i="3" s="1"/>
  <c r="BL137" i="3"/>
  <c r="G143" i="3"/>
  <c r="BA146" i="3"/>
  <c r="AZ146" i="3" s="1"/>
  <c r="BA150" i="3"/>
  <c r="G159" i="3"/>
  <c r="BL167" i="3"/>
  <c r="AZ167" i="3" s="1"/>
  <c r="G175" i="3"/>
  <c r="G176" i="3"/>
  <c r="BL178" i="3"/>
  <c r="AZ178" i="3" s="1"/>
  <c r="BA180" i="3"/>
  <c r="AZ180" i="3" s="1"/>
  <c r="BL182" i="3"/>
  <c r="G183" i="3"/>
  <c r="BA185" i="3"/>
  <c r="BL191" i="3"/>
  <c r="AZ191" i="3" s="1"/>
  <c r="G192" i="3"/>
  <c r="BA193" i="3"/>
  <c r="AZ193" i="3" s="1"/>
  <c r="BA196" i="3"/>
  <c r="AZ196" i="3" s="1"/>
  <c r="BA205" i="3"/>
  <c r="AZ205" i="3" s="1"/>
  <c r="G20" i="3"/>
  <c r="BL20" i="3"/>
  <c r="AZ20" i="3" s="1"/>
  <c r="BA21" i="3"/>
  <c r="BL25" i="3"/>
  <c r="BA28" i="3"/>
  <c r="AZ28" i="3" s="1"/>
  <c r="BL30" i="3"/>
  <c r="BL31" i="3"/>
  <c r="AZ301" i="3"/>
  <c r="BA184" i="3"/>
  <c r="AZ184" i="3" s="1"/>
  <c r="G27" i="3"/>
  <c r="BA27" i="3"/>
  <c r="AZ27" i="3" s="1"/>
  <c r="BA33" i="3"/>
  <c r="BA36" i="3"/>
  <c r="BL38" i="3"/>
  <c r="AZ38" i="3" s="1"/>
  <c r="BA39" i="3"/>
  <c r="BA43" i="3"/>
  <c r="BL52" i="3"/>
  <c r="G78" i="3"/>
  <c r="BL86" i="3"/>
  <c r="AZ86" i="3" s="1"/>
  <c r="C44" i="71"/>
  <c r="D43" i="71"/>
  <c r="C52" i="71"/>
  <c r="D51" i="71"/>
  <c r="BA282" i="3"/>
  <c r="BL282" i="3"/>
  <c r="BA284" i="3"/>
  <c r="BL290" i="3"/>
  <c r="AZ290" i="3" s="1"/>
  <c r="BL291" i="3"/>
  <c r="AZ291" i="3" s="1"/>
  <c r="BL293" i="3"/>
  <c r="BL294" i="3"/>
  <c r="BA297" i="3"/>
  <c r="AZ297" i="3" s="1"/>
  <c r="BL297" i="3"/>
  <c r="BL300" i="3"/>
  <c r="BA302" i="3"/>
  <c r="BA117" i="3"/>
  <c r="BA130" i="3"/>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93" i="3"/>
  <c r="BL194" i="3"/>
  <c r="AZ194" i="3" s="1"/>
  <c r="BA198" i="3"/>
  <c r="AZ198" i="3" s="1"/>
  <c r="G199" i="3"/>
  <c r="G205" i="3"/>
  <c r="BL206" i="3"/>
  <c r="BA19" i="3"/>
  <c r="AZ19" i="3" s="1"/>
  <c r="G38" i="3"/>
  <c r="AZ108" i="3"/>
  <c r="C47" i="71"/>
  <c r="D47" i="71" s="1"/>
  <c r="D46" i="71"/>
  <c r="V24" i="71"/>
  <c r="E23" i="71"/>
  <c r="E22" i="71" s="1"/>
  <c r="E21" i="71" s="1"/>
  <c r="E20" i="71" s="1"/>
  <c r="E19" i="71" s="1"/>
  <c r="E18" i="71" s="1"/>
  <c r="E17" i="71" s="1"/>
  <c r="E16" i="71" s="1"/>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L40" i="3"/>
  <c r="BL41" i="3"/>
  <c r="AZ41" i="3" s="1"/>
  <c r="BL45" i="3"/>
  <c r="BA48" i="3"/>
  <c r="BA49" i="3"/>
  <c r="AZ49" i="3" s="1"/>
  <c r="BA51" i="3"/>
  <c r="G55" i="3"/>
  <c r="BL56" i="3"/>
  <c r="BA58" i="3"/>
  <c r="BL59" i="3"/>
  <c r="AZ59" i="3" s="1"/>
  <c r="BL60" i="3"/>
  <c r="AZ60" i="3" s="1"/>
  <c r="BA61" i="3"/>
  <c r="AZ61" i="3" s="1"/>
  <c r="BA68" i="3"/>
  <c r="BA73" i="3"/>
  <c r="BA80" i="3"/>
  <c r="BL84" i="3"/>
  <c r="BA89" i="3"/>
  <c r="G103" i="3"/>
  <c r="BA103" i="3"/>
  <c r="AZ103" i="3" s="1"/>
  <c r="BA104" i="3"/>
  <c r="BA106" i="3"/>
  <c r="BL108"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3" i="3"/>
  <c r="G29" i="3"/>
  <c r="BL29" i="3"/>
  <c r="G33" i="3"/>
  <c r="G34" i="3"/>
  <c r="BA37" i="3"/>
  <c r="G39" i="3"/>
  <c r="BL39" i="3"/>
  <c r="G43" i="3"/>
  <c r="G44" i="3"/>
  <c r="BA45" i="3"/>
  <c r="BA46" i="3"/>
  <c r="BL49" i="3"/>
  <c r="BL50" i="3"/>
  <c r="AZ50" i="3" s="1"/>
  <c r="BL51" i="3"/>
  <c r="G53" i="3"/>
  <c r="BL53" i="3"/>
  <c r="BA56" i="3"/>
  <c r="BA57" i="3"/>
  <c r="AZ57" i="3" s="1"/>
  <c r="BL58" i="3"/>
  <c r="G60" i="3"/>
  <c r="BA60" i="3"/>
  <c r="BA63" i="3"/>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4" i="3"/>
  <c r="AZ436" i="3"/>
  <c r="AZ438" i="3"/>
  <c r="AZ446" i="3"/>
  <c r="AZ450" i="3"/>
  <c r="U26" i="21"/>
  <c r="W36" i="39"/>
  <c r="U23" i="40"/>
  <c r="AA39" i="37"/>
  <c r="AC16" i="36"/>
  <c r="AB12" i="33"/>
  <c r="C27" i="39"/>
  <c r="U40" i="40"/>
  <c r="AC9" i="40"/>
  <c r="W36" i="35"/>
  <c r="J12" i="21"/>
  <c r="B73" i="43"/>
  <c r="B76" i="43"/>
  <c r="F9" i="36"/>
  <c r="J40" i="40"/>
  <c r="G562"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AZ225" i="3"/>
  <c r="G230" i="3"/>
  <c r="BA232" i="3"/>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BA261" i="3"/>
  <c r="AZ261" i="3" s="1"/>
  <c r="BA264" i="3"/>
  <c r="AZ264" i="3" s="1"/>
  <c r="BA266" i="3"/>
  <c r="AZ266" i="3" s="1"/>
  <c r="G272" i="3"/>
  <c r="G275" i="3"/>
  <c r="BL276" i="3"/>
  <c r="AZ276" i="3" s="1"/>
  <c r="BL279" i="3"/>
  <c r="BL281" i="3"/>
  <c r="AZ281" i="3" s="1"/>
  <c r="BA285" i="3"/>
  <c r="AZ285" i="3" s="1"/>
  <c r="BA287" i="3"/>
  <c r="AZ287" i="3" s="1"/>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46" i="3"/>
  <c r="AZ56" i="3"/>
  <c r="BA206" i="3"/>
  <c r="AZ206" i="3" s="1"/>
  <c r="BL22" i="3"/>
  <c r="AZ22" i="3" s="1"/>
  <c r="BL33" i="3"/>
  <c r="BL43" i="3"/>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F66" i="67"/>
  <c r="Q71" i="67"/>
  <c r="C27" i="67"/>
  <c r="F71" i="67"/>
  <c r="C103" i="9"/>
  <c r="N59" i="67"/>
  <c r="L59" i="67"/>
  <c r="M59" i="67"/>
  <c r="B13" i="70"/>
  <c r="M7" i="67"/>
  <c r="F50" i="67"/>
  <c r="F68" i="67"/>
  <c r="C36" i="68"/>
  <c r="D9" i="68"/>
  <c r="D9" i="69"/>
  <c r="C36" i="69"/>
  <c r="L48" i="67"/>
  <c r="F43" i="15"/>
  <c r="D7" i="73"/>
  <c r="D4" i="73"/>
  <c r="M24" i="15"/>
  <c r="L47" i="15"/>
  <c r="C76" i="15"/>
  <c r="F42" i="15"/>
  <c r="M26" i="15"/>
  <c r="F36" i="15"/>
  <c r="D3" i="73"/>
  <c r="F16" i="15"/>
  <c r="M28" i="15"/>
  <c r="F8" i="15"/>
  <c r="F37" i="15"/>
  <c r="M29" i="15"/>
  <c r="M9" i="67"/>
  <c r="C16" i="67"/>
  <c r="F26" i="15"/>
  <c r="M8" i="15"/>
  <c r="D5" i="73"/>
  <c r="M9" i="15"/>
  <c r="M22" i="15"/>
  <c r="F40" i="15"/>
  <c r="L48" i="15"/>
  <c r="F38" i="15"/>
  <c r="F9" i="15"/>
  <c r="F36" i="67"/>
  <c r="F6" i="15"/>
  <c r="F13" i="15"/>
  <c r="M6" i="15"/>
  <c r="M23" i="15"/>
  <c r="F7" i="15"/>
  <c r="J15" i="15"/>
  <c r="W39" i="33" l="1"/>
  <c r="Q73" i="81"/>
  <c r="Q60" i="81"/>
  <c r="Q52" i="81"/>
  <c r="F1" i="81"/>
  <c r="Q57" i="81"/>
  <c r="Q66" i="81"/>
  <c r="M11" i="81"/>
  <c r="J10" i="81" s="1"/>
  <c r="J5" i="81" s="1"/>
  <c r="F11" i="81"/>
  <c r="J57" i="67"/>
  <c r="J55" i="67" s="1"/>
  <c r="J58" i="67" s="1"/>
  <c r="Q50" i="67" s="1"/>
  <c r="L58" i="67"/>
  <c r="Q60" i="67" s="1"/>
  <c r="L56" i="67"/>
  <c r="J53" i="67"/>
  <c r="F1" i="67" s="1"/>
  <c r="I54" i="67"/>
  <c r="E12" i="6"/>
  <c r="E57" i="40" s="1"/>
  <c r="E13" i="6"/>
  <c r="E8" i="6"/>
  <c r="F27" i="6" s="1"/>
  <c r="E28" i="6"/>
  <c r="K14" i="1" s="1"/>
  <c r="M6" i="1"/>
  <c r="O6" i="1" s="1"/>
  <c r="F65" i="15"/>
  <c r="N59" i="15"/>
  <c r="M59" i="15"/>
  <c r="L59" i="15"/>
  <c r="Q74" i="15" s="1"/>
  <c r="F51" i="15"/>
  <c r="F26" i="43"/>
  <c r="H16" i="1"/>
  <c r="E59" i="40"/>
  <c r="E15" i="6"/>
  <c r="E64" i="39" s="1"/>
  <c r="N370" i="46"/>
  <c r="E10" i="6"/>
  <c r="E16" i="6" s="1"/>
  <c r="P6" i="1"/>
  <c r="C13" i="12" s="1"/>
  <c r="E11" i="6"/>
  <c r="E60" i="39" s="1"/>
  <c r="Q16" i="1"/>
  <c r="G29" i="6"/>
  <c r="G30" i="6" s="1"/>
  <c r="G31" i="6" s="1"/>
  <c r="J7" i="36"/>
  <c r="F64" i="67"/>
  <c r="C27" i="15"/>
  <c r="F64" i="15"/>
  <c r="F50" i="15"/>
  <c r="M7" i="15"/>
  <c r="J6" i="15" s="1"/>
  <c r="J18" i="15" s="1"/>
  <c r="F31" i="15"/>
  <c r="C6" i="15"/>
  <c r="C32" i="15" s="1"/>
  <c r="F66" i="15"/>
  <c r="J53" i="15"/>
  <c r="L56" i="15" s="1"/>
  <c r="L58" i="15"/>
  <c r="Q60" i="15" s="1"/>
  <c r="J57" i="15"/>
  <c r="J55" i="15" s="1"/>
  <c r="J58" i="15" s="1"/>
  <c r="Q50" i="15" s="1"/>
  <c r="I54" i="15"/>
  <c r="F68" i="15"/>
  <c r="Q71" i="15"/>
  <c r="F71" i="15"/>
  <c r="F30" i="6"/>
  <c r="C36" i="71"/>
  <c r="D35" i="71"/>
  <c r="AB38" i="40"/>
  <c r="U38" i="40"/>
  <c r="S13" i="36"/>
  <c r="AA13" i="36"/>
  <c r="U14" i="33"/>
  <c r="AB14" i="33"/>
  <c r="U13" i="40"/>
  <c r="AB13" i="40"/>
  <c r="S47" i="34"/>
  <c r="AA47" i="34"/>
  <c r="U39" i="40"/>
  <c r="AB39" i="40"/>
  <c r="AA13" i="34"/>
  <c r="S13" i="34"/>
  <c r="AC25" i="35"/>
  <c r="W25" i="35"/>
  <c r="S32" i="36"/>
  <c r="AA32" i="36"/>
  <c r="E26" i="43"/>
  <c r="H26" i="43"/>
  <c r="AZ80" i="3"/>
  <c r="AZ138" i="3"/>
  <c r="AZ396" i="3"/>
  <c r="AZ232" i="3"/>
  <c r="AZ333" i="3"/>
  <c r="V20" i="71"/>
  <c r="AZ63" i="3"/>
  <c r="AZ45" i="3"/>
  <c r="T28" i="71"/>
  <c r="D28" i="71"/>
  <c r="U28" i="71" s="1"/>
  <c r="C27" i="71"/>
  <c r="D79" i="71"/>
  <c r="C78" i="71"/>
  <c r="D78" i="71" s="1"/>
  <c r="AZ51" i="3"/>
  <c r="AZ302" i="3"/>
  <c r="AZ284" i="3"/>
  <c r="T52" i="71"/>
  <c r="D52" i="71"/>
  <c r="AZ39" i="3"/>
  <c r="AZ31" i="3"/>
  <c r="AZ271" i="3"/>
  <c r="AZ332" i="3"/>
  <c r="AZ460" i="3"/>
  <c r="AZ238" i="3"/>
  <c r="AZ408" i="3"/>
  <c r="AZ277" i="3"/>
  <c r="AA38" i="40"/>
  <c r="S38" i="40"/>
  <c r="S25" i="35"/>
  <c r="AA25" i="35"/>
  <c r="AA12" i="36"/>
  <c r="S12" i="36"/>
  <c r="AB27" i="34"/>
  <c r="U27" i="34"/>
  <c r="U26" i="33"/>
  <c r="AB26" i="33"/>
  <c r="AZ587" i="3"/>
  <c r="AB13" i="37"/>
  <c r="U13" i="37"/>
  <c r="AZ570" i="3"/>
  <c r="AC39" i="40"/>
  <c r="W39" i="40"/>
  <c r="AC31" i="34"/>
  <c r="W31" i="34"/>
  <c r="AB25" i="35"/>
  <c r="U25" i="35"/>
  <c r="N65" i="71"/>
  <c r="N66" i="71"/>
  <c r="W28" i="34"/>
  <c r="AC28" i="34"/>
  <c r="AA24" i="36"/>
  <c r="S24" i="36"/>
  <c r="AC24" i="36"/>
  <c r="W24" i="36"/>
  <c r="G26" i="43"/>
  <c r="AZ112" i="3"/>
  <c r="G5" i="3"/>
  <c r="B3" i="3" s="1"/>
  <c r="E258" i="3" s="1"/>
  <c r="AZ43" i="3"/>
  <c r="AZ32" i="3"/>
  <c r="AZ253" i="3"/>
  <c r="AZ111" i="3"/>
  <c r="D83" i="71"/>
  <c r="C82" i="71"/>
  <c r="D82" i="71" s="1"/>
  <c r="O65" i="71"/>
  <c r="D66" i="71"/>
  <c r="O66" i="71"/>
  <c r="AZ58" i="3"/>
  <c r="AZ29" i="3"/>
  <c r="AZ25" i="3"/>
  <c r="AZ459" i="3"/>
  <c r="AB28" i="34"/>
  <c r="U28" i="34"/>
  <c r="W12" i="35"/>
  <c r="AC12" i="35"/>
  <c r="AA45" i="33"/>
  <c r="S45" i="33"/>
  <c r="W12" i="36"/>
  <c r="AC12" i="36"/>
  <c r="W27" i="34"/>
  <c r="AC27" i="34"/>
  <c r="S26" i="33"/>
  <c r="AA26" i="33"/>
  <c r="S14" i="33"/>
  <c r="AA14" i="33"/>
  <c r="AA14" i="39"/>
  <c r="S14" i="39"/>
  <c r="AC23" i="36"/>
  <c r="W23" i="36"/>
  <c r="W30" i="21"/>
  <c r="AC30" i="21"/>
  <c r="W14" i="21"/>
  <c r="AC14" i="21"/>
  <c r="AC47" i="34"/>
  <c r="W47" i="34"/>
  <c r="AZ560" i="3"/>
  <c r="C70" i="71"/>
  <c r="D70" i="71" s="1"/>
  <c r="D71" i="71"/>
  <c r="AZ150" i="3"/>
  <c r="T32" i="71"/>
  <c r="D32" i="71"/>
  <c r="AZ243" i="3"/>
  <c r="J6" i="67"/>
  <c r="J18" i="67" s="1"/>
  <c r="N94" i="46"/>
  <c r="AZ33" i="3"/>
  <c r="AZ279" i="3"/>
  <c r="AZ213" i="3"/>
  <c r="AZ71" i="3"/>
  <c r="C40" i="71"/>
  <c r="D39" i="71"/>
  <c r="AZ130" i="3"/>
  <c r="AZ282" i="3"/>
  <c r="D44" i="71"/>
  <c r="T44" i="71"/>
  <c r="AZ21" i="3"/>
  <c r="C56" i="71"/>
  <c r="D55" i="71"/>
  <c r="AZ274" i="3"/>
  <c r="AZ229" i="3"/>
  <c r="AZ218" i="3"/>
  <c r="AZ483" i="3"/>
  <c r="AZ223" i="3"/>
  <c r="AZ428" i="3"/>
  <c r="AZ569" i="3"/>
  <c r="W32" i="34"/>
  <c r="AC32" i="34"/>
  <c r="AB24" i="36"/>
  <c r="U24" i="36"/>
  <c r="AA13" i="40"/>
  <c r="S13" i="40"/>
  <c r="W26" i="33"/>
  <c r="AC26" i="33"/>
  <c r="AB23" i="36"/>
  <c r="U23" i="36"/>
  <c r="S30" i="21"/>
  <c r="AA30" i="21"/>
  <c r="U14" i="21"/>
  <c r="AB14" i="21"/>
  <c r="AB44" i="33"/>
  <c r="U44" i="33"/>
  <c r="W13" i="37"/>
  <c r="AC13" i="37"/>
  <c r="AB32" i="36"/>
  <c r="U32" i="36"/>
  <c r="G16" i="1"/>
  <c r="F10" i="39" s="1"/>
  <c r="S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U7" i="36"/>
  <c r="F7" i="33"/>
  <c r="E58" i="21"/>
  <c r="AC7" i="36"/>
  <c r="V36" i="36" s="1"/>
  <c r="I36" i="36" s="1"/>
  <c r="W7" i="36"/>
  <c r="F7" i="37"/>
  <c r="M17" i="67"/>
  <c r="P28" i="43"/>
  <c r="B66" i="40" s="1"/>
  <c r="P25" i="43"/>
  <c r="C49" i="67"/>
  <c r="P29" i="43"/>
  <c r="P27" i="43"/>
  <c r="B70" i="39" s="1"/>
  <c r="C32" i="67"/>
  <c r="M11" i="67"/>
  <c r="J10" i="67" s="1"/>
  <c r="F11" i="15"/>
  <c r="M11" i="15"/>
  <c r="J10" i="15" s="1"/>
  <c r="F11" i="67"/>
  <c r="Q61" i="67"/>
  <c r="Q74" i="67"/>
  <c r="AE11" i="1"/>
  <c r="AE9" i="1"/>
  <c r="AE8" i="1"/>
  <c r="AE12" i="1"/>
  <c r="AE10" i="1"/>
  <c r="AE7" i="1"/>
  <c r="F27" i="69"/>
  <c r="C16" i="15"/>
  <c r="AE6" i="1"/>
  <c r="G1" i="73"/>
  <c r="F41" i="81"/>
  <c r="F41" i="67"/>
  <c r="F69" i="81" l="1"/>
  <c r="Q73" i="67"/>
  <c r="C53" i="81"/>
  <c r="C48" i="81" s="1"/>
  <c r="C10" i="81"/>
  <c r="C5" i="81" s="1"/>
  <c r="J26" i="81"/>
  <c r="J29" i="81" s="1"/>
  <c r="J24" i="81"/>
  <c r="C47" i="69"/>
  <c r="D45" i="69" s="1"/>
  <c r="Q52" i="67"/>
  <c r="C49" i="15"/>
  <c r="E246" i="3"/>
  <c r="E335" i="3"/>
  <c r="E217" i="3"/>
  <c r="Z6" i="3"/>
  <c r="E587" i="3"/>
  <c r="E124" i="3"/>
  <c r="E380" i="3"/>
  <c r="E175" i="3"/>
  <c r="E515" i="3"/>
  <c r="E571" i="3"/>
  <c r="E336" i="3"/>
  <c r="E294" i="3"/>
  <c r="E366" i="3"/>
  <c r="E448" i="3"/>
  <c r="AA6" i="3"/>
  <c r="E501" i="3"/>
  <c r="E471" i="3"/>
  <c r="E66" i="3"/>
  <c r="E312" i="3"/>
  <c r="E123" i="3"/>
  <c r="E463" i="3"/>
  <c r="E324" i="3"/>
  <c r="E308" i="3"/>
  <c r="E103" i="3"/>
  <c r="E263" i="3"/>
  <c r="E570" i="3"/>
  <c r="E273" i="3"/>
  <c r="E368" i="3"/>
  <c r="E560" i="3"/>
  <c r="E301" i="3"/>
  <c r="AR6" i="3"/>
  <c r="E331" i="3"/>
  <c r="E269" i="3"/>
  <c r="E458" i="3"/>
  <c r="E382" i="3"/>
  <c r="E551" i="3"/>
  <c r="E334" i="3"/>
  <c r="E32" i="3"/>
  <c r="E221" i="3"/>
  <c r="E126" i="3"/>
  <c r="E313" i="3"/>
  <c r="E341" i="3"/>
  <c r="E521" i="3"/>
  <c r="E299" i="3"/>
  <c r="E440" i="3"/>
  <c r="E225" i="3"/>
  <c r="E383" i="3"/>
  <c r="E212" i="3"/>
  <c r="E575" i="3"/>
  <c r="I3" i="6"/>
  <c r="E56" i="3"/>
  <c r="E349" i="3"/>
  <c r="E425" i="3"/>
  <c r="E249" i="3"/>
  <c r="E33" i="3"/>
  <c r="E68" i="3"/>
  <c r="E21" i="3"/>
  <c r="E42" i="3"/>
  <c r="E129" i="3"/>
  <c r="E86" i="3"/>
  <c r="E113" i="3"/>
  <c r="E140"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10" i="3"/>
  <c r="R6" i="3"/>
  <c r="AP6" i="3"/>
  <c r="E192" i="3"/>
  <c r="E544" i="3"/>
  <c r="E467" i="3"/>
  <c r="E371" i="3"/>
  <c r="E144" i="3"/>
  <c r="E81" i="3"/>
  <c r="E281" i="3"/>
  <c r="E75" i="3"/>
  <c r="E174" i="3"/>
  <c r="E206" i="3"/>
  <c r="E287" i="3"/>
  <c r="E197"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30" i="3"/>
  <c r="E292" i="3"/>
  <c r="E160" i="3"/>
  <c r="E381" i="3"/>
  <c r="E391" i="3"/>
  <c r="E522" i="3"/>
  <c r="E205"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H6" i="3" s="1"/>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488" i="3"/>
  <c r="E274" i="3"/>
  <c r="E88" i="3"/>
  <c r="E125" i="3"/>
  <c r="E559" i="3"/>
  <c r="E114" i="3"/>
  <c r="E245" i="3"/>
  <c r="E453" i="3"/>
  <c r="E573" i="3"/>
  <c r="E72" i="3"/>
  <c r="E549" i="3"/>
  <c r="E477" i="3"/>
  <c r="E210" i="3"/>
  <c r="E305" i="3"/>
  <c r="E533" i="3"/>
  <c r="E185" i="3"/>
  <c r="E134" i="3"/>
  <c r="E77" i="3"/>
  <c r="AK6" i="3"/>
  <c r="E465" i="3"/>
  <c r="E214" i="3"/>
  <c r="E327" i="3"/>
  <c r="E489" i="3"/>
  <c r="E322" i="3"/>
  <c r="E514" i="3"/>
  <c r="E69" i="3"/>
  <c r="E191" i="3"/>
  <c r="E200" i="3"/>
  <c r="E487" i="3"/>
  <c r="E539" i="3"/>
  <c r="E491" i="3"/>
  <c r="E76" i="3"/>
  <c r="E492" i="3"/>
  <c r="E283" i="3"/>
  <c r="E482" i="3"/>
  <c r="E251"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36" i="3"/>
  <c r="E417" i="3"/>
  <c r="E484" i="3"/>
  <c r="E23" i="3"/>
  <c r="E513" i="3"/>
  <c r="E96" i="3"/>
  <c r="AF6" i="3"/>
  <c r="E534" i="3"/>
  <c r="E360" i="3"/>
  <c r="E104" i="3"/>
  <c r="E78" i="3"/>
  <c r="E370" i="3"/>
  <c r="E223" i="3"/>
  <c r="E486" i="3"/>
  <c r="E498" i="3"/>
  <c r="E202" i="3"/>
  <c r="E43" i="3"/>
  <c r="E137" i="3"/>
  <c r="E52" i="3"/>
  <c r="E50" i="3"/>
  <c r="E101" i="3"/>
  <c r="E155" i="3"/>
  <c r="E51" i="3"/>
  <c r="E57" i="3"/>
  <c r="E19" i="3"/>
  <c r="E47" i="3"/>
  <c r="E259" i="3"/>
  <c r="E98" i="3"/>
  <c r="E306" i="3"/>
  <c r="E288" i="3"/>
  <c r="E257" i="3"/>
  <c r="E379" i="3"/>
  <c r="E546" i="3"/>
  <c r="E29" i="3"/>
  <c r="E574" i="3"/>
  <c r="E418" i="3"/>
  <c r="E213" i="3"/>
  <c r="AN6" i="3"/>
  <c r="E262" i="3"/>
  <c r="E344" i="3"/>
  <c r="E576" i="3"/>
  <c r="E558" i="3"/>
  <c r="E316" i="3"/>
  <c r="N6" i="3"/>
  <c r="E396" i="3"/>
  <c r="E320" i="3"/>
  <c r="E550" i="3"/>
  <c r="E293" i="3"/>
  <c r="E99" i="3"/>
  <c r="E562" i="3"/>
  <c r="E351" i="3"/>
  <c r="E585" i="3"/>
  <c r="E447" i="3"/>
  <c r="E441" i="3"/>
  <c r="E410" i="3"/>
  <c r="E439" i="3"/>
  <c r="E361" i="3"/>
  <c r="E495" i="3"/>
  <c r="K6" i="3"/>
  <c r="E454" i="3"/>
  <c r="E227" i="3"/>
  <c r="E400" i="3"/>
  <c r="E211" i="3"/>
  <c r="E109" i="3"/>
  <c r="E431" i="3"/>
  <c r="E387" i="3"/>
  <c r="E445" i="3"/>
  <c r="E385" i="3"/>
  <c r="E296" i="3"/>
  <c r="E118" i="3"/>
  <c r="E139" i="3"/>
  <c r="E219" i="3"/>
  <c r="E275" i="3"/>
  <c r="E535" i="3"/>
  <c r="E247" i="3"/>
  <c r="E28" i="3"/>
  <c r="E315" i="3"/>
  <c r="E228" i="3"/>
  <c r="E503" i="3"/>
  <c r="E337" i="3"/>
  <c r="E27" i="3"/>
  <c r="E318" i="3"/>
  <c r="E45" i="3"/>
  <c r="E117" i="3"/>
  <c r="E229" i="3"/>
  <c r="E121" i="3"/>
  <c r="E496" i="3"/>
  <c r="E298" i="3"/>
  <c r="E548" i="3"/>
  <c r="E82" i="3"/>
  <c r="E464" i="3"/>
  <c r="E552" i="3"/>
  <c r="E15" i="3"/>
  <c r="E393" i="3"/>
  <c r="E13" i="3"/>
  <c r="E332" i="3"/>
  <c r="E442" i="3"/>
  <c r="E369" i="3"/>
  <c r="E94" i="3"/>
  <c r="E148" i="3"/>
  <c r="E278" i="3"/>
  <c r="AJ6" i="3"/>
  <c r="E345" i="3"/>
  <c r="E106" i="3"/>
  <c r="E568" i="3"/>
  <c r="E261" i="3"/>
  <c r="E508" i="3"/>
  <c r="E505" i="3"/>
  <c r="E111" i="3"/>
  <c r="E85" i="3"/>
  <c r="E415" i="3"/>
  <c r="E239" i="3"/>
  <c r="E581" i="3"/>
  <c r="E330" i="3"/>
  <c r="E97" i="3"/>
  <c r="E93" i="3"/>
  <c r="E154" i="3"/>
  <c r="E138" i="3"/>
  <c r="E176" i="3"/>
  <c r="E346" i="3"/>
  <c r="E326" i="3"/>
  <c r="E456" i="3"/>
  <c r="E184" i="3"/>
  <c r="AY6" i="3"/>
  <c r="D26" i="43"/>
  <c r="C25" i="43" s="1"/>
  <c r="Q61" i="15"/>
  <c r="J5" i="67"/>
  <c r="J24" i="67" s="1"/>
  <c r="F59" i="15"/>
  <c r="F1" i="15"/>
  <c r="F27" i="68"/>
  <c r="C47" i="68" s="1"/>
  <c r="D45" i="68" s="1"/>
  <c r="M17" i="15"/>
  <c r="F28" i="12"/>
  <c r="C29" i="12" s="1"/>
  <c r="D28" i="12" s="1"/>
  <c r="H10" i="40"/>
  <c r="AB10" i="40" s="1"/>
  <c r="E494" i="3"/>
  <c r="E264" i="3"/>
  <c r="E355" i="3"/>
  <c r="E84" i="3"/>
  <c r="E300" i="3"/>
  <c r="E46" i="3"/>
  <c r="E59" i="3"/>
  <c r="E363" i="3"/>
  <c r="E95" i="3"/>
  <c r="E554" i="3"/>
  <c r="E541" i="3"/>
  <c r="E286" i="3"/>
  <c r="J10" i="40"/>
  <c r="AC10" i="40" s="1"/>
  <c r="J5" i="15"/>
  <c r="J24" i="15" s="1"/>
  <c r="F45" i="69"/>
  <c r="Q73" i="15"/>
  <c r="Q52" i="15"/>
  <c r="C29" i="69"/>
  <c r="D27" i="69" s="1"/>
  <c r="E173" i="3"/>
  <c r="E22" i="3"/>
  <c r="E102" i="3"/>
  <c r="E34" i="3"/>
  <c r="E235" i="3"/>
  <c r="E18" i="3"/>
  <c r="AL6" i="3"/>
  <c r="E198" i="3"/>
  <c r="E309" i="3"/>
  <c r="E63" i="3"/>
  <c r="E233" i="3"/>
  <c r="E67" i="3"/>
  <c r="E310" i="3"/>
  <c r="E267" i="3"/>
  <c r="E64" i="3"/>
  <c r="E409" i="3"/>
  <c r="E389" i="3"/>
  <c r="E241" i="3"/>
  <c r="E37" i="3"/>
  <c r="E435" i="3"/>
  <c r="E449" i="3"/>
  <c r="E502" i="3"/>
  <c r="E199" i="3"/>
  <c r="E3" i="6"/>
  <c r="E29" i="6"/>
  <c r="J10" i="39"/>
  <c r="W10" i="39" s="1"/>
  <c r="AA10" i="39"/>
  <c r="F10" i="40"/>
  <c r="S10" i="40" s="1"/>
  <c r="H10" i="39"/>
  <c r="U10" i="39" s="1"/>
  <c r="T40" i="71"/>
  <c r="D40" i="71"/>
  <c r="R36" i="36"/>
  <c r="D56" i="71"/>
  <c r="T56" i="71"/>
  <c r="C26" i="71"/>
  <c r="D26" i="71" s="1"/>
  <c r="D27" i="71"/>
  <c r="D36" i="71"/>
  <c r="T36" i="71"/>
  <c r="E152" i="3"/>
  <c r="E479" i="3"/>
  <c r="E517" i="3"/>
  <c r="E255" i="3"/>
  <c r="E466" i="3"/>
  <c r="E499" i="3"/>
  <c r="B40" i="1"/>
  <c r="F22"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C33" i="43"/>
  <c r="C40" i="43"/>
  <c r="C37" i="43"/>
  <c r="C41" i="43"/>
  <c r="K21" i="6"/>
  <c r="S8" i="1" s="1"/>
  <c r="E8" i="70"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F41" i="15"/>
  <c r="M27" i="67"/>
  <c r="V5" i="43" l="1"/>
  <c r="C6" i="82"/>
  <c r="C7" i="82" s="1"/>
  <c r="C5" i="82" s="1"/>
  <c r="F41" i="82"/>
  <c r="C26" i="82"/>
  <c r="D22" i="82" s="1"/>
  <c r="C24" i="82"/>
  <c r="C44" i="82"/>
  <c r="D41" i="82" s="1"/>
  <c r="C42" i="82"/>
  <c r="C43" i="82"/>
  <c r="C38" i="81"/>
  <c r="C66" i="81"/>
  <c r="V2" i="43"/>
  <c r="C6" i="69"/>
  <c r="C7" i="69" s="1"/>
  <c r="L36" i="43"/>
  <c r="L37" i="43" s="1"/>
  <c r="P37" i="43" s="1"/>
  <c r="F24" i="81"/>
  <c r="C29" i="68"/>
  <c r="D27" i="68" s="1"/>
  <c r="F45" i="68"/>
  <c r="AC6" i="3"/>
  <c r="E6" i="3" s="1"/>
  <c r="AA10" i="40"/>
  <c r="U10" i="40"/>
  <c r="AB10" i="39"/>
  <c r="F25" i="12"/>
  <c r="C26" i="12" s="1"/>
  <c r="D25" i="12" s="1"/>
  <c r="D116" i="43"/>
  <c r="K15" i="1"/>
  <c r="K16" i="1" s="1"/>
  <c r="E30" i="6"/>
  <c r="E31" i="6" s="1"/>
  <c r="F22" i="68"/>
  <c r="C23"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34" i="69"/>
  <c r="C17" i="67"/>
  <c r="C14" i="67"/>
  <c r="C17" i="15"/>
  <c r="C44" i="68" l="1"/>
  <c r="D41" i="68" s="1"/>
  <c r="N36" i="43"/>
  <c r="O37" i="43"/>
  <c r="Q37" i="43"/>
  <c r="Q36" i="43"/>
  <c r="M37" i="43"/>
  <c r="P36" i="43"/>
  <c r="O36" i="43"/>
  <c r="N37" i="43"/>
  <c r="M36" i="43"/>
  <c r="C23" i="82"/>
  <c r="C20" i="82"/>
  <c r="C25" i="82" s="1"/>
  <c r="C41" i="82"/>
  <c r="C49" i="82" s="1"/>
  <c r="C51" i="82" s="1"/>
  <c r="C24" i="81"/>
  <c r="C23" i="81"/>
  <c r="C26" i="68"/>
  <c r="D22" i="68" s="1"/>
  <c r="F41" i="68"/>
  <c r="H22" i="6"/>
  <c r="R22" i="6" s="1"/>
  <c r="R9" i="1" s="1"/>
  <c r="C44" i="11"/>
  <c r="D41" i="11" s="1"/>
  <c r="H24" i="6"/>
  <c r="D30" i="6"/>
  <c r="H21" i="6"/>
  <c r="H25" i="6"/>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8" i="82" l="1"/>
  <c r="C27" i="82" s="1"/>
  <c r="C29" i="81"/>
  <c r="J14" i="81" s="1"/>
  <c r="C22" i="82"/>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82" l="1"/>
  <c r="C52" i="82" s="1"/>
  <c r="B2" i="82" s="1"/>
  <c r="C36" i="81"/>
  <c r="J59" i="81"/>
  <c r="J60" i="81" s="1"/>
  <c r="Q48" i="81" s="1"/>
  <c r="C57" i="81"/>
  <c r="C64" i="81" s="1"/>
  <c r="C13" i="81"/>
  <c r="C56" i="81" s="1"/>
  <c r="C65" i="81" s="1"/>
  <c r="Q49" i="81"/>
  <c r="C57" i="82"/>
  <c r="C56" i="82" s="1"/>
  <c r="J22" i="81"/>
  <c r="J13" i="81"/>
  <c r="J23" i="8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3" i="82"/>
  <c r="C58" i="81" l="1"/>
  <c r="C67" i="81" s="1"/>
  <c r="C68" i="81" s="1"/>
  <c r="L46" i="81"/>
  <c r="C37" i="81"/>
  <c r="C30" i="81" s="1"/>
  <c r="C39" i="81" s="1"/>
  <c r="C40" i="81" s="1"/>
  <c r="C45" i="81" s="1"/>
  <c r="C46" i="81" s="1"/>
  <c r="Q70" i="81"/>
  <c r="C75" i="81"/>
  <c r="J16" i="81"/>
  <c r="J25" i="81" s="1"/>
  <c r="C71" i="8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81"/>
  <c r="M21" i="81"/>
  <c r="L51" i="81"/>
  <c r="F35" i="67"/>
  <c r="M21" i="15"/>
  <c r="M21" i="67"/>
  <c r="F35" i="15"/>
  <c r="H40" i="81" l="1"/>
  <c r="C80" i="81"/>
  <c r="C79" i="81" s="1"/>
  <c r="Q69" i="81"/>
  <c r="Q68" i="81" s="1"/>
  <c r="Q67" i="81"/>
  <c r="J20" i="81"/>
  <c r="F63" i="81"/>
  <c r="Q47" i="81"/>
  <c r="Q53" i="81" s="1"/>
  <c r="C43" i="81"/>
  <c r="Q65" i="81"/>
  <c r="Q75" i="81" s="1"/>
  <c r="Q56" i="81"/>
  <c r="Q62" i="81" s="1"/>
  <c r="D2" i="81"/>
  <c r="C83" i="81"/>
  <c r="C82" i="81"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5"/>
  <c r="C19" i="84"/>
  <c r="B3" i="69"/>
  <c r="C20" i="85"/>
  <c r="C20" i="84"/>
  <c r="C103" i="85" l="1"/>
  <c r="C102" i="85"/>
  <c r="C21" i="85"/>
  <c r="C103" i="84"/>
  <c r="C102" i="84"/>
  <c r="C21" i="84"/>
  <c r="B2" i="81"/>
  <c r="B3" i="8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5"/>
  <c r="D19" i="84"/>
  <c r="D19" i="9"/>
  <c r="D2" i="34"/>
  <c r="D2" i="35"/>
  <c r="D2" i="36"/>
  <c r="L51" i="15"/>
  <c r="D2" i="37"/>
  <c r="D21" i="85" l="1"/>
  <c r="D102" i="85"/>
  <c r="G19" i="85"/>
  <c r="G21" i="85" s="1"/>
  <c r="D22" i="85"/>
  <c r="D21" i="84"/>
  <c r="D102" i="84"/>
  <c r="D22" i="84"/>
  <c r="G19" i="84"/>
  <c r="G21" i="84" s="1"/>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5"/>
  <c r="D20" i="84"/>
  <c r="D20" i="9"/>
  <c r="AO9" i="1"/>
  <c r="AO6" i="1"/>
  <c r="AO10" i="1"/>
  <c r="AO8" i="1"/>
  <c r="AO11" i="1"/>
  <c r="AO12" i="1"/>
  <c r="AO7" i="1"/>
  <c r="D103" i="85" l="1"/>
  <c r="G20" i="85"/>
  <c r="C32" i="85" s="1"/>
  <c r="D103" i="84"/>
  <c r="G20" i="84"/>
  <c r="C32" i="84" s="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18" i="85" l="1"/>
  <c r="D34" i="85"/>
  <c r="D35" i="85"/>
  <c r="I118" i="84"/>
  <c r="D35" i="84"/>
  <c r="D34" i="84"/>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105" i="85" l="1"/>
  <c r="H118" i="85"/>
  <c r="H102" i="85"/>
  <c r="C105" i="84"/>
  <c r="H118" i="84"/>
  <c r="H102" i="84"/>
  <c r="C34" i="9"/>
  <c r="D6" i="71"/>
  <c r="C5" i="71"/>
  <c r="D5" i="71" s="1"/>
  <c r="M24" i="43" s="1"/>
  <c r="C42" i="40"/>
  <c r="C43" i="40"/>
  <c r="E47" i="40"/>
  <c r="F47" i="40" s="1"/>
  <c r="E46" i="40"/>
  <c r="F46" i="40" s="1"/>
  <c r="I47" i="40"/>
  <c r="J47" i="40" s="1"/>
  <c r="D34" i="9"/>
  <c r="H119" i="85" l="1"/>
  <c r="H101" i="85"/>
  <c r="C104" i="85"/>
  <c r="H119" i="84"/>
  <c r="H101" i="84"/>
  <c r="C104" i="84"/>
  <c r="B58" i="40"/>
  <c r="F58" i="40" s="1"/>
  <c r="B54" i="40"/>
  <c r="F54" i="40" s="1"/>
  <c r="B53" i="40"/>
  <c r="F53" i="40" s="1"/>
  <c r="B59" i="40"/>
  <c r="F59" i="40" s="1"/>
  <c r="B52" i="40"/>
  <c r="F52" i="40" s="1"/>
  <c r="B56" i="40"/>
  <c r="F56" i="40" s="1"/>
  <c r="B60" i="40"/>
  <c r="F60" i="40" s="1"/>
  <c r="B57" i="40"/>
  <c r="F57" i="40" s="1"/>
  <c r="B51" i="40"/>
  <c r="F51" i="40" s="1"/>
  <c r="F61" i="40"/>
  <c r="B2" i="40" s="1"/>
  <c r="B3" i="40" s="1"/>
  <c r="M48" i="85" l="1"/>
  <c r="D45" i="85"/>
  <c r="H107" i="85"/>
  <c r="H107" i="84"/>
  <c r="M48" i="84"/>
  <c r="D45" i="84"/>
  <c r="G118" i="9"/>
  <c r="G4" i="52" s="1"/>
  <c r="B52" i="72" s="1"/>
  <c r="I118" i="9"/>
  <c r="R24" i="31" s="1"/>
  <c r="D122" i="85" l="1"/>
  <c r="D123" i="85" s="1"/>
  <c r="H108" i="85"/>
  <c r="M49" i="85"/>
  <c r="C72" i="85"/>
  <c r="C64" i="85"/>
  <c r="C63" i="85" s="1"/>
  <c r="C67" i="85" s="1"/>
  <c r="D53" i="85"/>
  <c r="C78" i="85"/>
  <c r="C73" i="85" s="1"/>
  <c r="D52" i="85"/>
  <c r="C93" i="85"/>
  <c r="C86" i="85" s="1"/>
  <c r="C85" i="85"/>
  <c r="D55" i="85"/>
  <c r="M53" i="85" s="1"/>
  <c r="C72" i="84"/>
  <c r="C64" i="84"/>
  <c r="C63" i="84" s="1"/>
  <c r="C67" i="84" s="1"/>
  <c r="D53" i="84"/>
  <c r="C78" i="84"/>
  <c r="C73" i="84" s="1"/>
  <c r="D52" i="84"/>
  <c r="C93" i="84"/>
  <c r="C86" i="84" s="1"/>
  <c r="C85" i="84"/>
  <c r="D55" i="84"/>
  <c r="M53" i="84" s="1"/>
  <c r="F118" i="9"/>
  <c r="F4" i="52" s="1"/>
  <c r="B51" i="72" s="1"/>
  <c r="D122" i="84"/>
  <c r="D123" i="84" s="1"/>
  <c r="H108" i="84"/>
  <c r="M49" i="84"/>
  <c r="H118" i="9"/>
  <c r="C104" i="9" s="1"/>
  <c r="H102" i="9"/>
  <c r="D7" i="53" s="1"/>
  <c r="B21" i="72" s="1"/>
  <c r="C105" i="9"/>
  <c r="S24" i="31"/>
  <c r="R25" i="31"/>
  <c r="S25" i="31" s="1"/>
  <c r="F119" i="9"/>
  <c r="F5" i="52" s="1"/>
  <c r="B53" i="72" s="1"/>
  <c r="E118" i="9"/>
  <c r="I4" i="52"/>
  <c r="C79" i="85" l="1"/>
  <c r="H119" i="9"/>
  <c r="H5" i="52" s="1"/>
  <c r="H4" i="52"/>
  <c r="C80" i="85"/>
  <c r="E80" i="85" s="1"/>
  <c r="E81" i="85" s="1"/>
  <c r="L66" i="85"/>
  <c r="M66" i="85" s="1"/>
  <c r="L64" i="85"/>
  <c r="M64" i="85" s="1"/>
  <c r="L68" i="85"/>
  <c r="M68" i="85" s="1"/>
  <c r="L67" i="85"/>
  <c r="M67" i="85" s="1"/>
  <c r="L65" i="85"/>
  <c r="M65" i="85" s="1"/>
  <c r="L63" i="85"/>
  <c r="M63" i="85" s="1"/>
  <c r="H101" i="9"/>
  <c r="D45" i="9" s="1"/>
  <c r="C95" i="85"/>
  <c r="D59" i="85"/>
  <c r="M55" i="85" s="1"/>
  <c r="C68" i="85"/>
  <c r="D54" i="85" s="1"/>
  <c r="C95" i="84"/>
  <c r="C96" i="84" s="1"/>
  <c r="E96" i="84" s="1"/>
  <c r="E97" i="84" s="1"/>
  <c r="L66" i="84"/>
  <c r="M66" i="84" s="1"/>
  <c r="L64" i="84"/>
  <c r="M64" i="84" s="1"/>
  <c r="L68" i="84"/>
  <c r="M68" i="84" s="1"/>
  <c r="L67" i="84"/>
  <c r="M67" i="84" s="1"/>
  <c r="L65" i="84"/>
  <c r="M65" i="84" s="1"/>
  <c r="L63" i="84"/>
  <c r="M63" i="84" s="1"/>
  <c r="D59" i="84"/>
  <c r="M55" i="84" s="1"/>
  <c r="C68" i="84"/>
  <c r="D54" i="84" s="1"/>
  <c r="C79" i="84"/>
  <c r="E4" i="52"/>
  <c r="B48" i="72" s="1"/>
  <c r="D118" i="9"/>
  <c r="S22" i="31"/>
  <c r="D14" i="74" s="1"/>
  <c r="G14" i="74" s="1"/>
  <c r="B6" i="74" s="1"/>
  <c r="D6" i="74" s="1"/>
  <c r="D5" i="53" l="1"/>
  <c r="H107" i="9"/>
  <c r="M48" i="9"/>
  <c r="M69" i="85"/>
  <c r="N69" i="85" s="1"/>
  <c r="C96" i="85"/>
  <c r="E96" i="85" s="1"/>
  <c r="E97" i="85" s="1"/>
  <c r="C81" i="85"/>
  <c r="C97" i="84"/>
  <c r="D58" i="84" s="1"/>
  <c r="D56" i="84" s="1"/>
  <c r="M54" i="84" s="1"/>
  <c r="N57" i="84" s="1"/>
  <c r="N58" i="84" s="1"/>
  <c r="M69" i="84"/>
  <c r="N69" i="84" s="1"/>
  <c r="C80" i="84"/>
  <c r="E80" i="84" s="1"/>
  <c r="E81" i="84" s="1"/>
  <c r="D55" i="9"/>
  <c r="M53" i="9" s="1"/>
  <c r="C64" i="9"/>
  <c r="C63" i="9" s="1"/>
  <c r="C67" i="9" s="1"/>
  <c r="C72" i="9"/>
  <c r="C93" i="9"/>
  <c r="C86" i="9" s="1"/>
  <c r="C85" i="9"/>
  <c r="D53" i="9"/>
  <c r="D52" i="9"/>
  <c r="C78" i="9"/>
  <c r="C73" i="9" s="1"/>
  <c r="B20" i="72"/>
  <c r="D6" i="53"/>
  <c r="B22" i="72" s="1"/>
  <c r="R22" i="31"/>
  <c r="B20" i="31"/>
  <c r="B21" i="31" s="1"/>
  <c r="D119" i="9"/>
  <c r="D5" i="52" s="1"/>
  <c r="B49" i="72" s="1"/>
  <c r="D4" i="52"/>
  <c r="B47" i="72" s="1"/>
  <c r="H108" i="9"/>
  <c r="D122" i="9"/>
  <c r="M49" i="9"/>
  <c r="D13" i="53"/>
  <c r="C97" i="85" l="1"/>
  <c r="D58" i="85" s="1"/>
  <c r="D56" i="85" s="1"/>
  <c r="M54" i="85" s="1"/>
  <c r="N57" i="85" s="1"/>
  <c r="C81" i="84"/>
  <c r="N59" i="84"/>
  <c r="N60" i="84" s="1"/>
  <c r="P57" i="84"/>
  <c r="E14" i="74"/>
  <c r="F14" i="74"/>
  <c r="B5" i="74"/>
  <c r="C95" i="9"/>
  <c r="B30" i="72"/>
  <c r="D14" i="53"/>
  <c r="B32" i="72" s="1"/>
  <c r="D8" i="52"/>
  <c r="D123" i="9"/>
  <c r="D9" i="52" s="1"/>
  <c r="L66" i="9"/>
  <c r="M66" i="9" s="1"/>
  <c r="L64" i="9"/>
  <c r="M64" i="9" s="1"/>
  <c r="L65" i="9"/>
  <c r="M65" i="9" s="1"/>
  <c r="L67" i="9"/>
  <c r="M67" i="9" s="1"/>
  <c r="L63" i="9"/>
  <c r="M63" i="9" s="1"/>
  <c r="L68" i="9"/>
  <c r="M68" i="9" s="1"/>
  <c r="D15" i="53"/>
  <c r="B31" i="72" s="1"/>
  <c r="C6" i="74"/>
  <c r="C79" i="9"/>
  <c r="C68" i="9"/>
  <c r="D54" i="9" s="1"/>
  <c r="D59" i="9"/>
  <c r="M55" i="9" s="1"/>
  <c r="C96" i="9"/>
  <c r="E96" i="9" s="1"/>
  <c r="E97" i="9" s="1"/>
  <c r="N61" i="84" l="1"/>
  <c r="N58" i="85"/>
  <c r="P57" i="85"/>
  <c r="N59" i="85"/>
  <c r="D5" i="74"/>
  <c r="C5" i="74"/>
  <c r="C97" i="9"/>
  <c r="D58" i="9" s="1"/>
  <c r="D56" i="9" s="1"/>
  <c r="M54" i="9" s="1"/>
  <c r="N57" i="9" s="1"/>
  <c r="P57" i="9" s="1"/>
  <c r="M69" i="9"/>
  <c r="N69" i="9" s="1"/>
  <c r="C80" i="9"/>
  <c r="E80" i="9" s="1"/>
  <c r="E81" i="9" s="1"/>
  <c r="N61" i="85" l="1"/>
  <c r="N60" i="85"/>
  <c r="N59" i="9"/>
  <c r="N60" i="9" s="1"/>
  <c r="N58" i="9"/>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C2EABEF-3659-49A8-B75F-9D6AC44FEE7C}">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C51129D-92F9-4803-85AE-DEF4CAC40C3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DC5F396-E74E-4F00-A4EC-C7A1AB4F97AC}">
      <text>
        <r>
          <rPr>
            <sz val="11"/>
            <color indexed="81"/>
            <rFont val="宋体"/>
            <family val="3"/>
            <charset val="134"/>
          </rPr>
          <t>需在下方列示计算过程</t>
        </r>
        <r>
          <rPr>
            <sz val="9"/>
            <color indexed="81"/>
            <rFont val="宋体"/>
            <family val="3"/>
            <charset val="134"/>
          </rPr>
          <t xml:space="preserve">
</t>
        </r>
      </text>
    </comment>
    <comment ref="H75" authorId="2" shapeId="0" xr:uid="{7F907329-F5CE-4E30-83D7-9B1AC454ABB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F88ACE9-85E6-4801-902F-45E26F616D1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F50BA33-E811-417D-BEC7-E9D7C35FC4EB}">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00D1996-612F-4B98-8E56-DDB0D094C871}">
      <text>
        <r>
          <rPr>
            <sz val="11"/>
            <color indexed="81"/>
            <rFont val="宋体"/>
            <family val="3"/>
            <charset val="134"/>
          </rPr>
          <t>需在下方列示计算过程</t>
        </r>
        <r>
          <rPr>
            <sz val="9"/>
            <color indexed="81"/>
            <rFont val="宋体"/>
            <family val="3"/>
            <charset val="134"/>
          </rPr>
          <t xml:space="preserve">
</t>
        </r>
      </text>
    </comment>
    <comment ref="H75" authorId="2" shapeId="0" xr:uid="{23B1583A-D012-4039-8E79-DDC759B7EC2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0705BE6-11B2-4E89-B51A-012EDEE3F5A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86F7A2B-DA0E-4627-88FE-FFA4289FB4BA}">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A22C6CB-6780-410A-B561-131FF400E5E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0925327-9FF1-464C-9AB0-81680342EDEF}">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<sst xmlns="http://schemas.openxmlformats.org/spreadsheetml/2006/main" count="9128" uniqueCount="3488">
  <si>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</si>
  <si>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</si>
  <si>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</si>
  <si>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</si>
  <si>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</si>
  <si>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</si>
  <si>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</si>
  <si>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</si>
  <si>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</si>
  <si>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</si>
  <si>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</si>
  <si>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</si>
  <si>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</si>
  <si>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</si>
  <si>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</si>
  <si>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</si>
  <si>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</si>
  <si>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</si>
  <si>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</si>
  <si>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</si>
  <si>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</si>
  <si>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</si>
  <si>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</si>
  <si>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</si>
  <si>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</si>
  <si>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</si>
  <si>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</si>
  <si>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</si>
  <si>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</si>
  <si>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</si>
  <si>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</si>
  <si>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</si>
  <si>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</si>
  <si>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</si>
  <si>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</si>
  <si>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</si>
  <si>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</si>
  <si>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</si>
  <si>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</si>
  <si>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</si>
  <si>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</si>
  <si>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</si>
  <si>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</si>
  <si>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</si>
  <si>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</si>
  <si>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</si>
  <si>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</si>
  <si>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</si>
  <si>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</si>
  <si>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</si>
  <si>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</si>
  <si>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</si>
  <si>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</si>
  <si>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</si>
  <si>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</si>
  <si>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</si>
  <si>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</si>
  <si>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</si>
  <si>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</si>
  <si>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</si>
  <si>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</si>
  <si>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</si>
  <si>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</si>
  <si>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</si>
  <si>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</si>
  <si>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</si>
  <si>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</si>
  <si>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</si>
  <si>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</si>
  <si>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</si>
  <si>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</si>
  <si>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</si>
  <si>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</si>
  <si>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</si>
  <si>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</si>
  <si>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</si>
  <si>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</si>
  <si>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</si>
  <si>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</si>
  <si>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</si>
  <si>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</si>
  <si>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</si>
  <si>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</si>
  <si>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</si>
  <si>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</si>
  <si>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</si>
  <si>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</si>
  <si>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</si>
  <si>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</si>
  <si>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</si>
  <si>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</si>
  <si>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</si>
  <si>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</si>
  <si>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</si>
  <si>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</si>
  <si>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</si>
  <si>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</si>
  <si>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</si>
  <si>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</si>
  <si>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</si>
  <si>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</si>
  <si>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</si>
  <si>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</si>
  <si>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</si>
  <si>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</si>
  <si>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</si>
  <si>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</si>
  <si>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</si>
  <si>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</si>
  <si>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</si>
  <si>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</si>
  <si>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</si>
  <si>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</si>
  <si>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</si>
  <si>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</si>
  <si>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</si>
  <si>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</si>
  <si>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</si>
  <si>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</si>
  <si>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</si>
  <si>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</si>
  <si>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</si>
  <si>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</si>
  <si>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</si>
  <si>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</si>
  <si>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</si>
  <si>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</si>
  <si>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</si>
  <si>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</si>
  <si>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</si>
  <si>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</si>
  <si>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</si>
  <si>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</si>
  <si>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</si>
  <si>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</si>
  <si>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</si>
  <si>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</si>
  <si>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</si>
  <si>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</si>
  <si>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</si>
  <si>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</si>
  <si>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</si>
  <si>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</si>
  <si>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</si>
  <si>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</si>
  <si>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</si>
  <si>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</si>
  <si>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</si>
  <si>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</si>
  <si>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</si>
  <si>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</si>
  <si>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</si>
  <si>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</si>
  <si>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</si>
  <si>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</si>
  <si>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</si>
  <si>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</si>
  <si>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</si>
  <si>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</si>
  <si>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</si>
  <si>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</si>
  <si>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</si>
  <si>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</si>
  <si>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</si>
  <si>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</si>
  <si>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</si>
  <si>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</si>
  <si>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</si>
  <si>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</si>
  <si>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</si>
  <si>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</si>
  <si>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</si>
  <si>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</si>
  <si>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</si>
  <si>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</si>
  <si>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</si>
  <si>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</si>
  <si>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</si>
  <si>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</si>
  <si>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</si>
  <si>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</si>
  <si>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</si>
  <si>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</si>
  <si>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</si>
  <si>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</si>
  <si>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</si>
  <si>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</si>
  <si>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</si>
  <si>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</si>
  <si>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</si>
  <si>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</si>
  <si>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</si>
  <si>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</si>
  <si>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</si>
  <si>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</si>
  <si>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</si>
  <si>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</si>
  <si>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</si>
  <si>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</si>
  <si>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</si>
  <si>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</si>
  <si>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</si>
  <si>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</si>
  <si>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</si>
  <si>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</si>
  <si>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</si>
  <si>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</si>
  <si>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</si>
  <si>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</si>
  <si>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</si>
  <si>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</si>
  <si>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</si>
  <si>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</si>
  <si>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</si>
  <si>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</si>
  <si>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</si>
  <si>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</si>
  <si>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</si>
  <si>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</si>
  <si>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</si>
  <si>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</si>
  <si>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</si>
  <si>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</si>
  <si>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</si>
  <si>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</si>
  <si>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</si>
  <si>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</si>
  <si>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</si>
  <si>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</si>
  <si>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</si>
  <si>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</si>
  <si>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</si>
  <si>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</si>
  <si>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</si>
  <si>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</si>
  <si>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</si>
  <si>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</si>
  <si>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</si>
  <si>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</si>
  <si>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</si>
  <si>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</si>
  <si>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</si>
  <si>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</si>
  <si>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</si>
  <si>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</si>
  <si>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</si>
  <si>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</si>
  <si>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</si>
  <si>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</si>
  <si>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</si>
  <si>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</si>
  <si>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</si>
  <si>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</si>
  <si>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</si>
  <si>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</si>
  <si>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</si>
  <si>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</si>
  <si>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</si>
  <si>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</si>
  <si>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</si>
  <si>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</si>
  <si>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</si>
  <si>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</si>
  <si>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</si>
  <si>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</si>
  <si>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</si>
  <si>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</si>
  <si>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</si>
  <si>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</si>
  <si>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</si>
  <si>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</si>
  <si>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</si>
  <si>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</si>
  <si>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</si>
  <si>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</si>
  <si>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</si>
  <si>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</si>
  <si>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</si>
  <si>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</si>
  <si>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</si>
  <si>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</si>
  <si>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</si>
  <si>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</si>
  <si>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</si>
  <si>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</si>
  <si>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</si>
  <si>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</si>
  <si>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</si>
  <si>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</si>
  <si>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</si>
  <si>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</si>
  <si>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</si>
  <si>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</si>
  <si>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</si>
  <si>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</si>
  <si>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</si>
  <si>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</si>
  <si>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</si>
  <si>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</si>
  <si>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</si>
  <si>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</si>
  <si>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</si>
  <si>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</si>
  <si>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</si>
  <si>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</si>
  <si>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</si>
  <si>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</si>
  <si>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</si>
  <si>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</si>
  <si>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</si>
  <si>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</si>
  <si>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</si>
  <si>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</si>
  <si>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</si>
  <si>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</si>
  <si>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</si>
  <si>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</si>
  <si>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</si>
  <si>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</si>
  <si>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</si>
  <si>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</si>
  <si>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</si>
  <si>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</si>
  <si>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</si>
  <si>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</si>
  <si>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</si>
  <si>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</si>
  <si>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</si>
  <si>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</si>
  <si>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</si>
  <si>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</si>
  <si>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</si>
  <si>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</si>
  <si>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</si>
  <si>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</si>
  <si>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</si>
  <si>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</si>
  <si>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</si>
  <si>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</si>
  <si>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</si>
  <si>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</si>
  <si>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</si>
  <si>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</si>
  <si>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</si>
  <si>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</si>
  <si>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</si>
  <si>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</si>
  <si>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</si>
  <si>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</si>
  <si>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</si>
  <si>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</si>
  <si>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</si>
  <si>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</si>
  <si>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</si>
  <si>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</si>
  <si>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</si>
  <si>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</si>
  <si>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</si>
  <si>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</si>
  <si>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</si>
  <si>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</si>
  <si>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</si>
  <si>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</si>
  <si>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</si>
  <si>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</si>
  <si>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</si>
  <si>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</si>
  <si>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</si>
  <si>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</si>
  <si>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</si>
  <si>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</si>
  <si>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</si>
  <si>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</si>
  <si>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</si>
  <si>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</si>
  <si>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</si>
  <si>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</si>
  <si>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</si>
  <si>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</si>
  <si>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</si>
  <si>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</si>
  <si>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</si>
  <si>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</si>
  <si>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</si>
  <si>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</si>
  <si>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</si>
  <si>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</si>
  <si>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</si>
  <si>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</si>
  <si>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</si>
  <si>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</si>
  <si>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</si>
  <si>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</si>
  <si>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</si>
  <si>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</si>
  <si>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</si>
  <si>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</si>
  <si>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</si>
  <si>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</si>
  <si>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</si>
  <si>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</si>
  <si>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</si>
  <si>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</si>
  <si>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</si>
  <si>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</si>
  <si>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</si>
  <si>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</si>
  <si>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</si>
  <si>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</si>
  <si>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</si>
  <si>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</si>
  <si>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</si>
  <si>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</si>
  <si>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</si>
  <si>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</si>
  <si>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</si>
  <si>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</si>
  <si>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</si>
  <si>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</si>
  <si>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</si>
  <si>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</si>
  <si>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</si>
  <si>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</si>
  <si>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</si>
  <si>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</si>
  <si>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</si>
  <si>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</si>
  <si>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</si>
  <si>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</si>
  <si>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</si>
  <si>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</si>
  <si>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</si>
  <si>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</si>
  <si>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</si>
  <si>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</si>
  <si>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</si>
  <si>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</si>
  <si>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</si>
  <si>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</si>
  <si>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</si>
  <si>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</si>
  <si>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</si>
  <si>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</si>
  <si>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</si>
  <si>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</si>
  <si>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</si>
  <si>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</si>
  <si>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</si>
  <si>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</si>
  <si>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</si>
  <si>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</si>
  <si>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</si>
  <si>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</si>
  <si>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</si>
  <si>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</si>
  <si>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</si>
  <si>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</si>
  <si>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</si>
  <si>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</si>
  <si>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</si>
  <si>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</si>
  <si>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</si>
  <si>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</si>
  <si>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</si>
  <si>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</si>
  <si>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</si>
  <si>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</si>
  <si>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</si>
  <si>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</si>
  <si>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</si>
  <si>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</si>
  <si>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</si>
  <si>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</si>
  <si>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</si>
  <si>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</si>
  <si>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</si>
  <si>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</si>
  <si>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</si>
  <si>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</si>
  <si>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</si>
  <si>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</si>
  <si>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</si>
  <si>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</si>
  <si>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</si>
  <si>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</si>
  <si>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</si>
  <si>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</si>
  <si>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</si>
  <si>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</si>
  <si>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</si>
  <si>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</si>
  <si>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</si>
  <si>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</si>
  <si>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</si>
  <si>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</si>
  <si>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</si>
  <si>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</si>
  <si>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</si>
  <si>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</si>
  <si>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</si>
  <si>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</si>
  <si>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</si>
  <si>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</si>
  <si>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</si>
  <si>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</si>
  <si>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</si>
  <si>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</si>
  <si>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</si>
  <si>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</si>
  <si>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</si>
  <si>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</si>
  <si>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</si>
  <si>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</si>
  <si>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</si>
  <si>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</si>
  <si>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</si>
  <si>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</si>
  <si>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</si>
  <si>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</si>
  <si>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</si>
  <si>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</si>
  <si>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</si>
  <si>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</si>
  <si>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</si>
  <si>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</si>
  <si>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</si>
  <si>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</si>
  <si>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</si>
  <si>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</si>
  <si>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</si>
  <si>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</si>
  <si>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</si>
  <si>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</si>
  <si>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</si>
  <si>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</si>
  <si>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</si>
  <si>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</si>
  <si>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</si>
  <si>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</si>
  <si>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</si>
  <si>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</si>
  <si>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</si>
  <si>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</si>
  <si>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</si>
  <si>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</si>
  <si>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</si>
  <si>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</si>
  <si>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</si>
  <si>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</si>
  <si>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</si>
  <si>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</si>
  <si>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</si>
  <si>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</si>
  <si>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</si>
  <si>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</si>
  <si>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</si>
  <si>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</si>
  <si>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</si>
  <si>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</si>
  <si>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</si>
  <si>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</si>
  <si>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</si>
  <si>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</si>
  <si>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</si>
  <si>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</si>
  <si>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</si>
  <si>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</si>
  <si>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</si>
  <si>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</si>
  <si>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</si>
  <si>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</si>
  <si>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</si>
  <si>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</si>
  <si>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</si>
  <si>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</si>
  <si>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</si>
  <si>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</si>
  <si>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</si>
  <si>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</si>
  <si>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</si>
  <si>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</si>
  <si>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</si>
  <si>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</si>
  <si>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</si>
  <si>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</si>
  <si>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</si>
  <si>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</si>
  <si>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</si>
  <si>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</si>
  <si>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</si>
  <si>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</si>
  <si>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</si>
  <si>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</si>
  <si>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</si>
  <si>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</si>
  <si>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</si>
  <si>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</si>
  <si>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</si>
  <si>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</si>
  <si>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</si>
  <si>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</si>
  <si>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</si>
  <si>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</si>
  <si>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</si>
  <si>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</si>
  <si>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</si>
  <si>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</si>
  <si>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</si>
  <si>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</si>
  <si>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</si>
  <si>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</si>
  <si>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</si>
  <si>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</si>
  <si>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</si>
  <si>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</si>
  <si>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</si>
  <si>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</si>
  <si>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</si>
  <si>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</si>
  <si>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</si>
  <si>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</si>
  <si>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</si>
  <si>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</si>
  <si>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</si>
  <si>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</si>
  <si>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</si>
  <si>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</si>
  <si>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</si>
  <si>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</si>
  <si>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</si>
  <si>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</si>
  <si>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</si>
  <si>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</si>
  <si>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</si>
  <si>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</si>
  <si>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</si>
  <si>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</si>
  <si>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</si>
  <si>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</si>
  <si>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</si>
  <si>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</si>
  <si>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</si>
  <si>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</si>
  <si>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</si>
  <si>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</si>
  <si>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</si>
  <si>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</si>
  <si>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</si>
  <si>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</si>
  <si>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</si>
  <si>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</si>
  <si>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</si>
  <si>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</si>
  <si>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</si>
  <si>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</si>
  <si>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</si>
  <si>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</si>
  <si>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</si>
  <si>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</si>
  <si>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</si>
  <si>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</si>
  <si>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</si>
  <si>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</si>
  <si>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</si>
  <si>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</si>
  <si>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</si>
  <si>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</si>
  <si>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</si>
  <si>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</si>
  <si>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</si>
  <si>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</si>
  <si>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</si>
  <si>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</si>
  <si>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</si>
  <si>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</si>
  <si>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</si>
  <si>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</si>
  <si>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</si>
  <si>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</si>
  <si>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</si>
  <si>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</si>
  <si>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</si>
  <si>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</si>
  <si>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</si>
  <si>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</si>
  <si>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</si>
  <si>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</si>
  <si>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</si>
  <si>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</si>
  <si>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</si>
  <si>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</si>
  <si>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</si>
  <si>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</si>
  <si>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</si>
  <si>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</si>
  <si>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</si>
  <si>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</si>
  <si>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</si>
  <si>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</si>
  <si>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</si>
  <si>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</si>
  <si>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</si>
  <si>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</si>
  <si>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</si>
  <si>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</si>
  <si>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</si>
  <si>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</si>
  <si>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</si>
  <si>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</si>
  <si>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</si>
  <si>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</si>
  <si>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</si>
  <si>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</si>
  <si>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</si>
  <si>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</si>
  <si>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</si>
  <si>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</si>
  <si>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</si>
  <si>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</si>
  <si>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</si>
  <si>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</si>
  <si>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</si>
  <si>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</si>
  <si>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</si>
  <si>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</si>
  <si>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</si>
  <si>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</si>
  <si>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</si>
  <si>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</si>
  <si>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</si>
  <si>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</si>
  <si>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</si>
  <si>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</si>
  <si>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</si>
  <si>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</si>
  <si>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</si>
  <si>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</si>
  <si>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</si>
  <si>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</si>
  <si>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</si>
  <si>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</si>
  <si>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</si>
  <si>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</si>
  <si>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</si>
  <si>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</si>
  <si>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</si>
  <si>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</si>
  <si>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</si>
  <si>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</si>
  <si>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</si>
  <si>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</si>
  <si>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</si>
  <si>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</si>
  <si>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</si>
  <si>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</si>
  <si>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</si>
  <si>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</si>
  <si>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</si>
  <si>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</si>
  <si>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</si>
  <si>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</si>
  <si>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</si>
  <si>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</si>
  <si>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</si>
  <si>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</si>
  <si>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</si>
  <si>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</si>
  <si>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</si>
  <si>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</si>
  <si>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</si>
  <si>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</si>
  <si>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</si>
  <si>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</si>
  <si>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</si>
  <si>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</si>
  <si>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</si>
  <si>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</si>
  <si>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</si>
  <si>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</si>
  <si>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</si>
  <si>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</si>
  <si>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</si>
  <si>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</si>
  <si>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</si>
  <si>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</si>
  <si>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</si>
  <si>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</si>
  <si>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</si>
  <si>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</si>
  <si>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</si>
  <si>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</si>
  <si>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</si>
  <si>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</si>
  <si>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</si>
  <si>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</si>
  <si>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</si>
  <si>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</si>
  <si>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</si>
  <si>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</si>
  <si>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</si>
  <si>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</si>
  <si>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</si>
  <si>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</si>
  <si>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</si>
  <si>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</si>
  <si>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</si>
  <si>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</si>
  <si>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</si>
  <si>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</si>
  <si>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</si>
  <si>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</si>
  <si>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</si>
  <si>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</si>
  <si>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</si>
  <si>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</si>
  <si>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</si>
  <si>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</si>
  <si>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</si>
  <si>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</si>
  <si>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</si>
  <si>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</si>
  <si>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</si>
  <si>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</si>
  <si>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</si>
  <si>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</si>
  <si>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</si>
  <si>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</si>
  <si>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</si>
  <si>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</si>
  <si>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</si>
  <si>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</si>
  <si>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</si>
  <si>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</si>
  <si>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</si>
  <si>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</si>
  <si>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</si>
  <si>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</si>
  <si>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</si>
  <si>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</si>
  <si>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</si>
  <si>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</si>
  <si>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</si>
  <si>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</si>
  <si>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</si>
  <si>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</si>
  <si>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</si>
  <si>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</si>
  <si>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</si>
  <si>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</si>
  <si>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</si>
  <si>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</si>
  <si>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</si>
  <si>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</si>
  <si>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</si>
  <si>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</si>
  <si>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</si>
  <si>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</si>
  <si>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</si>
  <si>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</si>
  <si>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</si>
  <si>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</si>
  <si>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</si>
  <si>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</si>
  <si>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</si>
  <si>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</si>
  <si>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</si>
  <si>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</si>
  <si>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</si>
  <si>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</si>
  <si>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</si>
  <si>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</si>
  <si>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</si>
  <si>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</si>
  <si>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</si>
  <si>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</si>
  <si>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</si>
  <si>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</si>
  <si>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</si>
  <si>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</si>
  <si>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</si>
  <si>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</si>
  <si>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</si>
  <si>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</si>
  <si>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</si>
  <si>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</si>
  <si>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</si>
  <si>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</si>
  <si>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</si>
  <si>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</si>
  <si>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</si>
  <si>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</si>
  <si>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</si>
  <si>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</si>
  <si>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</si>
  <si>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</si>
  <si>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</si>
  <si>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</si>
  <si>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</si>
  <si>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</si>
  <si>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</si>
  <si>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</si>
  <si>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</si>
  <si>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</si>
  <si>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</si>
  <si>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</si>
  <si>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</si>
  <si>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</si>
  <si>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</si>
  <si>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</si>
  <si>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</si>
  <si>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</si>
  <si>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</si>
  <si>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</si>
  <si>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</si>
  <si>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</si>
  <si>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</si>
  <si>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</si>
  <si>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</si>
  <si>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</si>
  <si>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</si>
  <si>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</si>
  <si>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</si>
  <si>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</si>
  <si>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</si>
  <si>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</si>
  <si>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</si>
  <si>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</si>
  <si>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</si>
  <si>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</si>
  <si>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</si>
  <si>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</si>
  <si>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</si>
  <si>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</si>
  <si>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</si>
  <si>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</si>
  <si>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</si>
  <si>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</si>
  <si>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</si>
  <si>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</si>
  <si>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</si>
  <si>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</si>
  <si>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</si>
  <si>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</si>
  <si>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</si>
  <si>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</si>
  <si>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</si>
  <si>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</si>
  <si>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</si>
  <si>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</si>
  <si>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</si>
  <si>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</si>
  <si>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</si>
  <si>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</si>
  <si>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</si>
  <si>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</si>
  <si>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</si>
  <si>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</si>
  <si>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</si>
  <si>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</si>
  <si>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</si>
  <si>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</si>
  <si>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</si>
  <si>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</si>
  <si>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</si>
  <si>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</si>
  <si>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</si>
  <si>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</si>
  <si>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</si>
  <si>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</si>
  <si>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</si>
  <si>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</si>
  <si>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</si>
  <si>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</si>
  <si>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</si>
  <si>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</si>
  <si>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</si>
  <si>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</si>
  <si>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</si>
  <si>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</si>
  <si>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</si>
  <si>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</si>
  <si>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</si>
  <si>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</si>
  <si>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</si>
  <si>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</si>
  <si>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</si>
  <si>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</si>
  <si>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</si>
  <si>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</si>
  <si>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</si>
  <si>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</si>
  <si>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</si>
  <si>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</si>
  <si>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</si>
  <si>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</si>
  <si>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</si>
  <si>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</si>
  <si>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</si>
  <si>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</si>
  <si>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</si>
  <si>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</si>
  <si>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</si>
  <si>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</si>
  <si>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</si>
  <si>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</si>
  <si>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</si>
  <si>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</si>
  <si>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</si>
  <si>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</si>
  <si>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</si>
  <si>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</si>
  <si>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</si>
  <si>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</si>
  <si>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</si>
  <si>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</si>
  <si>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</si>
  <si>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</si>
  <si>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</si>
  <si>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</si>
  <si>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</si>
  <si>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</si>
  <si>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</si>
  <si>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</si>
  <si>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</si>
  <si>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</si>
  <si>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</si>
  <si>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</si>
  <si>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</si>
  <si>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</si>
  <si>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</si>
  <si>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</si>
  <si>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</si>
  <si>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</si>
  <si>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</si>
  <si>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</si>
  <si>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</si>
  <si>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</si>
  <si>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</si>
  <si>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</si>
  <si>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</si>
  <si>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</si>
  <si>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</si>
  <si>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</si>
  <si>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</si>
  <si>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</si>
  <si>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</si>
  <si>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</si>
  <si>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</si>
  <si>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</si>
  <si>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</si>
  <si>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</si>
  <si>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</si>
  <si>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</si>
  <si>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</si>
  <si>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</si>
  <si>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</si>
  <si>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</si>
  <si>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</si>
  <si>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</si>
  <si>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</si>
  <si>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</si>
  <si>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</si>
  <si>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</si>
  <si>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</si>
  <si>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</si>
  <si>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</si>
  <si>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</si>
  <si>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</si>
  <si>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</si>
  <si>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</si>
  <si>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</si>
  <si>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</si>
  <si>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</si>
  <si>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</si>
  <si>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</si>
  <si>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</si>
  <si>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</si>
  <si>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</si>
  <si>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</si>
  <si>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</si>
  <si>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</si>
  <si>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</si>
  <si>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</si>
  <si>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</si>
  <si>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</si>
  <si>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</si>
  <si>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</si>
  <si>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</si>
  <si>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</si>
  <si>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</si>
  <si>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</si>
  <si>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</si>
  <si>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</si>
  <si>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</si>
  <si>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</si>
  <si>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</si>
  <si>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</si>
  <si>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</si>
  <si>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</si>
  <si>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</si>
  <si>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</si>
  <si>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</si>
  <si>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</si>
  <si>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</si>
  <si>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</si>
  <si>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</si>
  <si>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</si>
  <si>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</si>
  <si>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</si>
  <si>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</si>
  <si>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</si>
  <si>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</si>
  <si>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</si>
  <si>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</si>
  <si>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</si>
  <si>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</si>
  <si>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</si>
  <si>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</si>
  <si>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</si>
  <si>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</si>
  <si>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</si>
  <si>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</si>
  <si>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</si>
  <si>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</si>
  <si>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</si>
  <si>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</si>
  <si>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</si>
  <si>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</si>
  <si>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</si>
  <si>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</si>
  <si>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</si>
  <si>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</si>
  <si>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</si>
  <si>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</si>
  <si>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</si>
  <si>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</si>
  <si>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</si>
  <si>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</si>
  <si>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</si>
  <si>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</si>
  <si>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</si>
  <si>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</si>
  <si>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</si>
  <si>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</si>
  <si>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</si>
  <si>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</si>
  <si>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</si>
  <si>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</si>
  <si>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</si>
  <si>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</si>
  <si>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</si>
  <si>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</si>
  <si>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</si>
  <si>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</si>
  <si>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</si>
  <si>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</si>
  <si>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</si>
  <si>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</si>
  <si>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</si>
  <si>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</si>
  <si>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</si>
  <si>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</si>
  <si>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</si>
  <si>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</si>
  <si>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</si>
  <si>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</si>
  <si>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</si>
  <si>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</si>
  <si>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</si>
  <si>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</si>
  <si>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</si>
  <si>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</si>
  <si>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</si>
  <si>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</si>
  <si>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</si>
  <si>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</si>
  <si>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</si>
  <si>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</si>
  <si>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</si>
  <si>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</si>
  <si>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</si>
  <si>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</si>
  <si>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</si>
  <si>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</si>
  <si>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</si>
  <si>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</si>
  <si>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</si>
  <si>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</si>
  <si>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</si>
  <si>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</si>
  <si>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</si>
  <si>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</si>
  <si>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</si>
  <si>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</si>
  <si>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</si>
  <si>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</si>
  <si>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</si>
  <si>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</si>
  <si>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</si>
  <si>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</si>
  <si>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</si>
  <si>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</si>
  <si>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</si>
  <si>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</si>
  <si>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</si>
  <si>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</si>
  <si>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</si>
  <si>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</si>
  <si>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</si>
  <si>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</si>
  <si>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</si>
  <si>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</si>
  <si>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</si>
  <si>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</si>
  <si>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</si>
  <si>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</si>
  <si>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</si>
  <si>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</si>
  <si>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</si>
  <si>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</si>
  <si>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</si>
  <si>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</si>
  <si>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</si>
  <si>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</si>
  <si>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</si>
  <si>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</si>
  <si>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</si>
  <si>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</si>
  <si>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</si>
  <si>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</si>
  <si>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</si>
  <si>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</si>
  <si>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</si>
  <si>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</si>
  <si>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</si>
  <si>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</si>
  <si>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</si>
  <si>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</si>
  <si>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</si>
  <si>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</si>
  <si>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</si>
  <si>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</si>
  <si>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</si>
  <si>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</si>
  <si>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</si>
  <si>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</si>
  <si>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</si>
  <si>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</si>
  <si>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</si>
  <si>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</si>
  <si>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</si>
  <si>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</si>
  <si>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</si>
  <si>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</si>
  <si>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</si>
  <si>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</si>
  <si>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</si>
  <si>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</si>
  <si>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</si>
  <si>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</si>
  <si>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</si>
  <si>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</si>
  <si>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</si>
  <si>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</si>
  <si>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</si>
  <si>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</si>
  <si>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</si>
  <si>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</si>
  <si>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</si>
  <si>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</si>
  <si>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</si>
  <si>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</si>
  <si>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</si>
  <si>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</si>
  <si>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</si>
  <si>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</si>
  <si>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</si>
  <si>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</si>
  <si>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</si>
  <si>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</si>
  <si>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</si>
  <si>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</si>
  <si>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</si>
  <si>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</si>
  <si>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</si>
  <si>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</si>
  <si>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</si>
  <si>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</si>
  <si>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</si>
  <si>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</si>
  <si>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</si>
  <si>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</si>
  <si>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</si>
  <si>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</si>
  <si>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</si>
  <si>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</si>
  <si>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</si>
  <si>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</si>
  <si>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</si>
  <si>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</si>
  <si>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</si>
  <si>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</si>
  <si>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</si>
  <si>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</si>
  <si>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</si>
  <si>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</si>
  <si>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</si>
  <si>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</si>
  <si>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</si>
  <si>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</si>
  <si>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</si>
  <si>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</si>
  <si>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</si>
  <si>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</si>
  <si>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</si>
  <si>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</si>
  <si>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</si>
  <si>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</si>
  <si>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</si>
  <si>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</si>
  <si>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</si>
  <si>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</si>
  <si>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</si>
  <si>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</si>
  <si>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</si>
  <si>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</si>
  <si>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</si>
  <si>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</si>
  <si>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</si>
  <si>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</si>
  <si>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</si>
  <si>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</si>
  <si>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</si>
  <si>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</si>
  <si>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</si>
  <si>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</si>
  <si>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</si>
  <si>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</si>
  <si>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</si>
  <si>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</si>
  <si>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</si>
  <si>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</si>
  <si>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</si>
  <si>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</si>
  <si>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</si>
  <si>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</si>
  <si>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</si>
  <si>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</si>
  <si>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</si>
  <si>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</si>
  <si>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</si>
  <si>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</si>
  <si>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</si>
  <si>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</si>
  <si>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</si>
  <si>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</si>
  <si>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</si>
  <si>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</si>
  <si>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</si>
  <si>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</si>
  <si>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</si>
  <si>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</si>
  <si>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</si>
  <si>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</si>
  <si>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</si>
  <si>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</si>
  <si>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</si>
  <si>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</si>
  <si>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</si>
  <si>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</si>
  <si>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</si>
  <si>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</si>
  <si>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</si>
  <si>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</si>
  <si>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</si>
  <si>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</si>
  <si>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</si>
  <si>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</si>
  <si>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</si>
  <si>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</si>
  <si>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</si>
  <si>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</si>
  <si>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</si>
  <si>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</si>
  <si>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</si>
  <si>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</si>
  <si>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</si>
  <si>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</si>
  <si>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</si>
  <si>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</si>
  <si>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</si>
  <si>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</si>
  <si>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</si>
  <si>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</si>
  <si>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</si>
  <si>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</si>
  <si>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</si>
  <si>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</si>
  <si>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</si>
  <si>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</si>
  <si>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</si>
  <si>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</si>
  <si>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</si>
  <si>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</si>
  <si>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</si>
  <si>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</si>
  <si>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</si>
  <si>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</si>
  <si>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</si>
  <si>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</si>
  <si>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</si>
  <si>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</si>
  <si>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</si>
  <si>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</si>
  <si>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</si>
  <si>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</si>
  <si>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</si>
  <si>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</si>
  <si>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</si>
  <si>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</si>
  <si>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</si>
  <si>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</si>
  <si>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</si>
  <si>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</si>
  <si>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</si>
  <si>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</si>
  <si>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</si>
  <si>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</si>
  <si>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</si>
  <si>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</si>
  <si>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</si>
  <si>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</si>
  <si>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</si>
  <si>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</si>
  <si>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</si>
  <si>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</si>
  <si>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</si>
  <si>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</si>
  <si>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</si>
  <si>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</si>
  <si>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</si>
  <si>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</si>
  <si>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</si>
  <si>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</si>
  <si>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</si>
  <si>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</si>
  <si>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</si>
  <si>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</si>
  <si>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</si>
  <si>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</si>
  <si>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</si>
  <si>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</si>
  <si>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</si>
  <si>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</si>
  <si>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</si>
  <si>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</si>
  <si>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</si>
  <si>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</si>
  <si>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</si>
  <si>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</si>
  <si>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</si>
  <si>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</si>
  <si>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</si>
  <si>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</si>
  <si>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</si>
  <si>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</si>
  <si>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</si>
  <si>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</si>
  <si>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</si>
  <si>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</si>
  <si>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</si>
  <si>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</si>
  <si>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</si>
  <si>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</si>
  <si>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</si>
  <si>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</si>
  <si>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</si>
  <si>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</si>
  <si>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</si>
  <si>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</si>
  <si>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</si>
  <si>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</si>
  <si>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</si>
  <si>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</si>
  <si>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</si>
  <si>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</si>
  <si>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</si>
  <si>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</si>
  <si>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</si>
  <si>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</si>
  <si>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</si>
  <si>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</si>
  <si>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</si>
  <si>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</si>
  <si>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</si>
  <si>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</si>
  <si>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</si>
  <si>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</si>
  <si>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</si>
  <si>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</si>
  <si>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</si>
  <si>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</si>
  <si>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</si>
  <si>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</si>
  <si>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</si>
  <si>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</si>
  <si>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</si>
  <si>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</si>
  <si>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</si>
  <si>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</si>
  <si>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</si>
  <si>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</si>
  <si>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</si>
  <si>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</si>
  <si>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</si>
  <si>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</si>
  <si>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</si>
  <si>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</si>
  <si>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</si>
  <si>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</si>
  <si>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</si>
  <si>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</si>
  <si>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</si>
  <si>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</si>
  <si>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</si>
  <si>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</si>
  <si>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</si>
  <si>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</si>
  <si>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</si>
  <si>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</si>
  <si>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</si>
  <si>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</si>
  <si>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</si>
  <si>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</si>
  <si>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</si>
  <si>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</si>
  <si>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</si>
  <si>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</si>
  <si>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</si>
  <si>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</si>
  <si>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</si>
  <si>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</si>
  <si>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</si>
  <si>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</si>
  <si>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</si>
  <si>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</si>
  <si>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</si>
  <si>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</si>
  <si>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</si>
  <si>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</si>
  <si>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</si>
  <si>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</si>
  <si>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</si>
  <si>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</si>
  <si>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</si>
  <si>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</si>
  <si>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</si>
  <si>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</si>
  <si>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</si>
  <si>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</si>
  <si>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</si>
  <si>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</si>
  <si>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</si>
  <si>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</si>
  <si>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</si>
  <si>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</si>
  <si>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</si>
  <si>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</si>
  <si>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</si>
  <si>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</si>
  <si>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</si>
  <si>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</si>
  <si>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</si>
  <si>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</si>
  <si>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</si>
  <si>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</si>
  <si>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</si>
  <si>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</si>
  <si>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</si>
  <si>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</si>
  <si>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</si>
  <si>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</si>
  <si>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</si>
  <si>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</si>
  <si>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</si>
  <si>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</si>
  <si>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</si>
  <si>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</si>
  <si>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</si>
  <si>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</si>
  <si>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</si>
  <si>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</si>
  <si>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</si>
  <si>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</si>
  <si>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</si>
  <si>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</si>
  <si>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</si>
  <si>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</si>
  <si>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</si>
  <si>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</si>
  <si>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</si>
  <si>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</si>
  <si>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</si>
  <si>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</si>
  <si>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</si>
  <si>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</si>
  <si>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</si>
  <si>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</si>
  <si>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</si>
  <si>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</si>
  <si>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</si>
  <si>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</si>
  <si>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</si>
  <si>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</si>
  <si>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</si>
  <si>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</si>
  <si>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</si>
  <si>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</si>
  <si>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</si>
  <si>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</si>
  <si>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</si>
  <si>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</si>
  <si>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</si>
  <si>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</si>
  <si>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</si>
  <si>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</si>
  <si>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</si>
  <si>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</si>
  <si>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</si>
  <si>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</si>
  <si>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</si>
  <si>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</si>
  <si>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</si>
  <si>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</si>
  <si>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</si>
  <si>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</si>
  <si>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</si>
  <si>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</si>
  <si>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</si>
  <si>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</si>
  <si>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</si>
  <si>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</si>
  <si>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</si>
  <si>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</si>
  <si>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</si>
  <si>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</si>
  <si>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</si>
  <si>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</si>
  <si>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</si>
  <si>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</si>
  <si>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</si>
  <si>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</si>
  <si>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</si>
  <si>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</si>
  <si>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</si>
  <si>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</si>
  <si>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</si>
  <si>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</si>
  <si>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</si>
  <si>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</si>
  <si>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</si>
  <si>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</si>
  <si>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</si>
  <si>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</si>
  <si>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</si>
  <si>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</si>
  <si>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</si>
  <si>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</si>
  <si>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</si>
  <si>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</si>
  <si>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</si>
  <si>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</si>
  <si>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</si>
  <si>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</si>
  <si>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</si>
  <si>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</si>
  <si>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</si>
  <si>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</si>
  <si>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</si>
  <si>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</si>
  <si>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</si>
  <si>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</si>
  <si>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</si>
  <si>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</si>
  <si>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</si>
  <si>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</si>
  <si>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</si>
  <si>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</si>
  <si>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</si>
  <si>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</si>
  <si>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</si>
  <si>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</si>
  <si>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</si>
  <si>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</si>
  <si>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</si>
  <si>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</si>
  <si>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</si>
  <si>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</si>
  <si>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</si>
  <si>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</si>
  <si>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</si>
  <si>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</si>
  <si>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</si>
  <si>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</si>
  <si>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</si>
  <si>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</si>
  <si>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</si>
  <si>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</si>
  <si>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</si>
  <si>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</si>
  <si>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</si>
  <si>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</si>
  <si>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</si>
  <si>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</si>
  <si>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</si>
  <si>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</si>
  <si>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</si>
  <si>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</si>
  <si>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</si>
  <si>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</si>
  <si>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</si>
  <si>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</si>
  <si>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</si>
  <si>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</si>
  <si>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</si>
  <si>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</si>
  <si>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</si>
  <si>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</si>
  <si>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</si>
  <si>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</si>
  <si>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</si>
  <si>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</si>
  <si>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</si>
  <si>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</si>
  <si>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</si>
  <si>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</si>
  <si>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</si>
  <si>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</si>
  <si>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</si>
  <si>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</si>
  <si>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</si>
  <si>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</si>
  <si>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</si>
  <si>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</si>
  <si>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</si>
  <si>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</si>
  <si>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</si>
  <si>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</si>
  <si>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</si>
  <si>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</si>
  <si>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</si>
  <si>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</si>
  <si>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</si>
  <si>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</si>
  <si>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</si>
  <si>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</si>
  <si>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</si>
  <si>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</si>
  <si>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</si>
  <si>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</si>
  <si>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</si>
  <si>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</si>
  <si>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</si>
  <si>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</si>
  <si>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</si>
  <si>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</si>
  <si>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</si>
  <si>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</si>
  <si>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</si>
  <si>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</si>
  <si>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</si>
  <si>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</si>
  <si>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</si>
  <si>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</si>
  <si>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</si>
  <si>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</si>
  <si>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</si>
  <si>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</si>
  <si>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</si>
  <si>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</si>
  <si>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</si>
  <si>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</si>
  <si>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</si>
  <si>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</si>
  <si>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</si>
  <si>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</si>
  <si>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</si>
  <si>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</si>
  <si>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</si>
  <si>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</si>
  <si>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</si>
  <si>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</si>
  <si>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</si>
  <si>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</si>
  <si>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</si>
  <si>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</si>
  <si>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</si>
  <si>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</si>
  <si>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</si>
  <si>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</si>
  <si>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</si>
  <si>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</si>
  <si>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</si>
  <si>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</si>
  <si>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</si>
  <si>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</si>
  <si>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</si>
  <si>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</si>
  <si>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</si>
  <si>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</si>
  <si>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</si>
  <si>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</si>
  <si>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</si>
  <si>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</si>
  <si>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</si>
  <si>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</si>
  <si>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</si>
  <si>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</si>
  <si>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</si>
  <si>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</si>
  <si>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</si>
  <si>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</si>
  <si>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</si>
  <si>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</si>
  <si>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</si>
  <si>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</si>
  <si>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</si>
  <si>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</si>
  <si>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</si>
  <si>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</si>
  <si>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</si>
  <si>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</si>
  <si>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</si>
  <si>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</si>
  <si>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</si>
  <si>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</si>
  <si>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</si>
  <si>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</si>
  <si>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</si>
  <si>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</si>
  <si>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</si>
  <si>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</si>
  <si>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</si>
  <si>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</si>
  <si>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</si>
  <si>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</si>
  <si>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</si>
  <si>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</si>
  <si>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</si>
  <si>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</si>
  <si>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</si>
  <si>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</si>
  <si>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</si>
  <si>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</si>
  <si>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</si>
  <si>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</si>
  <si>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</si>
  <si>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</si>
  <si>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</si>
  <si>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</si>
  <si>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</si>
  <si>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</si>
  <si>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</si>
  <si>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</si>
  <si>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</si>
  <si>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</si>
  <si>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</si>
  <si>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</si>
  <si>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</si>
  <si>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</si>
  <si>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</si>
  <si>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</si>
  <si>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</si>
  <si>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</si>
  <si>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</si>
  <si>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</si>
  <si>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</si>
  <si>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</si>
  <si>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</si>
  <si>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</si>
  <si>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</si>
  <si>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</si>
  <si>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</si>
  <si>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</si>
  <si>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</si>
  <si>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</si>
  <si>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</si>
  <si>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</si>
  <si>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</si>
  <si>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</si>
  <si>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</si>
  <si>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</si>
  <si>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</si>
  <si>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</si>
  <si>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</si>
  <si>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</si>
  <si>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</si>
  <si>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</si>
  <si>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</si>
  <si>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</si>
  <si>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</si>
  <si>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</si>
  <si>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</si>
  <si>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</si>
  <si>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</si>
  <si>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</si>
  <si>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</si>
  <si>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</si>
  <si>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</si>
  <si>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</si>
  <si>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</si>
  <si>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</si>
  <si>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</si>
  <si>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</si>
  <si>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</si>
  <si>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</si>
  <si>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</si>
  <si>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</si>
  <si>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</si>
  <si>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</si>
  <si>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</si>
  <si>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</si>
  <si>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</si>
  <si>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</si>
  <si>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</si>
  <si>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</si>
  <si>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</si>
  <si>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</si>
  <si>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</si>
  <si>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</si>
  <si>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</si>
  <si>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</si>
  <si>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</si>
  <si>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</si>
  <si>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</si>
  <si>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</si>
  <si>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</si>
  <si>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</si>
  <si>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</si>
  <si>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</si>
  <si>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</si>
  <si>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</si>
  <si>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</si>
  <si>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</si>
  <si>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</si>
  <si>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</si>
  <si>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</si>
  <si>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</si>
  <si>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</si>
  <si>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</si>
  <si>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</si>
  <si>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</si>
  <si>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</si>
  <si>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</si>
  <si>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</si>
  <si>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</si>
  <si>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</si>
  <si>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</si>
  <si>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</si>
  <si>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</si>
  <si>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</si>
  <si>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</si>
  <si>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</si>
  <si>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</si>
  <si>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</si>
  <si>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</si>
  <si>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</si>
  <si>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</si>
  <si>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</si>
  <si>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</si>
  <si>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</si>
  <si>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</si>
  <si>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</si>
  <si>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</si>
  <si>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</si>
  <si>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</si>
  <si>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</si>
  <si>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</si>
  <si>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</si>
  <si>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</si>
  <si>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</si>
  <si>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</si>
  <si>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</si>
  <si>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</si>
  <si>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</si>
  <si>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</si>
  <si>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</si>
  <si>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</si>
  <si>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</si>
  <si>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</si>
  <si>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</si>
  <si>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</si>
  <si>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</si>
  <si>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</si>
  <si>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</si>
  <si>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</si>
  <si>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</si>
  <si>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</si>
  <si>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</si>
  <si>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</si>
  <si>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</si>
  <si>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</si>
  <si>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</si>
  <si>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</si>
  <si>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</si>
  <si>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</si>
  <si>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</si>
  <si>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</si>
  <si>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</si>
  <si>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</si>
  <si>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</si>
  <si>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</si>
  <si>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</si>
  <si>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</si>
  <si>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</si>
  <si>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</si>
  <si>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</si>
  <si>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</si>
  <si>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</si>
  <si>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</si>
  <si>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</si>
  <si>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</si>
  <si>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</si>
  <si>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</si>
  <si>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</si>
  <si>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</si>
  <si>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</si>
  <si>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</si>
  <si>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</si>
  <si>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</si>
  <si>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</si>
  <si>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</si>
  <si>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</si>
  <si>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</si>
  <si>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</si>
  <si>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</si>
  <si>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</si>
  <si>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</si>
  <si>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</si>
  <si>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</si>
  <si>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</si>
  <si>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</si>
  <si>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</si>
  <si>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</si>
  <si>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</si>
  <si>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</si>
  <si>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</si>
  <si>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</si>
  <si>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</si>
  <si>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</si>
  <si>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</si>
  <si>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</si>
  <si>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</si>
  <si>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</si>
  <si>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</si>
  <si>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</si>
  <si>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</si>
  <si>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</si>
  <si>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</si>
  <si>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</si>
  <si>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</si>
  <si>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</si>
  <si>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</si>
  <si>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</si>
  <si>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</si>
  <si>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</si>
  <si>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</si>
  <si>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</si>
  <si>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</si>
  <si>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</si>
  <si>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</si>
  <si>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</si>
  <si>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</si>
  <si>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</si>
  <si>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</si>
  <si>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</si>
  <si>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</si>
  <si>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</si>
  <si>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</si>
  <si>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</si>
  <si>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</si>
  <si>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</si>
  <si>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</si>
  <si>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</si>
  <si>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</si>
  <si>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</si>
  <si>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</si>
  <si>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</si>
  <si>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</si>
  <si>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</si>
  <si>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</si>
  <si>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</si>
  <si>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</si>
  <si>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</si>
  <si>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</si>
  <si>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</si>
  <si>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</si>
  <si>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</si>
  <si>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</si>
  <si>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</si>
  <si>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</si>
  <si>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</si>
  <si>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</si>
  <si>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</si>
  <si>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</si>
  <si>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</si>
  <si>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</si>
  <si>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</si>
  <si>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</si>
  <si>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</si>
  <si>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</si>
  <si>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</si>
  <si>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</si>
  <si>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</si>
  <si>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</si>
  <si>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</si>
  <si>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</si>
  <si>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</si>
  <si>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</si>
  <si>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</si>
  <si>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</si>
  <si>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</si>
  <si>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</si>
  <si>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</si>
  <si>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</si>
  <si>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</si>
  <si>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</si>
  <si>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</si>
  <si>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</si>
  <si>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</si>
  <si>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</si>
  <si>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</si>
  <si>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</si>
  <si>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</si>
  <si>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</si>
  <si>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</si>
  <si>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</si>
  <si>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</si>
  <si>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</si>
  <si>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</si>
  <si>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</si>
  <si>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</si>
  <si>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</si>
  <si>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</si>
  <si>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</si>
  <si>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</si>
  <si>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</si>
  <si>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</si>
  <si>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</si>
  <si>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</si>
  <si>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</si>
  <si>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</si>
  <si>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</si>
  <si>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</si>
  <si>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</si>
  <si>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</si>
  <si>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</si>
  <si>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</si>
  <si>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</si>
  <si>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</si>
  <si>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</si>
  <si>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</si>
  <si>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</si>
  <si>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</si>
  <si>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</si>
  <si>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</si>
  <si>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</si>
  <si>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</si>
  <si>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</si>
  <si>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</si>
  <si>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</si>
  <si>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</si>
  <si>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</si>
  <si>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</si>
  <si>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</si>
  <si>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</si>
  <si>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</si>
  <si>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</si>
  <si>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</si>
  <si>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</si>
  <si>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</si>
  <si>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</si>
  <si>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</si>
  <si>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</si>
  <si>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</si>
  <si>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</si>
  <si>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</si>
  <si>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</si>
  <si>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</si>
  <si>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</si>
  <si>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</si>
  <si>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</si>
  <si>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</si>
  <si>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</si>
  <si>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</si>
  <si>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</si>
  <si>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</si>
  <si>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</si>
  <si>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</si>
  <si>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</si>
  <si>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</si>
  <si>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</si>
  <si>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</si>
  <si>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</si>
  <si>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</si>
  <si>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</si>
  <si>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</si>
  <si>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</si>
  <si>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</si>
  <si>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</si>
  <si>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</si>
  <si>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</si>
  <si>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</si>
  <si>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</si>
  <si>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</si>
  <si>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</si>
  <si>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</si>
  <si>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</si>
  <si>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</si>
  <si>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</si>
  <si>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</si>
  <si>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</si>
  <si>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</si>
  <si>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</si>
  <si>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</si>
  <si>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</si>
  <si>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</si>
  <si>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</si>
  <si>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</si>
  <si>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</si>
  <si>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</si>
  <si>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</si>
  <si>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</si>
  <si>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</si>
  <si>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</si>
  <si>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</si>
  <si>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</si>
  <si>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</si>
  <si>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</si>
  <si>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</si>
  <si>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</si>
  <si>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</si>
  <si>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</si>
  <si>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</si>
  <si>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</si>
  <si>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</si>
  <si>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</si>
  <si>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</si>
  <si>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</si>
  <si>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</si>
  <si>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</si>
  <si>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</si>
  <si>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</si>
  <si>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</si>
  <si>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</si>
  <si>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</si>
  <si>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</si>
  <si>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</si>
  <si>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</si>
  <si>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</si>
  <si>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</si>
  <si>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</si>
  <si>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</si>
  <si>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</si>
  <si>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</si>
  <si>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</si>
  <si>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</si>
  <si>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</si>
  <si>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</si>
  <si>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</si>
  <si>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</si>
  <si>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</si>
  <si>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</si>
  <si>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</si>
  <si>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</si>
  <si>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</si>
  <si>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</si>
  <si>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</si>
  <si>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</si>
  <si>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</si>
  <si>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</si>
  <si>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</si>
  <si>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</si>
  <si>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</si>
  <si>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</si>
  <si>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</si>
  <si>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</si>
  <si>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</si>
  <si>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</si>
  <si>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</si>
  <si>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</si>
  <si>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</si>
  <si>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</si>
  <si>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</si>
  <si>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</si>
  <si>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</si>
  <si>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</si>
  <si>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</si>
  <si>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</si>
  <si>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</si>
  <si>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</si>
  <si>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</si>
  <si>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</si>
  <si>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</si>
  <si>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</si>
  <si>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</si>
  <si>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</si>
  <si>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</si>
  <si>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</si>
  <si>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</si>
  <si>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</si>
  <si>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</si>
  <si>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</si>
  <si>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</si>
  <si>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</si>
  <si>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</si>
  <si>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</si>
  <si>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</si>
  <si>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</si>
  <si>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</si>
  <si>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</si>
  <si>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</si>
  <si>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</si>
  <si>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</si>
  <si>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</si>
  <si>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</si>
  <si>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</si>
  <si>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</si>
  <si>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</si>
  <si>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</si>
  <si>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</si>
  <si>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</si>
  <si>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</si>
  <si>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</si>
  <si>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</si>
  <si>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</si>
  <si>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</si>
  <si>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</si>
  <si>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</si>
  <si>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</si>
  <si>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</si>
  <si>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</si>
  <si>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</si>
  <si>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</si>
  <si>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</si>
  <si>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</si>
  <si>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</si>
  <si>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</si>
  <si>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</si>
  <si>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</si>
  <si>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</si>
  <si>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</si>
  <si>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</si>
  <si>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</si>
  <si>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</si>
  <si>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</si>
  <si>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</si>
  <si>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</si>
  <si>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</si>
  <si>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</si>
  <si>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</si>
  <si>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</si>
  <si>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</si>
  <si>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</si>
  <si>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</si>
  <si>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</si>
  <si>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</si>
  <si>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</si>
  <si>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</si>
  <si>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</si>
  <si>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</si>
  <si>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</si>
  <si>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</si>
  <si>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</si>
  <si>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</si>
  <si>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</si>
  <si>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</si>
  <si>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</si>
  <si>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</si>
  <si>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</si>
  <si>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</si>
  <si>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</si>
  <si>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</si>
  <si>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</si>
  <si>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</si>
  <si>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</si>
  <si>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</si>
  <si>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</si>
  <si>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</si>
  <si>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</si>
  <si>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</si>
  <si>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</si>
  <si>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</si>
  <si>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</si>
  <si>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</si>
  <si>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</si>
  <si>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</si>
  <si>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</si>
  <si>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</si>
  <si>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</si>
  <si>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</si>
  <si>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</si>
  <si>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</si>
  <si>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</si>
  <si>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</si>
  <si>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</si>
  <si>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</si>
  <si>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</si>
  <si>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</si>
  <si>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</si>
  <si>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</si>
  <si>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</si>
  <si>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</si>
  <si>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</si>
  <si>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</si>
  <si>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</si>
  <si>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</si>
  <si>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</si>
  <si>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</si>
  <si>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</si>
  <si>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</si>
  <si>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</si>
  <si>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</si>
  <si>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</si>
  <si>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</si>
  <si>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</si>
  <si>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</si>
  <si>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</si>
  <si>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</si>
  <si>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</si>
  <si>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</si>
  <si>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</si>
  <si>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</si>
  <si>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</si>
  <si>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</si>
  <si>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</si>
  <si>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</si>
  <si>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</si>
  <si>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</si>
  <si>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</si>
  <si>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</si>
  <si>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</si>
  <si>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</si>
  <si>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</si>
  <si>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</si>
  <si>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</si>
  <si>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</si>
  <si>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</si>
  <si>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</si>
  <si>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</si>
  <si>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</si>
  <si>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</si>
  <si>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</si>
  <si>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</si>
  <si>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</si>
  <si>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</si>
  <si>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</si>
  <si>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</si>
  <si>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</si>
  <si>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</si>
  <si>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</si>
  <si>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</si>
  <si>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</si>
  <si>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</si>
  <si>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</si>
  <si>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</si>
  <si>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</si>
  <si>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</si>
  <si>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</si>
  <si>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</si>
  <si>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</si>
  <si>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</si>
  <si>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</si>
  <si>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</si>
  <si>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</si>
  <si>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</si>
  <si>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</si>
  <si>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</si>
  <si>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</si>
  <si>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</si>
  <si>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</si>
  <si>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</si>
  <si>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</si>
  <si>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</si>
  <si>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</si>
  <si>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</si>
  <si>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</si>
  <si>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</si>
  <si>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</si>
  <si>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</si>
  <si>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</si>
  <si>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</si>
  <si>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</si>
  <si>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</si>
  <si>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</si>
  <si>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</si>
  <si>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</si>
  <si>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</si>
  <si>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</si>
  <si>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</si>
  <si>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</si>
  <si>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</si>
  <si>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</si>
  <si>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</si>
  <si>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</si>
  <si>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</si>
  <si>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</si>
  <si>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</si>
  <si>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</si>
  <si>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</si>
  <si>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</si>
  <si>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</si>
  <si>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</si>
  <si>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</si>
  <si>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</si>
  <si>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</si>
  <si>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</si>
  <si>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</si>
  <si>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</si>
  <si>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</si>
  <si>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</si>
  <si>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</si>
  <si>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</si>
  <si>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</si>
  <si>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</si>
  <si>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</si>
  <si>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</si>
  <si>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</si>
  <si>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</si>
  <si>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</si>
  <si>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</si>
  <si>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</si>
  <si>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</si>
  <si>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</si>
  <si>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</si>
  <si>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</si>
  <si>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</si>
  <si>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</si>
  <si>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</si>
  <si>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</si>
  <si>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</si>
  <si>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</si>
  <si>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</si>
  <si>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</si>
  <si>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</si>
  <si>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</si>
  <si>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</si>
  <si>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</si>
  <si>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</si>
  <si>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</si>
  <si>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</si>
  <si>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</si>
  <si>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</si>
  <si>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</si>
  <si>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</si>
  <si>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</si>
  <si>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</si>
  <si>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</si>
  <si>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</si>
  <si>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</si>
  <si>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</si>
  <si>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</si>
  <si>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</si>
  <si>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</si>
  <si>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</si>
  <si>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</si>
  <si>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</si>
  <si>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</si>
  <si>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</si>
  <si>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</si>
  <si>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</si>
  <si>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</si>
  <si>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</si>
  <si>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</si>
  <si>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</si>
  <si>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</si>
  <si>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</si>
  <si>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</si>
  <si>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</si>
  <si>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</si>
  <si>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</si>
  <si>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</si>
  <si>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</si>
  <si>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</si>
  <si>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</si>
  <si>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</si>
  <si>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</si>
  <si>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</si>
  <si>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</si>
  <si>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</si>
  <si>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</si>
  <si>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</si>
  <si>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</si>
  <si>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</si>
  <si>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</si>
  <si>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</si>
  <si>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</si>
  <si>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</si>
  <si>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</si>
  <si>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</si>
  <si>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</si>
  <si>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</si>
  <si>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</si>
  <si>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</si>
  <si>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</si>
  <si>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</si>
  <si>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</si>
  <si>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</si>
  <si>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</si>
  <si>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</si>
  <si>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</si>
  <si>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</si>
  <si>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</si>
  <si>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</si>
  <si>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</si>
  <si>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</si>
  <si>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</si>
  <si>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</si>
  <si>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</si>
  <si>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</si>
  <si>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</si>
  <si>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</si>
  <si>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</si>
  <si>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</si>
  <si>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</si>
  <si>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</si>
  <si>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</si>
  <si>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</si>
  <si>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</si>
  <si>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</si>
  <si>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</si>
  <si>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</si>
  <si>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</si>
  <si>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</si>
  <si>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</si>
  <si>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</si>
  <si>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</si>
  <si>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</si>
  <si>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</si>
  <si>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</si>
  <si>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</si>
  <si>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</si>
  <si>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</si>
  <si>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</si>
  <si>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</si>
  <si>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</si>
  <si>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</si>
  <si>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</si>
  <si>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</si>
  <si>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</si>
  <si>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</si>
  <si>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</si>
  <si>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</si>
  <si>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</si>
  <si>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</si>
  <si>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</si>
  <si>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</si>
  <si>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</si>
  <si>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</si>
  <si>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</si>
  <si>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</si>
  <si>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</si>
  <si>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</si>
  <si>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</si>
  <si>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</si>
  <si>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</si>
  <si>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</si>
  <si>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</si>
  <si>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</si>
  <si>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</si>
  <si>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</si>
  <si>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</si>
  <si>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</si>
  <si>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</si>
  <si>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</si>
  <si>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</si>
  <si>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</si>
  <si>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</si>
  <si>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</si>
  <si>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</si>
  <si>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</si>
  <si>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</si>
  <si>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</si>
  <si>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</si>
  <si>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</si>
  <si>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</si>
  <si>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</si>
  <si>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</si>
  <si>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</si>
  <si>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</si>
  <si>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</si>
  <si>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</si>
  <si>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</si>
  <si>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</si>
  <si>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</si>
  <si>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</si>
  <si>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</si>
  <si>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</si>
  <si>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</si>
  <si>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</si>
  <si>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</si>
  <si>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</si>
  <si>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</si>
  <si>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</si>
  <si>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</si>
  <si>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</si>
  <si>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</si>
  <si>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</si>
  <si>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</si>
  <si>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</si>
  <si>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</si>
  <si>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</si>
  <si>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</si>
  <si>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</si>
  <si>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</si>
  <si>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</si>
  <si>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</si>
  <si>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</si>
  <si>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</si>
  <si>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</si>
  <si>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</si>
  <si>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</si>
  <si>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</si>
  <si>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</si>
  <si>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</si>
  <si>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</si>
  <si>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</si>
  <si>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</si>
  <si>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</si>
  <si>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</si>
  <si>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</si>
  <si>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</si>
  <si>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</si>
  <si>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</si>
  <si>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</si>
  <si>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</si>
  <si>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</si>
  <si>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</si>
  <si>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</si>
  <si>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</si>
  <si>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</si>
  <si>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</si>
  <si>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</si>
  <si>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</si>
  <si>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</si>
  <si>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</si>
  <si>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</si>
  <si>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</si>
  <si>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</si>
  <si>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</si>
  <si>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</si>
  <si>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</si>
  <si>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</si>
  <si>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</si>
  <si>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</si>
  <si>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</si>
  <si>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</si>
  <si>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</si>
  <si>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</si>
  <si>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</si>
  <si>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</si>
  <si>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</si>
  <si>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</si>
  <si>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</si>
  <si>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</si>
  <si>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</si>
  <si>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</si>
  <si>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</si>
  <si>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</si>
  <si>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</si>
  <si>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</si>
  <si>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</si>
  <si>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</si>
  <si>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</si>
  <si>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</si>
  <si>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</si>
  <si>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</si>
  <si>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</si>
  <si>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</si>
  <si>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</si>
  <si>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</si>
  <si>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</si>
  <si>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</si>
  <si>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</si>
  <si>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</si>
  <si>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</si>
  <si>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</si>
  <si>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</si>
  <si>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</si>
  <si>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</si>
  <si>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</si>
  <si>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</si>
  <si>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</si>
  <si>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</si>
  <si>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</si>
  <si>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</si>
  <si>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</si>
  <si>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</si>
  <si>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</si>
  <si>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</si>
  <si>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</si>
  <si>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</si>
  <si>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</si>
  <si>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</si>
  <si>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</si>
  <si>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</si>
  <si>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</si>
  <si>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</si>
  <si>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</si>
  <si>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</si>
  <si>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</si>
  <si>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</si>
  <si>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</si>
  <si>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</si>
  <si>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</si>
  <si>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</si>
  <si>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</si>
  <si>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</si>
  <si>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</si>
  <si>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</si>
  <si>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</si>
  <si>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</si>
  <si>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</si>
  <si>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</si>
  <si>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</si>
  <si>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</si>
  <si>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</si>
  <si>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</si>
  <si>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</si>
  <si>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</si>
  <si>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</si>
  <si>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</si>
  <si>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</si>
  <si>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</si>
  <si>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</si>
  <si>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</si>
  <si>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</si>
  <si>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</si>
  <si>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</si>
  <si>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</si>
  <si>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</si>
  <si>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</si>
  <si>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</si>
  <si>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</si>
  <si>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</si>
  <si>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</si>
  <si>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</si>
  <si>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</si>
  <si>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</si>
  <si>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</si>
  <si>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</si>
  <si>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</si>
  <si>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</si>
  <si>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</si>
  <si>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</si>
  <si>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</si>
  <si>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</si>
  <si>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</si>
  <si>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</si>
  <si>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</si>
  <si>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</si>
  <si>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</si>
  <si>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</si>
  <si>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</si>
  <si>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</si>
  <si>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</si>
  <si>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</si>
  <si>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</si>
  <si>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</si>
  <si>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</si>
  <si>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</si>
  <si>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</si>
  <si>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</si>
  <si>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</si>
  <si>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</si>
  <si>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</si>
  <si>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</si>
  <si>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</si>
  <si>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</si>
  <si>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</si>
  <si>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</si>
  <si>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</si>
  <si>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</si>
  <si>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</si>
  <si>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</si>
  <si>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</si>
  <si>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</si>
  <si>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</si>
  <si>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</si>
  <si>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</si>
  <si>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</si>
  <si>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</si>
  <si>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</si>
  <si>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</si>
  <si>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</si>
  <si>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</si>
  <si>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</si>
  <si>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</si>
  <si>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</si>
  <si>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</si>
  <si>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</si>
  <si>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</si>
  <si>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</si>
  <si>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</si>
  <si>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</si>
  <si>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</si>
  <si>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</si>
  <si>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</si>
  <si>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</si>
  <si>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</si>
  <si>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</si>
  <si>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</si>
  <si>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</si>
  <si>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</si>
  <si>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</si>
  <si>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</si>
  <si>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</si>
  <si>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</si>
  <si>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</si>
  <si>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</si>
  <si>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</si>
  <si>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</si>
  <si>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</si>
  <si>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</si>
  <si>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</si>
  <si>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</si>
  <si>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</si>
  <si>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</si>
  <si>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</si>
  <si>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</si>
  <si>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</si>
  <si>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</si>
  <si>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</si>
  <si>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</si>
  <si>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</si>
  <si>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</si>
  <si>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</si>
  <si>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</si>
  <si>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</si>
  <si>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</si>
  <si>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</si>
  <si>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</si>
  <si>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</si>
  <si>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</si>
  <si>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</si>
  <si>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</si>
  <si>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</si>
  <si>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</si>
  <si>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</si>
  <si>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</si>
  <si>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</si>
  <si>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</si>
  <si>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</si>
  <si>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</si>
  <si>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</si>
  <si>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</si>
  <si>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</si>
  <si>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</si>
  <si>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</si>
  <si>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</si>
  <si>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</si>
  <si>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</si>
  <si>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</si>
  <si>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</si>
  <si>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</si>
  <si>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</si>
  <si>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</si>
  <si>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</si>
  <si>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</si>
  <si>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</si>
  <si>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</si>
  <si>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</si>
  <si>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</si>
  <si>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</si>
  <si>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</si>
  <si>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</si>
  <si>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</si>
  <si>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</si>
  <si>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</si>
  <si>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</si>
  <si>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</si>
  <si>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</si>
  <si>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</si>
  <si>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</si>
  <si>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</si>
  <si>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</si>
  <si>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</si>
  <si>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</si>
  <si>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</si>
  <si>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</si>
  <si>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</si>
  <si>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</si>
  <si>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</si>
  <si>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</si>
  <si>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</si>
  <si>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</si>
  <si>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</si>
  <si>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</si>
  <si>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</si>
  <si>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</si>
  <si>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</si>
  <si>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</si>
  <si>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</si>
  <si>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</si>
  <si>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</si>
  <si>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</si>
  <si>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</si>
  <si>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</si>
  <si>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</si>
  <si>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</si>
  <si>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</si>
  <si>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</si>
  <si>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</si>
  <si>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</si>
  <si>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</si>
  <si>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</si>
  <si>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</si>
  <si>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</si>
  <si>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</si>
  <si>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</si>
  <si>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</si>
  <si>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</si>
  <si>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</si>
  <si>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</si>
  <si>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</si>
  <si>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</si>
  <si>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</si>
  <si>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</si>
  <si>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</si>
  <si>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</si>
  <si>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</si>
  <si>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</si>
  <si>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</si>
  <si>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</si>
  <si>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</si>
  <si>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</si>
  <si>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</si>
  <si>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</si>
  <si>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</si>
  <si>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</si>
  <si>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</si>
  <si>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</si>
  <si>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</si>
  <si>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</si>
  <si>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</si>
  <si>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</si>
  <si>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</si>
  <si>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</si>
  <si>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</si>
  <si>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</si>
  <si>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</si>
  <si>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</si>
  <si>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</si>
  <si>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</si>
  <si>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</si>
  <si>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</si>
  <si>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</si>
  <si>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</si>
  <si>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</si>
  <si>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</si>
  <si>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</si>
  <si>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</si>
  <si>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</si>
  <si>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</si>
  <si>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</si>
  <si>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</si>
  <si>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</si>
  <si>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</si>
  <si>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</si>
  <si>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</si>
  <si>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</si>
  <si>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</si>
  <si>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</si>
  <si>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</si>
  <si>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</si>
  <si>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</si>
  <si>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</si>
  <si>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</si>
  <si>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</si>
  <si>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</si>
  <si>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</si>
  <si>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</si>
  <si>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</si>
  <si>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</si>
  <si>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</si>
  <si>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</si>
  <si>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</si>
  <si>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</si>
  <si>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</si>
  <si>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</si>
  <si>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</si>
  <si>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</si>
  <si>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</si>
  <si>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</si>
  <si>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</si>
  <si>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</si>
  <si>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</si>
  <si>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</si>
  <si>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</si>
  <si>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</si>
  <si>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</si>
  <si>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</si>
  <si>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</si>
  <si>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</si>
  <si>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</si>
  <si>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</si>
  <si>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</si>
  <si>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</si>
  <si>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</si>
  <si>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</si>
  <si>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</si>
  <si>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</si>
  <si>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</si>
  <si>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</si>
  <si>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</si>
  <si>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</si>
  <si>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</si>
  <si>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</si>
  <si>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</si>
  <si>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</si>
  <si>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</si>
  <si>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</si>
  <si>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</si>
  <si>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</si>
  <si>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</si>
  <si>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</si>
  <si>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</si>
  <si>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</si>
  <si>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</si>
  <si>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</si>
  <si>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</si>
  <si>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</si>
  <si>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</si>
  <si>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</si>
  <si>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</si>
  <si>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</si>
  <si>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</si>
  <si>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</si>
  <si>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</si>
  <si>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</si>
  <si>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</si>
  <si>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</si>
  <si>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</si>
  <si>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</si>
  <si>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</si>
  <si>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</si>
  <si>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</si>
  <si>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</si>
  <si>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</si>
  <si>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</si>
  <si>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</si>
  <si>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</si>
  <si>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</si>
  <si>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</si>
  <si>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</si>
  <si>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</si>
  <si>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</si>
  <si>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</si>
  <si>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</si>
  <si>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</si>
  <si>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</si>
  <si>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</si>
  <si>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</si>
  <si>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</si>
  <si>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</si>
  <si>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</si>
  <si>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</si>
  <si>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</si>
  <si>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</si>
  <si>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</si>
  <si>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</si>
  <si>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</si>
  <si>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</si>
  <si>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</si>
  <si>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</si>
  <si>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</si>
  <si>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</si>
  <si>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</si>
  <si>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</si>
  <si>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</si>
  <si>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</si>
  <si>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</si>
  <si>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</si>
  <si>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</si>
  <si>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</si>
  <si>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</si>
  <si>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</si>
  <si>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</si>
  <si>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</si>
  <si>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</si>
  <si>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</si>
  <si>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</si>
  <si>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</si>
  <si>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</si>
  <si>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</si>
  <si>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</si>
  <si>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</si>
  <si>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</si>
  <si>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</si>
  <si>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</si>
  <si>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</si>
  <si>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</si>
  <si>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</si>
  <si>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</si>
  <si>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</si>
  <si>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</si>
  <si>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</si>
  <si>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</si>
  <si>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</si>
  <si>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</si>
  <si>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</si>
  <si>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</si>
  <si>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</si>
  <si>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</si>
  <si>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</si>
  <si>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</si>
  <si>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</si>
  <si>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</si>
  <si>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</si>
  <si>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</si>
  <si>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</si>
  <si>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</si>
  <si>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</si>
  <si>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</si>
  <si>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</si>
  <si>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</si>
  <si>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</si>
  <si>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</si>
  <si>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</si>
  <si>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</si>
  <si>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</si>
  <si>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</si>
  <si>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</si>
  <si>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</si>
  <si>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</si>
  <si>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</si>
  <si>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</si>
  <si>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</si>
  <si>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</si>
  <si>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</si>
  <si>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</si>
  <si>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</si>
  <si>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</si>
  <si>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</si>
  <si>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</si>
  <si>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</si>
  <si>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</si>
  <si>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</si>
  <si>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</si>
  <si>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</si>
  <si>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</si>
  <si>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</si>
  <si>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</si>
  <si>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</si>
  <si>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</si>
  <si>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</si>
  <si>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</si>
  <si>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</si>
  <si>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</si>
  <si>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</si>
  <si>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</si>
  <si>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</si>
  <si>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</si>
  <si>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</si>
  <si>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</si>
  <si>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</si>
  <si>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</si>
  <si>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</si>
  <si>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</si>
  <si>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</si>
  <si>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</si>
  <si>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</si>
  <si>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</si>
  <si>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</si>
  <si>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</si>
  <si>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</si>
  <si>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</si>
  <si>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</si>
  <si>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</si>
  <si>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</si>
  <si>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</si>
  <si>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</si>
  <si>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</si>
  <si>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</si>
  <si>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</si>
  <si>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</si>
  <si>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</si>
  <si>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</si>
  <si>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</si>
  <si>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</si>
  <si>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</si>
  <si>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</si>
  <si>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</si>
  <si>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</si>
  <si>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</si>
  <si>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</si>
  <si>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</si>
  <si>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</si>
  <si>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</si>
  <si>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</si>
  <si>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</si>
  <si>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</si>
  <si>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</si>
  <si>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</si>
  <si>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</si>
  <si>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</si>
  <si>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</si>
  <si>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</si>
  <si>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</si>
  <si>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</si>
  <si>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</si>
  <si>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</si>
  <si>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</si>
  <si>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</si>
  <si>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</si>
  <si>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</si>
  <si>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</si>
  <si>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</si>
  <si>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</si>
  <si>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</si>
  <si>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</si>
  <si>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</si>
  <si>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</si>
  <si>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</si>
  <si>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</si>
  <si>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</si>
  <si>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</si>
  <si>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</si>
  <si>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</si>
  <si>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</si>
  <si>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</si>
  <si>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</si>
  <si>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</si>
  <si>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</si>
  <si>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</si>
  <si>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</si>
  <si>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</si>
  <si>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</si>
  <si>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</si>
  <si>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</si>
  <si>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</si>
  <si>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</si>
  <si>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</si>
  <si>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</si>
  <si>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</si>
  <si>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</si>
  <si>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</si>
  <si>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</si>
  <si>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</si>
  <si>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</si>
  <si>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</si>
  <si>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</si>
  <si>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</si>
  <si>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</si>
  <si>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</si>
  <si>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</si>
  <si>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</si>
  <si>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</si>
  <si>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</si>
  <si>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</si>
  <si>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</si>
  <si>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</si>
  <si>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</si>
  <si>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</si>
  <si>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</si>
  <si>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</si>
  <si>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</si>
  <si>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</si>
  <si>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</si>
  <si>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</si>
  <si>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</si>
  <si>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</si>
  <si>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</si>
  <si>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</si>
  <si>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</si>
  <si>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</si>
  <si>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</si>
  <si>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</si>
  <si>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</si>
  <si>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</si>
  <si>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</si>
  <si>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</si>
  <si>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</si>
  <si>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</si>
  <si>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</si>
  <si>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</si>
  <si>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</si>
  <si>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</si>
  <si>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</si>
  <si>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</si>
  <si>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</si>
  <si>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</si>
  <si>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</si>
  <si>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</si>
  <si>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</si>
  <si>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</si>
  <si>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</si>
  <si>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</si>
  <si>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</si>
  <si>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</si>
  <si>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</si>
  <si>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</si>
  <si>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</si>
  <si>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</si>
  <si>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</si>
  <si>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</si>
  <si>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</si>
  <si>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</si>
  <si>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</si>
  <si>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</si>
  <si>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</si>
  <si>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</si>
  <si>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</si>
  <si>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</si>
  <si>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</si>
  <si>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</si>
  <si>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</si>
  <si>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通州区新海东路</t>
    </r>
    <r>
      <rPr>
        <sz val="10"/>
        <color theme="9" tint="-0.249977111117893"/>
        <rFont val="Arial"/>
        <family val="2"/>
      </rPr>
      <t>15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层</t>
    </r>
    <r>
      <rPr>
        <sz val="10"/>
        <color theme="9" tint="-0.249977111117893"/>
        <rFont val="Arial"/>
        <family val="2"/>
      </rPr>
      <t>501</t>
    </r>
    <phoneticPr fontId="6" type="noConversion"/>
  </si>
  <si>
    <t>刘晓晶</t>
    <phoneticPr fontId="6" type="noConversion"/>
  </si>
  <si>
    <t>是</t>
  </si>
  <si>
    <t>地上</t>
  </si>
  <si>
    <t>新华街道</t>
    <phoneticPr fontId="3" type="noConversion"/>
  </si>
  <si>
    <t>属于亦庄</t>
    <phoneticPr fontId="3" type="noConversion"/>
  </si>
  <si>
    <t>成新度</t>
  </si>
  <si>
    <t>网上查询</t>
    <phoneticPr fontId="3" type="noConversion"/>
  </si>
  <si>
    <t>商业项目</t>
  </si>
  <si>
    <t>现房</t>
  </si>
  <si>
    <t>一套租金</t>
    <phoneticPr fontId="3" type="noConversion"/>
  </si>
  <si>
    <t>年租金</t>
    <phoneticPr fontId="3" type="noConversion"/>
  </si>
  <si>
    <t>日租金</t>
    <phoneticPr fontId="3" type="noConversion"/>
  </si>
  <si>
    <t>押一</t>
  </si>
  <si>
    <t>钢混</t>
  </si>
  <si>
    <t>非生产用房</t>
  </si>
  <si>
    <t>否</t>
  </si>
  <si>
    <t>推算</t>
    <phoneticPr fontId="6" type="noConversion"/>
  </si>
  <si>
    <t>不临65条商业街</t>
  </si>
  <si>
    <t>与级别开发程度一致</t>
  </si>
  <si>
    <t>按公示增长率计算</t>
  </si>
  <si>
    <t>中心城区以外</t>
  </si>
  <si>
    <t>楼层修正</t>
  </si>
  <si>
    <t>较好</t>
  </si>
  <si>
    <t>好</t>
  </si>
  <si>
    <t>未包含在土地购买价格中</t>
  </si>
  <si>
    <t>已包含在土地取得成本中</t>
  </si>
  <si>
    <t>收益法 (元)101</t>
  </si>
  <si>
    <t>收益法 (元)101</t>
    <phoneticPr fontId="16" type="noConversion"/>
  </si>
  <si>
    <t>收益法 (元)501</t>
  </si>
  <si>
    <t>收益法 (元)501</t>
    <phoneticPr fontId="16" type="noConversion"/>
  </si>
  <si>
    <t>成本法 (元)101</t>
  </si>
  <si>
    <t>成本法 (元)101</t>
    <phoneticPr fontId="16" type="noConversion"/>
  </si>
  <si>
    <t>成本法 (元)501</t>
  </si>
  <si>
    <t>成本法 (元)501</t>
    <phoneticPr fontId="16" type="noConversion"/>
  </si>
  <si>
    <t>合生世界村层高较高，有隔层</t>
    <phoneticPr fontId="134" type="noConversion"/>
  </si>
  <si>
    <t>估价对象位于米拉小镇位置较好</t>
    <phoneticPr fontId="134" type="noConversion"/>
  </si>
  <si>
    <t>1层</t>
  </si>
  <si>
    <t>地下1层</t>
  </si>
  <si>
    <t>单套模式</t>
  </si>
  <si>
    <t>售价</t>
  </si>
  <si>
    <t>正常</t>
  </si>
  <si>
    <t>挂牌价</t>
  </si>
  <si>
    <t>挂牌价</t>
    <phoneticPr fontId="30" type="noConversion"/>
  </si>
  <si>
    <t>一般</t>
  </si>
  <si>
    <t>较好</t>
    <phoneticPr fontId="30" type="noConversion"/>
  </si>
  <si>
    <t>较差</t>
    <phoneticPr fontId="30" type="noConversion"/>
  </si>
  <si>
    <t>好</t>
    <phoneticPr fontId="30" type="noConversion"/>
  </si>
  <si>
    <t>一般</t>
    <phoneticPr fontId="30" type="noConversion"/>
  </si>
  <si>
    <t>差</t>
    <phoneticPr fontId="30" type="noConversion"/>
  </si>
  <si>
    <t>较大</t>
  </si>
  <si>
    <t>较大</t>
    <phoneticPr fontId="30" type="noConversion"/>
  </si>
  <si>
    <t>较小</t>
    <phoneticPr fontId="30" type="noConversion"/>
  </si>
  <si>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</si>
  <si>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0" type="noConversion"/>
  </si>
  <si>
    <t>超高层高</t>
  </si>
  <si>
    <t>超高层高</t>
    <phoneticPr fontId="30" type="noConversion"/>
  </si>
  <si>
    <t>标准层高</t>
  </si>
  <si>
    <t>标准层高</t>
    <phoneticPr fontId="30" type="noConversion"/>
  </si>
  <si>
    <t>比较法-商业</t>
  </si>
  <si>
    <t>金地格林6均为半地下楼层</t>
    <phoneticPr fontId="134" type="noConversion"/>
  </si>
  <si>
    <t>米拉小镇一层300平按年租金48万，5%的回报率报价950-960万</t>
    <phoneticPr fontId="134" type="noConversion"/>
  </si>
  <si>
    <r>
      <t>估价对象3</t>
    </r>
    <r>
      <rPr>
        <sz val="11"/>
        <color theme="1"/>
        <rFont val="宋体"/>
        <family val="3"/>
        <charset val="134"/>
        <scheme val="minor"/>
      </rPr>
      <t>80平年租金48万，5%的回报率，单价25000左右</t>
    </r>
    <phoneticPr fontId="134" type="noConversion"/>
  </si>
  <si>
    <t>楼面单价</t>
  </si>
  <si>
    <t>自定义</t>
  </si>
  <si>
    <t>楼层</t>
    <phoneticPr fontId="3" type="noConversion"/>
  </si>
  <si>
    <r>
      <t>1</t>
    </r>
    <r>
      <rPr>
        <sz val="10"/>
        <color indexed="8"/>
        <rFont val="宋体"/>
        <family val="3"/>
        <charset val="134"/>
      </rPr>
      <t>层</t>
    </r>
    <phoneticPr fontId="24" type="noConversion"/>
  </si>
  <si>
    <r>
      <t>4</t>
    </r>
    <r>
      <rPr>
        <sz val="10"/>
        <color indexed="8"/>
        <rFont val="宋体"/>
        <family val="3"/>
        <charset val="134"/>
      </rPr>
      <t>层</t>
    </r>
    <phoneticPr fontId="24" type="noConversion"/>
  </si>
  <si>
    <t>4层</t>
  </si>
  <si>
    <r>
      <rPr>
        <sz val="10"/>
        <color indexed="8"/>
        <rFont val="宋体"/>
        <family val="3"/>
        <charset val="134"/>
      </rPr>
      <t>按</t>
    </r>
    <r>
      <rPr>
        <sz val="10"/>
        <color indexed="8"/>
        <rFont val="Arial"/>
        <family val="2"/>
      </rPr>
      <t>4</t>
    </r>
    <r>
      <rPr>
        <sz val="10"/>
        <color indexed="8"/>
        <rFont val="宋体"/>
        <family val="3"/>
        <charset val="134"/>
      </rPr>
      <t>层面积</t>
    </r>
    <phoneticPr fontId="3" type="noConversion"/>
  </si>
  <si>
    <r>
      <rPr>
        <sz val="10"/>
        <color indexed="8"/>
        <rFont val="宋体"/>
        <family val="3"/>
        <charset val="134"/>
      </rPr>
      <t>按</t>
    </r>
    <r>
      <rPr>
        <sz val="10"/>
        <color indexed="8"/>
        <rFont val="Arial"/>
        <family val="2"/>
      </rPr>
      <t>1</t>
    </r>
    <r>
      <rPr>
        <sz val="10"/>
        <color indexed="8"/>
        <rFont val="宋体"/>
        <family val="3"/>
        <charset val="134"/>
      </rPr>
      <t>层面积</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</si>
</sst>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273" fillId="0" borderId="44" xfId="0" applyFont="1" applyBorder="1" applyAlignment="1" applyProtection="1">
      <alignment horizontal="center" vertical="center" wrapText="1"/>
      <protection locked="0"/>
    </xf>
    <xf numFmtId="176" fontId="44" fillId="8" borderId="23" xfId="0" applyNumberFormat="1" applyFont="1" applyFill="1" applyBorder="1" applyAlignment="1" applyProtection="1">
      <alignment horizontal="center" vertical="center" wrapText="1"/>
      <protection locked="0"/>
    </xf>
    <xf numFmtId="0" fontId="44" fillId="8" borderId="24" xfId="0" applyFont="1" applyFill="1" applyBorder="1" applyAlignment="1">
      <alignment horizontal="center" vertical="center" wrapText="1"/>
    </xf>
    <xf numFmtId="176" fontId="44" fillId="8" borderId="3" xfId="0" applyNumberFormat="1" applyFont="1" applyFill="1" applyBorder="1" applyAlignment="1" applyProtection="1">
      <alignment horizontal="center" vertical="center" wrapText="1"/>
      <protection locked="0"/>
    </xf>
    <xf numFmtId="0" fontId="44" fillId="8" borderId="5" xfId="0" applyFont="1" applyFill="1" applyBorder="1" applyAlignment="1">
      <alignment horizontal="center" vertical="center" wrapText="1"/>
    </xf>
    <xf numFmtId="49" fontId="100" fillId="2" borderId="23" xfId="0" applyNumberFormat="1"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74" fillId="1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2">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577785</xdr:colOff>
      <xdr:row>36</xdr:row>
      <xdr:rowOff>31751</xdr:rowOff>
    </xdr:to>
    <xdr:pic>
      <xdr:nvPicPr>
        <xdr:cNvPr id="2" name="图片 1">
          <a:extLst>
            <a:ext uri="{FF2B5EF4-FFF2-40B4-BE49-F238E27FC236}">
              <a16:creationId xmlns:a16="http://schemas.microsoft.com/office/drawing/2014/main" id="{D8CF54F0-5404-8BFF-6933-633DCF3AEC5E}"/>
            </a:ext>
          </a:extLst>
        </xdr:cNvPr>
        <xdr:cNvPicPr>
          <a:picLocks noChangeAspect="1"/>
        </xdr:cNvPicPr>
      </xdr:nvPicPr>
      <xdr:blipFill>
        <a:blip xmlns:r="http://schemas.openxmlformats.org/officeDocument/2006/relationships" r:embed="rId1"/>
        <a:stretch>
          <a:fillRect/>
        </a:stretch>
      </xdr:blipFill>
      <xdr:spPr>
        <a:xfrm>
          <a:off x="0" y="1"/>
          <a:ext cx="7283385" cy="6432550"/>
        </a:xfrm>
        <a:prstGeom prst="rect">
          <a:avLst/>
        </a:prstGeom>
      </xdr:spPr>
    </xdr:pic>
    <xdr:clientData/>
  </xdr:twoCellAnchor>
  <xdr:twoCellAnchor editAs="oneCell">
    <xdr:from>
      <xdr:col>0</xdr:col>
      <xdr:colOff>0</xdr:colOff>
      <xdr:row>36</xdr:row>
      <xdr:rowOff>125480</xdr:rowOff>
    </xdr:from>
    <xdr:to>
      <xdr:col>12</xdr:col>
      <xdr:colOff>444500</xdr:colOff>
      <xdr:row>74</xdr:row>
      <xdr:rowOff>176481</xdr:rowOff>
    </xdr:to>
    <xdr:pic>
      <xdr:nvPicPr>
        <xdr:cNvPr id="3" name="图片 2">
          <a:extLst>
            <a:ext uri="{FF2B5EF4-FFF2-40B4-BE49-F238E27FC236}">
              <a16:creationId xmlns:a16="http://schemas.microsoft.com/office/drawing/2014/main" id="{1C33837A-1D89-A56C-AAFD-2D3B0D9742BD}"/>
            </a:ext>
          </a:extLst>
        </xdr:cNvPr>
        <xdr:cNvPicPr>
          <a:picLocks noChangeAspect="1"/>
        </xdr:cNvPicPr>
      </xdr:nvPicPr>
      <xdr:blipFill>
        <a:blip xmlns:r="http://schemas.openxmlformats.org/officeDocument/2006/relationships" r:embed="rId2"/>
        <a:stretch>
          <a:fillRect/>
        </a:stretch>
      </xdr:blipFill>
      <xdr:spPr>
        <a:xfrm>
          <a:off x="0" y="6526280"/>
          <a:ext cx="7759700" cy="6807401"/>
        </a:xfrm>
        <a:prstGeom prst="rect">
          <a:avLst/>
        </a:prstGeom>
      </xdr:spPr>
    </xdr:pic>
    <xdr:clientData/>
  </xdr:twoCellAnchor>
  <xdr:twoCellAnchor editAs="oneCell">
    <xdr:from>
      <xdr:col>18</xdr:col>
      <xdr:colOff>500390</xdr:colOff>
      <xdr:row>13</xdr:row>
      <xdr:rowOff>38100</xdr:rowOff>
    </xdr:from>
    <xdr:to>
      <xdr:col>30</xdr:col>
      <xdr:colOff>525577</xdr:colOff>
      <xdr:row>46</xdr:row>
      <xdr:rowOff>103586</xdr:rowOff>
    </xdr:to>
    <xdr:pic>
      <xdr:nvPicPr>
        <xdr:cNvPr id="4" name="图片 3">
          <a:extLst>
            <a:ext uri="{FF2B5EF4-FFF2-40B4-BE49-F238E27FC236}">
              <a16:creationId xmlns:a16="http://schemas.microsoft.com/office/drawing/2014/main" id="{EDD0951F-F1C1-C2EC-6EB2-FB90B0750145}"/>
            </a:ext>
          </a:extLst>
        </xdr:cNvPr>
        <xdr:cNvPicPr>
          <a:picLocks noChangeAspect="1"/>
        </xdr:cNvPicPr>
      </xdr:nvPicPr>
      <xdr:blipFill>
        <a:blip xmlns:r="http://schemas.openxmlformats.org/officeDocument/2006/relationships" r:embed="rId3"/>
        <a:stretch>
          <a:fillRect/>
        </a:stretch>
      </xdr:blipFill>
      <xdr:spPr>
        <a:xfrm>
          <a:off x="11473190" y="2349500"/>
          <a:ext cx="7340387" cy="5932886"/>
        </a:xfrm>
        <a:prstGeom prst="rect">
          <a:avLst/>
        </a:prstGeom>
      </xdr:spPr>
    </xdr:pic>
    <xdr:clientData/>
  </xdr:twoCellAnchor>
  <xdr:twoCellAnchor editAs="oneCell">
    <xdr:from>
      <xdr:col>0</xdr:col>
      <xdr:colOff>0</xdr:colOff>
      <xdr:row>79</xdr:row>
      <xdr:rowOff>0</xdr:rowOff>
    </xdr:from>
    <xdr:to>
      <xdr:col>6</xdr:col>
      <xdr:colOff>466209</xdr:colOff>
      <xdr:row>113</xdr:row>
      <xdr:rowOff>107181</xdr:rowOff>
    </xdr:to>
    <xdr:pic>
      <xdr:nvPicPr>
        <xdr:cNvPr id="5" name="图片 4">
          <a:extLst>
            <a:ext uri="{FF2B5EF4-FFF2-40B4-BE49-F238E27FC236}">
              <a16:creationId xmlns:a16="http://schemas.microsoft.com/office/drawing/2014/main" id="{30313420-BB13-1ACF-3743-A463E2F2ACD8}"/>
            </a:ext>
          </a:extLst>
        </xdr:cNvPr>
        <xdr:cNvPicPr>
          <a:picLocks noChangeAspect="1"/>
        </xdr:cNvPicPr>
      </xdr:nvPicPr>
      <xdr:blipFill>
        <a:blip xmlns:r="http://schemas.openxmlformats.org/officeDocument/2006/relationships" r:embed="rId4"/>
        <a:stretch>
          <a:fillRect/>
        </a:stretch>
      </xdr:blipFill>
      <xdr:spPr>
        <a:xfrm>
          <a:off x="0" y="14046200"/>
          <a:ext cx="4123809" cy="6152381"/>
        </a:xfrm>
        <a:prstGeom prst="rect">
          <a:avLst/>
        </a:prstGeom>
      </xdr:spPr>
    </xdr:pic>
    <xdr:clientData/>
  </xdr:twoCellAnchor>
  <xdr:twoCellAnchor editAs="oneCell">
    <xdr:from>
      <xdr:col>7</xdr:col>
      <xdr:colOff>94219</xdr:colOff>
      <xdr:row>81</xdr:row>
      <xdr:rowOff>0</xdr:rowOff>
    </xdr:from>
    <xdr:to>
      <xdr:col>20</xdr:col>
      <xdr:colOff>27059</xdr:colOff>
      <xdr:row>116</xdr:row>
      <xdr:rowOff>40117</xdr:rowOff>
    </xdr:to>
    <xdr:pic>
      <xdr:nvPicPr>
        <xdr:cNvPr id="6" name="图片 5">
          <a:extLst>
            <a:ext uri="{FF2B5EF4-FFF2-40B4-BE49-F238E27FC236}">
              <a16:creationId xmlns:a16="http://schemas.microsoft.com/office/drawing/2014/main" id="{41EBEB9A-4E0F-AA87-A1FE-87FD477E8964}"/>
            </a:ext>
          </a:extLst>
        </xdr:cNvPr>
        <xdr:cNvPicPr>
          <a:picLocks noChangeAspect="1"/>
        </xdr:cNvPicPr>
      </xdr:nvPicPr>
      <xdr:blipFill>
        <a:blip xmlns:r="http://schemas.openxmlformats.org/officeDocument/2006/relationships" r:embed="rId5"/>
        <a:stretch>
          <a:fillRect/>
        </a:stretch>
      </xdr:blipFill>
      <xdr:spPr>
        <a:xfrm>
          <a:off x="4361419" y="14401800"/>
          <a:ext cx="8194190" cy="6263117"/>
        </a:xfrm>
        <a:prstGeom prst="rect">
          <a:avLst/>
        </a:prstGeom>
      </xdr:spPr>
    </xdr:pic>
    <xdr:clientData/>
  </xdr:twoCellAnchor>
  <xdr:twoCellAnchor editAs="oneCell">
    <xdr:from>
      <xdr:col>18</xdr:col>
      <xdr:colOff>537955</xdr:colOff>
      <xdr:row>47</xdr:row>
      <xdr:rowOff>0</xdr:rowOff>
    </xdr:from>
    <xdr:to>
      <xdr:col>33</xdr:col>
      <xdr:colOff>322421</xdr:colOff>
      <xdr:row>94</xdr:row>
      <xdr:rowOff>170086</xdr:rowOff>
    </xdr:to>
    <xdr:pic>
      <xdr:nvPicPr>
        <xdr:cNvPr id="7" name="图片 6">
          <a:extLst>
            <a:ext uri="{FF2B5EF4-FFF2-40B4-BE49-F238E27FC236}">
              <a16:creationId xmlns:a16="http://schemas.microsoft.com/office/drawing/2014/main" id="{523D5F97-BA74-F2E7-81F5-992F8689339D}"/>
            </a:ext>
          </a:extLst>
        </xdr:cNvPr>
        <xdr:cNvPicPr>
          <a:picLocks noChangeAspect="1"/>
        </xdr:cNvPicPr>
      </xdr:nvPicPr>
      <xdr:blipFill>
        <a:blip xmlns:r="http://schemas.openxmlformats.org/officeDocument/2006/relationships" r:embed="rId6"/>
        <a:stretch>
          <a:fillRect/>
        </a:stretch>
      </xdr:blipFill>
      <xdr:spPr>
        <a:xfrm>
          <a:off x="11847305" y="8356600"/>
          <a:ext cx="8928466" cy="8526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88900</xdr:rowOff>
    </xdr:from>
    <xdr:to>
      <xdr:col>18</xdr:col>
      <xdr:colOff>99137</xdr:colOff>
      <xdr:row>30</xdr:row>
      <xdr:rowOff>84495</xdr:rowOff>
    </xdr:to>
    <xdr:pic>
      <xdr:nvPicPr>
        <xdr:cNvPr id="2" name="图片 1">
          <a:extLst>
            <a:ext uri="{FF2B5EF4-FFF2-40B4-BE49-F238E27FC236}">
              <a16:creationId xmlns:a16="http://schemas.microsoft.com/office/drawing/2014/main" id="{EA6D2F8F-DDB4-81FA-9C4D-56D1624B2A0A}"/>
            </a:ext>
          </a:extLst>
        </xdr:cNvPr>
        <xdr:cNvPicPr>
          <a:picLocks noChangeAspect="1"/>
        </xdr:cNvPicPr>
      </xdr:nvPicPr>
      <xdr:blipFill>
        <a:blip xmlns:r="http://schemas.openxmlformats.org/officeDocument/2006/relationships" r:embed="rId1"/>
        <a:stretch>
          <a:fillRect/>
        </a:stretch>
      </xdr:blipFill>
      <xdr:spPr>
        <a:xfrm>
          <a:off x="0" y="88900"/>
          <a:ext cx="11071937" cy="53295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北京市通州区新海东路15号楼1层101、4层501房地产抵押价值预评估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受贵公司委托，我公司对北京市通州区新海东路15号楼1层101、4层501房地产抵押价值进行了预评估。</v>
      </c>
    </row>
    <row r="7" spans="1:2">
      <c r="A7" s="1119" t="s">
        <v>566</v>
      </c>
      <c r="B7" s="1120" t="str">
        <f>'预评函-1'!A7</f>
        <v>估价对象为北京市通州区新海东路15号楼1层101、4层501房地产，为刘晓晶所有。根据《国有土地使用证》[]，估价对象（分摊）出让国有建设用地使用权面积为0平方米，建筑面积为785.23平方米。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新海东路15号楼1层101、4层501房地产,属刘晓晶开发建设的商业项目，该项目尚在开发建设中。根据《国有土地使用证》[]，估价对象（分摊）出让国有建设用地使用权面积为0平方米，规划建筑面积为785.23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新海东路15号楼1层101、4层501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2025年9月10日</v>
      </c>
    </row>
    <row r="13" spans="1:2">
      <c r="A13" s="1119" t="s">
        <v>529</v>
      </c>
      <c r="B13" s="1120" t="str">
        <f>'预评函-1'!A18</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984</v>
      </c>
    </row>
    <row r="21" spans="1:2">
      <c r="A21" s="1119" t="s">
        <v>537</v>
      </c>
      <c r="B21" s="1120">
        <f ca="1">'预评函-2'!D7</f>
        <v>25881</v>
      </c>
    </row>
    <row r="22" spans="1:2">
      <c r="A22" s="1119" t="s">
        <v>538</v>
      </c>
      <c r="B22" s="1120" t="str">
        <f ca="1">'预评函-2'!D6</f>
        <v>玖佰捌拾肆万元整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984</v>
      </c>
    </row>
    <row r="31" spans="1:2">
      <c r="A31" s="1119" t="s">
        <v>576</v>
      </c>
      <c r="B31" s="1120">
        <f ca="1">'预评函-2'!D15</f>
        <v>25881</v>
      </c>
    </row>
    <row r="32" spans="1:2">
      <c r="A32" s="1119" t="s">
        <v>543</v>
      </c>
      <c r="B32" s="1120" t="str">
        <f ca="1">'预评函-2'!D14</f>
        <v>玖佰捌拾肆万元整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北京市通州区新海东路15号楼1层101、4层501房地产</v>
      </c>
    </row>
    <row r="42" spans="1:2" ht="30">
      <c r="A42" s="1119" t="s">
        <v>590</v>
      </c>
      <c r="B42" s="1120" t="str">
        <f>'预评函-3'!B2</f>
        <v>建筑面积</v>
      </c>
    </row>
    <row r="43" spans="1:2">
      <c r="A43" s="1119" t="s">
        <v>591</v>
      </c>
      <c r="B43" s="1120">
        <f>'预评函-3'!B4</f>
        <v>785.23</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3" sqref="B23"/>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3401</v>
      </c>
      <c r="AA1" s="1438" t="s">
        <v>3400</v>
      </c>
      <c r="AB1" s="1438" t="s">
        <v>3</v>
      </c>
    </row>
    <row r="2" spans="1:28">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2436</v>
      </c>
      <c r="Y2" s="1445" t="s">
        <v>3408</v>
      </c>
      <c r="Z2" s="1445" t="s">
        <v>2449</v>
      </c>
      <c r="AA2" s="1445" t="s">
        <v>3409</v>
      </c>
      <c r="AB2" s="1445" t="s">
        <v>2476</v>
      </c>
    </row>
    <row r="3" spans="1:28">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2438</v>
      </c>
      <c r="Z3" s="1445" t="s">
        <v>2451</v>
      </c>
      <c r="AB3" s="1445" t="s">
        <v>2478</v>
      </c>
    </row>
    <row r="4" spans="1:28">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2440</v>
      </c>
      <c r="Z4" s="1445" t="s">
        <v>2453</v>
      </c>
      <c r="AB4" s="1445" t="s">
        <v>2480</v>
      </c>
    </row>
    <row r="5" spans="1:28">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2442</v>
      </c>
      <c r="Z5" s="1445" t="s">
        <v>2455</v>
      </c>
      <c r="AB5" s="1445" t="s">
        <v>3410</v>
      </c>
    </row>
    <row r="6" spans="1:28">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2444</v>
      </c>
      <c r="Z6" s="1445" t="s">
        <v>2457</v>
      </c>
      <c r="AB6" s="1445" t="s">
        <v>2483</v>
      </c>
    </row>
    <row r="7" spans="1:28">
      <c r="A7" s="1441" t="s">
        <v>1023</v>
      </c>
      <c r="B7" s="1444" t="s">
        <v>450</v>
      </c>
      <c r="C7" s="1442" t="s">
        <v>25</v>
      </c>
      <c r="F7" s="1443" t="s">
        <v>1024</v>
      </c>
      <c r="H7" s="1443" t="s">
        <v>1025</v>
      </c>
      <c r="I7" s="1443" t="s">
        <v>3336</v>
      </c>
      <c r="X7" s="1445" t="s">
        <v>2446</v>
      </c>
      <c r="Z7" s="1445" t="s">
        <v>2459</v>
      </c>
      <c r="AB7" s="1445" t="s">
        <v>2485</v>
      </c>
    </row>
    <row r="8" spans="1:28">
      <c r="A8" s="1441" t="s">
        <v>1026</v>
      </c>
      <c r="B8" s="1441" t="s">
        <v>1027</v>
      </c>
      <c r="C8" s="1442" t="s">
        <v>319</v>
      </c>
      <c r="F8" s="1443" t="s">
        <v>1028</v>
      </c>
      <c r="H8" s="1443" t="s">
        <v>2574</v>
      </c>
      <c r="I8" s="1443" t="s">
        <v>3337</v>
      </c>
      <c r="X8" s="1445" t="s">
        <v>3411</v>
      </c>
      <c r="Z8" s="1445" t="s">
        <v>2461</v>
      </c>
      <c r="AB8" s="1445" t="s">
        <v>2487</v>
      </c>
    </row>
    <row r="9" spans="1:28">
      <c r="A9" s="1441" t="s">
        <v>1029</v>
      </c>
      <c r="B9" s="1441" t="s">
        <v>1030</v>
      </c>
      <c r="C9" s="1442" t="s">
        <v>320</v>
      </c>
      <c r="F9" s="1443" t="s">
        <v>1031</v>
      </c>
      <c r="H9" s="1443"/>
      <c r="I9" s="1445" t="s">
        <v>3338</v>
      </c>
      <c r="X9" s="1445" t="s">
        <v>3412</v>
      </c>
      <c r="Z9" s="1445" t="s">
        <v>2463</v>
      </c>
      <c r="AB9" s="1445" t="s">
        <v>2489</v>
      </c>
    </row>
    <row r="10" spans="1:28">
      <c r="A10" s="1441" t="s">
        <v>1032</v>
      </c>
      <c r="B10" s="1441" t="s">
        <v>1033</v>
      </c>
      <c r="C10" s="1442" t="s">
        <v>321</v>
      </c>
      <c r="F10" s="1443" t="s">
        <v>2575</v>
      </c>
      <c r="I10" s="1445" t="s">
        <v>3339</v>
      </c>
      <c r="Z10" s="1445" t="s">
        <v>2465</v>
      </c>
      <c r="AB10" s="1445" t="s">
        <v>2491</v>
      </c>
    </row>
    <row r="11" spans="1:28">
      <c r="A11" s="1441" t="s">
        <v>1034</v>
      </c>
      <c r="B11" s="1441" t="s">
        <v>1035</v>
      </c>
      <c r="C11" s="1442" t="s">
        <v>322</v>
      </c>
      <c r="F11" s="1443" t="s">
        <v>13</v>
      </c>
      <c r="I11" s="1445" t="s">
        <v>3340</v>
      </c>
      <c r="Z11" s="1445" t="s">
        <v>2467</v>
      </c>
      <c r="AB11" s="1445" t="s">
        <v>2493</v>
      </c>
    </row>
    <row r="12" spans="1:28">
      <c r="A12" s="1441" t="s">
        <v>1036</v>
      </c>
      <c r="B12" s="1441" t="s">
        <v>1037</v>
      </c>
      <c r="C12" s="1442" t="s">
        <v>323</v>
      </c>
      <c r="I12" s="1445" t="s">
        <v>3341</v>
      </c>
      <c r="Z12" s="1445" t="s">
        <v>2469</v>
      </c>
      <c r="AB12" s="1445" t="s">
        <v>2495</v>
      </c>
    </row>
    <row r="13" spans="1:28">
      <c r="A13" s="1441" t="s">
        <v>1038</v>
      </c>
      <c r="B13" s="1441" t="s">
        <v>1039</v>
      </c>
      <c r="C13" s="1442" t="s">
        <v>324</v>
      </c>
      <c r="I13" s="1445" t="s">
        <v>3342</v>
      </c>
      <c r="Z13" s="1445" t="s">
        <v>2471</v>
      </c>
    </row>
    <row r="14" spans="1:28">
      <c r="A14" s="1441" t="s">
        <v>1040</v>
      </c>
      <c r="B14" s="1441" t="s">
        <v>1041</v>
      </c>
      <c r="C14" s="1443" t="s">
        <v>13</v>
      </c>
      <c r="I14" s="1445" t="s">
        <v>3343</v>
      </c>
      <c r="Z14" s="1445" t="s">
        <v>2473</v>
      </c>
    </row>
    <row r="15" spans="1:28">
      <c r="A15" s="1441" t="s">
        <v>1042</v>
      </c>
      <c r="B15" s="1441" t="s">
        <v>1043</v>
      </c>
      <c r="C15" s="1442"/>
      <c r="I15" s="1445" t="s">
        <v>3344</v>
      </c>
    </row>
    <row r="16" spans="1:28">
      <c r="A16" s="1441" t="s">
        <v>1044</v>
      </c>
      <c r="B16" s="1441" t="s">
        <v>312</v>
      </c>
      <c r="C16" s="1442"/>
    </row>
    <row r="17" spans="1:3">
      <c r="A17" s="1441" t="s">
        <v>1045</v>
      </c>
      <c r="B17" s="1441" t="s">
        <v>2290</v>
      </c>
      <c r="C17" s="1442"/>
    </row>
    <row r="18" spans="1:3">
      <c r="A18" s="1441" t="s">
        <v>1046</v>
      </c>
      <c r="B18" s="1441" t="s">
        <v>2430</v>
      </c>
      <c r="C18" s="1442"/>
    </row>
    <row r="19" spans="1:3">
      <c r="A19" s="1441" t="s">
        <v>1047</v>
      </c>
      <c r="B19" s="1441" t="s">
        <v>3445</v>
      </c>
      <c r="C19" s="1442"/>
    </row>
    <row r="20" spans="1:3">
      <c r="A20" s="1441" t="s">
        <v>1048</v>
      </c>
      <c r="B20" s="1441" t="s">
        <v>3447</v>
      </c>
      <c r="C20" s="1442"/>
    </row>
    <row r="21" spans="1:3">
      <c r="A21" s="1441" t="s">
        <v>1049</v>
      </c>
      <c r="B21" s="1441" t="s">
        <v>3449</v>
      </c>
      <c r="C21" s="1442"/>
    </row>
    <row r="22" spans="1:3">
      <c r="A22" s="1441" t="s">
        <v>1050</v>
      </c>
      <c r="B22" s="1441" t="s">
        <v>3451</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新海东路15号楼1层101、4层501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12" t="s">
        <v>2577</v>
      </c>
      <c r="J2" s="3212"/>
      <c r="K2" s="3212"/>
      <c r="L2" s="3212"/>
      <c r="M2" s="3212"/>
      <c r="N2" s="3212"/>
      <c r="O2" s="3212"/>
      <c r="P2" s="3212"/>
      <c r="Q2" s="3212"/>
      <c r="R2" s="3212"/>
    </row>
    <row r="3" spans="1:18">
      <c r="A3" s="2760" t="s">
        <v>2498</v>
      </c>
      <c r="B3" s="2761">
        <f>项目基本情况!D3</f>
        <v>45910</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1.27</v>
      </c>
      <c r="D5" s="2765">
        <f>IF(ISERROR(ROUND(POWER(1+E5,A5-C5)*(POWER(1+E5,C5)-1)/(POWER(1+E5,A5)-1),3)),0,ROUND(POWER(1+E5,A5-C5)*(POWER(1+E5,C5)-1)/(POWER(1+E5,A5)-1),4))</f>
        <v>6.1400000000000003E-2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11.28</v>
      </c>
      <c r="D6" s="2765">
        <f>IF(ISERROR(ROUND(POWER(1+E6,A6-C6)*(POWER(1+E6,C6)-1)/(POWER(1+E6,A6)-1),3)),0,ROUND(POWER(1+E6,A6-C6)*(POWER(1+E6,C6)-1)/(POWER(1+E6,A6)-1),4))</f>
        <v>0.41610000000000003</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31.29</v>
      </c>
      <c r="D7" s="2765">
        <f>IF(ISERROR(ROUND(POWER(1+E7,A7-C7)*(POWER(1+E7,C7)-1)/(POWER(1+E7,A7)-1),3)),0,ROUND(POWER(1+E7,A7-C7)*(POWER(1+E7,C7)-1)/(POWER(1+E7,A7)-1),4))</f>
        <v>0.75539999999999996</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4">
      <c r="A17" s="2760" t="s">
        <v>2514</v>
      </c>
      <c r="B17" s="2768">
        <v>4810</v>
      </c>
      <c r="C17" s="2762"/>
      <c r="D17" s="2758"/>
      <c r="E17" s="2758"/>
      <c r="F17" s="2759"/>
    </row>
    <row r="18" spans="1:14" ht="14.5" thickBot="1">
      <c r="A18" s="2770" t="s">
        <v>2513</v>
      </c>
      <c r="B18" s="2771">
        <f>ROUND(B17*F11/F12,2)</f>
        <v>5541.87</v>
      </c>
      <c r="C18" s="2771">
        <f>ROUND(F11/F12,4)</f>
        <v>1.1521999999999999</v>
      </c>
      <c r="D18" s="2772"/>
      <c r="E18" s="2772"/>
      <c r="F18" s="2773"/>
    </row>
    <row r="19" spans="1:14" ht="14.5" thickBot="1"/>
    <row r="20" spans="1:14" s="2806" customFormat="1" ht="14.5" thickTop="1">
      <c r="A20" s="2803" t="s">
        <v>2516</v>
      </c>
      <c r="B20" s="2804"/>
      <c r="C20" s="2804"/>
      <c r="D20" s="2804"/>
      <c r="E20" s="2804"/>
      <c r="F20" s="2804"/>
      <c r="G20" s="2805"/>
      <c r="I20" s="2807" t="s">
        <v>2561</v>
      </c>
      <c r="J20" s="2807" t="s">
        <v>2566</v>
      </c>
      <c r="K20" s="2807"/>
      <c r="L20" s="2807"/>
      <c r="M20" s="2807"/>
    </row>
    <row r="21" spans="1:14">
      <c r="A21" s="2774"/>
      <c r="B21" s="2775" t="s">
        <v>2517</v>
      </c>
      <c r="C21" s="2775" t="s">
        <v>2518</v>
      </c>
      <c r="D21" s="2775" t="s">
        <v>2519</v>
      </c>
      <c r="E21" s="2775" t="s">
        <v>2520</v>
      </c>
      <c r="F21" s="2775" t="s">
        <v>2521</v>
      </c>
      <c r="G21" s="2776" t="s">
        <v>2522</v>
      </c>
      <c r="I21" s="2797">
        <v>5</v>
      </c>
      <c r="J21" s="2797">
        <v>54.2</v>
      </c>
    </row>
    <row r="22" spans="1:14">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N23" s="3150" t="s">
        <v>2565</v>
      </c>
    </row>
    <row r="24" spans="1:14">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N24" s="3150">
        <v>10</v>
      </c>
    </row>
    <row r="25" spans="1:14">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N25" s="3150">
        <v>8</v>
      </c>
    </row>
    <row r="26" spans="1:14">
      <c r="A26" s="2779"/>
      <c r="B26" s="2780"/>
      <c r="C26" s="2780"/>
      <c r="D26" s="2780"/>
      <c r="E26" s="2780"/>
      <c r="F26" s="2780"/>
      <c r="G26" s="2781"/>
      <c r="I26" s="2797">
        <v>30</v>
      </c>
      <c r="J26" s="2797">
        <v>90.5</v>
      </c>
      <c r="K26" s="2797">
        <f t="shared" si="2"/>
        <v>4.2000000000000028</v>
      </c>
      <c r="L26" s="2797" t="s">
        <v>2568</v>
      </c>
      <c r="N26" s="3150">
        <v>5</v>
      </c>
    </row>
    <row r="27" spans="1:14">
      <c r="A27" s="2779" t="s">
        <v>2527</v>
      </c>
      <c r="B27" s="2780"/>
      <c r="C27" s="2780"/>
      <c r="D27" s="2780"/>
      <c r="E27" s="2780"/>
      <c r="F27" s="2780"/>
      <c r="G27" s="2781"/>
      <c r="I27" s="2797">
        <v>35</v>
      </c>
      <c r="J27" s="2797">
        <v>93.8</v>
      </c>
      <c r="K27" s="2797">
        <f t="shared" si="2"/>
        <v>3.2999999999999972</v>
      </c>
      <c r="L27" s="2797" t="s">
        <v>2569</v>
      </c>
      <c r="N27" s="3150">
        <v>3</v>
      </c>
    </row>
    <row r="28" spans="1:14">
      <c r="A28" s="2779" t="s">
        <v>2528</v>
      </c>
      <c r="B28" s="2780"/>
      <c r="C28" s="2780"/>
      <c r="D28" s="2780"/>
      <c r="E28" s="2780"/>
      <c r="F28" s="2780"/>
      <c r="G28" s="2781"/>
      <c r="I28" s="2797">
        <v>40</v>
      </c>
      <c r="J28" s="2797">
        <v>96.4</v>
      </c>
      <c r="K28" s="2797">
        <f t="shared" si="2"/>
        <v>2.6000000000000085</v>
      </c>
      <c r="L28" s="2797" t="s">
        <v>2570</v>
      </c>
      <c r="N28" s="3150">
        <v>2</v>
      </c>
    </row>
    <row r="29" spans="1:14">
      <c r="A29" s="2779" t="s">
        <v>2529</v>
      </c>
      <c r="B29" s="2780"/>
      <c r="C29" s="2780"/>
      <c r="D29" s="2780"/>
      <c r="E29" s="2780"/>
      <c r="F29" s="2780"/>
      <c r="G29" s="2781"/>
      <c r="I29" s="2797">
        <v>45</v>
      </c>
      <c r="J29" s="2797">
        <v>98.4</v>
      </c>
      <c r="K29" s="2797">
        <f t="shared" si="2"/>
        <v>2</v>
      </c>
    </row>
    <row r="30" spans="1:14">
      <c r="A30" s="2779" t="s">
        <v>2530</v>
      </c>
      <c r="B30" s="2780"/>
      <c r="C30" s="2780"/>
      <c r="D30" s="2780"/>
      <c r="E30" s="2780"/>
      <c r="F30" s="2780"/>
      <c r="G30" s="2781"/>
      <c r="I30" s="2797">
        <v>50</v>
      </c>
      <c r="J30" s="2797">
        <v>100</v>
      </c>
      <c r="K30" s="2797">
        <f t="shared" si="2"/>
        <v>1.5999999999999943</v>
      </c>
    </row>
    <row r="31" spans="1:14">
      <c r="A31" s="2779" t="s">
        <v>2531</v>
      </c>
      <c r="B31" s="2780"/>
      <c r="C31" s="2780"/>
      <c r="D31" s="2780"/>
      <c r="E31" s="2780"/>
      <c r="F31" s="2780"/>
      <c r="G31" s="2781"/>
      <c r="I31" s="2797" t="s">
        <v>2562</v>
      </c>
    </row>
    <row r="32" spans="1:14">
      <c r="A32" s="2779" t="s">
        <v>2532</v>
      </c>
      <c r="B32" s="2780"/>
      <c r="C32" s="2780"/>
      <c r="D32" s="2780"/>
      <c r="E32" s="2780"/>
      <c r="F32" s="2780"/>
      <c r="G32" s="2781"/>
    </row>
    <row r="33" spans="1:14">
      <c r="A33" s="2779" t="s">
        <v>2533</v>
      </c>
      <c r="B33" s="2780"/>
      <c r="C33" s="2780"/>
      <c r="D33" s="2780"/>
      <c r="E33" s="2780"/>
      <c r="F33" s="2780"/>
      <c r="G33" s="2781"/>
      <c r="I33" s="2797" t="s">
        <v>2561</v>
      </c>
      <c r="J33" s="2797" t="s">
        <v>2571</v>
      </c>
    </row>
    <row r="34" spans="1:14">
      <c r="A34" s="2779" t="s">
        <v>2534</v>
      </c>
      <c r="B34" s="2780"/>
      <c r="C34" s="2780"/>
      <c r="D34" s="2780"/>
      <c r="E34" s="2780"/>
      <c r="F34" s="2780"/>
      <c r="G34" s="2781"/>
      <c r="I34" s="2797">
        <v>5</v>
      </c>
      <c r="J34" s="2797">
        <v>55.1</v>
      </c>
    </row>
    <row r="35" spans="1:14">
      <c r="A35" s="2779" t="s">
        <v>2535</v>
      </c>
      <c r="B35" s="2780"/>
      <c r="C35" s="2780"/>
      <c r="D35" s="2780"/>
      <c r="E35" s="2780"/>
      <c r="F35" s="2780"/>
      <c r="G35" s="2781"/>
      <c r="I35" s="2797">
        <v>10</v>
      </c>
      <c r="J35" s="2797">
        <v>67</v>
      </c>
      <c r="K35" s="2797">
        <f>J35-J34</f>
        <v>11.899999999999999</v>
      </c>
    </row>
    <row r="36" spans="1:14">
      <c r="A36" s="2779" t="s">
        <v>2536</v>
      </c>
      <c r="B36" s="2780"/>
      <c r="C36" s="2780"/>
      <c r="D36" s="2780"/>
      <c r="E36" s="2780"/>
      <c r="F36" s="2780"/>
      <c r="G36" s="2781"/>
      <c r="I36" s="2797">
        <v>15</v>
      </c>
      <c r="J36" s="2797">
        <v>76.3</v>
      </c>
      <c r="K36" s="2797">
        <f t="shared" ref="K36:K41" si="3">J36-J35</f>
        <v>9.2999999999999972</v>
      </c>
      <c r="L36" s="2797" t="s">
        <v>2564</v>
      </c>
      <c r="N36" s="3150" t="s">
        <v>2565</v>
      </c>
    </row>
    <row r="37" spans="1:14">
      <c r="A37" s="2779" t="s">
        <v>2537</v>
      </c>
      <c r="B37" s="2780"/>
      <c r="C37" s="2780"/>
      <c r="D37" s="2780"/>
      <c r="E37" s="2780"/>
      <c r="F37" s="2780"/>
      <c r="G37" s="2781"/>
      <c r="I37" s="2797">
        <v>20</v>
      </c>
      <c r="J37" s="2797">
        <v>83.6</v>
      </c>
      <c r="K37" s="2797">
        <f t="shared" si="3"/>
        <v>7.2999999999999972</v>
      </c>
      <c r="L37" s="2797" t="s">
        <v>2563</v>
      </c>
      <c r="N37" s="3150">
        <v>10</v>
      </c>
    </row>
    <row r="38" spans="1:14">
      <c r="A38" s="2779" t="s">
        <v>2538</v>
      </c>
      <c r="B38" s="2780"/>
      <c r="C38" s="2780"/>
      <c r="D38" s="2780"/>
      <c r="E38" s="2780"/>
      <c r="F38" s="2780"/>
      <c r="G38" s="2781"/>
      <c r="I38" s="2797">
        <v>25</v>
      </c>
      <c r="J38" s="2797">
        <v>89.3</v>
      </c>
      <c r="K38" s="2797">
        <f t="shared" si="3"/>
        <v>5.7000000000000028</v>
      </c>
      <c r="L38" s="2797" t="s">
        <v>2567</v>
      </c>
      <c r="N38" s="3150">
        <v>8</v>
      </c>
    </row>
    <row r="39" spans="1:14">
      <c r="A39" s="2779"/>
      <c r="B39" s="2780"/>
      <c r="C39" s="2780"/>
      <c r="D39" s="2780"/>
      <c r="E39" s="2780"/>
      <c r="F39" s="2780"/>
      <c r="G39" s="2781"/>
      <c r="I39" s="2797">
        <v>30</v>
      </c>
      <c r="J39" s="2797">
        <v>93.8</v>
      </c>
      <c r="K39" s="2797">
        <f t="shared" si="3"/>
        <v>4.5</v>
      </c>
      <c r="L39" s="2797" t="s">
        <v>2568</v>
      </c>
      <c r="N39" s="3150">
        <v>6</v>
      </c>
    </row>
    <row r="40" spans="1:14">
      <c r="A40" s="2782" t="s">
        <v>2539</v>
      </c>
      <c r="B40" s="2783"/>
      <c r="C40" s="2783"/>
      <c r="D40" s="2783"/>
      <c r="E40" s="2783"/>
      <c r="F40" s="2783"/>
      <c r="G40" s="2784"/>
      <c r="I40" s="2797">
        <v>35</v>
      </c>
      <c r="J40" s="2797">
        <v>97.2</v>
      </c>
      <c r="K40" s="2797">
        <f t="shared" si="3"/>
        <v>3.4000000000000057</v>
      </c>
      <c r="L40" s="2797" t="s">
        <v>2569</v>
      </c>
      <c r="N40" s="3150">
        <v>3</v>
      </c>
    </row>
    <row r="41" spans="1:14">
      <c r="A41" s="2785" t="s">
        <v>2540</v>
      </c>
      <c r="B41" s="2786" t="s">
        <v>2541</v>
      </c>
      <c r="C41" s="2787" t="s">
        <v>2542</v>
      </c>
      <c r="D41" s="2787" t="s">
        <v>2543</v>
      </c>
      <c r="E41" s="2788"/>
      <c r="F41" s="2789"/>
      <c r="G41" s="2790"/>
      <c r="I41" s="2797">
        <v>40</v>
      </c>
      <c r="J41" s="2797">
        <v>100</v>
      </c>
      <c r="K41" s="2797">
        <f t="shared" si="3"/>
        <v>2.7999999999999972</v>
      </c>
    </row>
    <row r="42" spans="1:14">
      <c r="A42" s="2785" t="s">
        <v>2544</v>
      </c>
      <c r="B42" s="2786" t="s">
        <v>2545</v>
      </c>
      <c r="C42" s="2787" t="s">
        <v>2546</v>
      </c>
      <c r="D42" s="2791" t="s">
        <v>2547</v>
      </c>
      <c r="E42" s="2783" t="s">
        <v>2548</v>
      </c>
      <c r="F42" s="2783"/>
      <c r="G42" s="2784"/>
    </row>
    <row r="43" spans="1:14">
      <c r="A43" s="2785" t="s">
        <v>2549</v>
      </c>
      <c r="B43" s="2786" t="s">
        <v>2550</v>
      </c>
      <c r="C43" s="2787" t="s">
        <v>2551</v>
      </c>
      <c r="D43" s="2787" t="s">
        <v>2552</v>
      </c>
      <c r="E43" s="2788" t="s">
        <v>2553</v>
      </c>
      <c r="F43" s="2789"/>
      <c r="G43" s="2790"/>
      <c r="I43" s="2797" t="s">
        <v>2561</v>
      </c>
      <c r="J43" s="2797" t="s">
        <v>2572</v>
      </c>
    </row>
    <row r="44" spans="1:14">
      <c r="A44" s="2785" t="s">
        <v>2554</v>
      </c>
      <c r="B44" s="2786" t="s">
        <v>2555</v>
      </c>
      <c r="C44" s="2787" t="s">
        <v>2556</v>
      </c>
      <c r="D44" s="2791">
        <v>0.5</v>
      </c>
      <c r="E44" s="2788" t="s">
        <v>2557</v>
      </c>
      <c r="F44" s="2789"/>
      <c r="G44" s="2790"/>
      <c r="I44" s="2797">
        <v>30</v>
      </c>
      <c r="J44" s="2797">
        <v>81.7</v>
      </c>
    </row>
    <row r="45" spans="1:14" ht="14.5" thickBot="1">
      <c r="A45" s="2792" t="s">
        <v>2558</v>
      </c>
      <c r="B45" s="2793" t="s">
        <v>2545</v>
      </c>
      <c r="C45" s="2794" t="s">
        <v>2545</v>
      </c>
      <c r="D45" s="2794" t="s">
        <v>2559</v>
      </c>
      <c r="E45" s="2795" t="s">
        <v>2560</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3381</v>
      </c>
    </row>
    <row r="50" spans="1:4">
      <c r="A50" s="3142" t="s">
        <v>3382</v>
      </c>
      <c r="B50" s="3142" t="s">
        <v>3383</v>
      </c>
      <c r="C50" s="3142" t="s">
        <v>3384</v>
      </c>
      <c r="D50" s="3142" t="s">
        <v>3385</v>
      </c>
    </row>
    <row r="51" spans="1:4">
      <c r="A51" s="3142" t="s">
        <v>3386</v>
      </c>
      <c r="B51" s="2762">
        <f>B52+B53</f>
        <v>15000</v>
      </c>
      <c r="C51" s="3143">
        <f>D51/B51</f>
        <v>2666.6666666666665</v>
      </c>
      <c r="D51" s="2762">
        <f>D52+D53</f>
        <v>40000000</v>
      </c>
    </row>
    <row r="52" spans="1:4">
      <c r="A52" s="3144" t="s">
        <v>3387</v>
      </c>
      <c r="B52" s="3145">
        <v>10000</v>
      </c>
      <c r="C52" s="3145">
        <v>1500</v>
      </c>
      <c r="D52" s="3146">
        <f>C52*B52</f>
        <v>15000000</v>
      </c>
    </row>
    <row r="53" spans="1:4">
      <c r="A53" s="3144" t="s">
        <v>3388</v>
      </c>
      <c r="B53" s="3145">
        <v>5000</v>
      </c>
      <c r="C53" s="3145">
        <v>5000</v>
      </c>
      <c r="D53" s="3146">
        <f>C53*B53</f>
        <v>25000000</v>
      </c>
    </row>
    <row r="54" spans="1:4">
      <c r="A54" s="3142" t="s">
        <v>3389</v>
      </c>
      <c r="B54" s="2762">
        <f>B51</f>
        <v>15000</v>
      </c>
      <c r="C54" s="2768">
        <v>700</v>
      </c>
      <c r="D54" s="2762">
        <f t="shared" ref="D54:D55" si="5">C54*B54</f>
        <v>10500000</v>
      </c>
    </row>
    <row r="55" spans="1:4">
      <c r="A55" s="3142" t="s">
        <v>3390</v>
      </c>
      <c r="B55" s="2762">
        <f>B51</f>
        <v>15000</v>
      </c>
      <c r="C55" s="2768">
        <v>1500</v>
      </c>
      <c r="D55" s="2762">
        <f t="shared" si="5"/>
        <v>22500000</v>
      </c>
    </row>
    <row r="56" spans="1:4">
      <c r="A56" s="3142" t="s">
        <v>3391</v>
      </c>
      <c r="B56" s="2762">
        <f>B51</f>
        <v>15000</v>
      </c>
      <c r="C56" s="3147">
        <f>C51+C54+C55</f>
        <v>4866.6666666666661</v>
      </c>
      <c r="D56" s="2762">
        <f>D51+D54+D55</f>
        <v>73000000</v>
      </c>
    </row>
    <row r="58" spans="1:4">
      <c r="A58" s="3142" t="s">
        <v>3392</v>
      </c>
      <c r="B58" s="3148">
        <v>0.05</v>
      </c>
      <c r="C58" s="2762">
        <f>C56*(1+B58)</f>
        <v>5110</v>
      </c>
      <c r="D58" s="2762">
        <f>D56*B58</f>
        <v>3650000</v>
      </c>
    </row>
    <row r="60" spans="1:4">
      <c r="A60" s="3142" t="s">
        <v>3393</v>
      </c>
      <c r="B60" s="2768">
        <v>3500</v>
      </c>
      <c r="C60" s="2768">
        <f>C53</f>
        <v>5000</v>
      </c>
      <c r="D60" s="2762">
        <f>C60*B60</f>
        <v>17500000</v>
      </c>
    </row>
    <row r="62" spans="1:4">
      <c r="A62" s="3142" t="s">
        <v>3394</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8"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2165</v>
      </c>
      <c r="B1" s="3220" t="str">
        <f>IF(B10="北京市","北京市",C10)&amp;F10&amp;IF(结果表101!G1="在建","出让国有建设用地使用权及在建建筑物",IF(结果表101!G1="土地","出让国有建设用地使用权",))&amp;B9&amp;"预评估"</f>
        <v>北京市通州区新海东路15号楼1层101、4层501房地产抵押价值预评估</v>
      </c>
      <c r="C1" s="3221"/>
      <c r="D1" s="3221"/>
      <c r="E1" s="3221"/>
      <c r="F1" s="3221"/>
      <c r="G1" s="3221"/>
      <c r="H1" s="3221"/>
      <c r="I1" s="3222"/>
      <c r="J1" s="2243"/>
      <c r="K1" s="2182"/>
      <c r="L1" s="2183"/>
      <c r="M1" s="2183"/>
      <c r="N1" s="2181"/>
      <c r="O1" s="1466"/>
      <c r="P1" s="2181"/>
      <c r="Q1" s="2181"/>
      <c r="R1" s="2181"/>
      <c r="S1" s="1561" t="str">
        <f>IF(B10="北京市","北京市",C10)&amp;F10&amp;IF(结果表101!G1="在建","出让国有建设用地使用权及在建建筑物房地产抵押价值",IF(结果表101!G1="土地","出让国有建设用地使用权抵押价值",B9))</f>
        <v>北京市通州区新海东路15号楼1层101、4层501房地产抵押价值</v>
      </c>
      <c r="T1" s="1618"/>
      <c r="U1" s="1618"/>
      <c r="V1" s="1618"/>
      <c r="W1" s="1618"/>
      <c r="X1" s="1618"/>
      <c r="Y1" s="1618"/>
      <c r="Z1" s="1618"/>
      <c r="AA1" s="1618"/>
      <c r="AB1" s="1618"/>
    </row>
    <row r="2" spans="1:30" ht="13">
      <c r="A2" s="2181" t="s">
        <v>2166</v>
      </c>
      <c r="B2" s="122"/>
      <c r="D2" s="2445"/>
      <c r="E2" s="2439"/>
      <c r="F2" s="2439"/>
      <c r="G2" s="2440"/>
      <c r="H2" s="2440"/>
      <c r="I2" s="2440"/>
      <c r="J2" s="2243"/>
      <c r="K2" s="2182"/>
      <c r="L2" s="2183"/>
      <c r="M2" s="2183"/>
      <c r="N2" s="2181"/>
      <c r="O2" s="1466"/>
      <c r="P2" s="2181"/>
      <c r="Q2" s="2181"/>
      <c r="R2" s="2181"/>
      <c r="S2" s="1561" t="str">
        <f>IF(B10="北京市","北京市",C10)&amp;F10&amp;IF(结果表101!G1="在建","出让国有建设用地使用权及在建建筑物房地产",IF(结果表101!G1="土地","出让国有建设用地使用权","房地产"))</f>
        <v>北京市通州区新海东路15号楼1层101、4层501房地产</v>
      </c>
      <c r="T2" s="1618"/>
      <c r="U2" s="1618"/>
      <c r="V2" s="1618"/>
      <c r="W2" s="1618"/>
      <c r="X2" s="1618"/>
      <c r="Y2" s="1618"/>
      <c r="Z2" s="1618"/>
      <c r="AA2" s="1618"/>
      <c r="AB2" s="1618"/>
    </row>
    <row r="3" spans="1:30" ht="13">
      <c r="A3" s="294" t="s">
        <v>2167</v>
      </c>
      <c r="B3" s="2184"/>
      <c r="C3" s="2185" t="s">
        <v>2168</v>
      </c>
      <c r="D3" s="2184">
        <v>45910</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2169</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2170</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2171</v>
      </c>
      <c r="B6" s="2194"/>
      <c r="C6" s="2195"/>
      <c r="D6" s="2196"/>
      <c r="E6" s="2439"/>
      <c r="F6" s="2440"/>
      <c r="G6" s="2440"/>
      <c r="H6" s="2440"/>
      <c r="I6" s="2440"/>
      <c r="J6" s="2243"/>
      <c r="K6" s="2399" t="str">
        <f>IF(COUNTIF(B6,"*上海银行*"),"上海银行","")</f>
        <v/>
      </c>
      <c r="L6" s="2397"/>
      <c r="M6" s="2397"/>
      <c r="N6" s="2243"/>
      <c r="O6" s="1670"/>
      <c r="P6" s="2243"/>
      <c r="Q6" s="2243"/>
      <c r="R6" s="2243"/>
    </row>
    <row r="7" spans="1:30" ht="13">
      <c r="A7" s="2193" t="s">
        <v>2172</v>
      </c>
      <c r="B7" s="2197"/>
      <c r="C7" s="2195"/>
      <c r="D7" s="2196"/>
      <c r="E7" s="2439"/>
      <c r="F7" s="2440"/>
      <c r="G7" s="2440"/>
      <c r="H7" s="2440"/>
      <c r="I7" s="2440"/>
      <c r="J7" s="2243"/>
      <c r="K7" s="2400"/>
      <c r="L7" s="2397"/>
      <c r="M7" s="2397"/>
      <c r="N7" s="2243"/>
      <c r="O7" s="1670"/>
      <c r="P7" s="2243"/>
      <c r="Q7" s="2243"/>
      <c r="R7" s="2243"/>
    </row>
    <row r="8" spans="1:30" ht="13">
      <c r="A8" s="2198" t="s">
        <v>2173</v>
      </c>
      <c r="B8" s="2199" t="s">
        <v>3413</v>
      </c>
      <c r="C8" s="2200"/>
      <c r="D8" s="3223" t="s">
        <v>2174</v>
      </c>
      <c r="E8" s="2201" t="s">
        <v>3414</v>
      </c>
      <c r="F8" s="2202"/>
      <c r="G8" s="2440"/>
      <c r="H8" s="2440"/>
      <c r="I8" s="2440"/>
      <c r="J8" s="2243"/>
      <c r="K8" s="2398"/>
      <c r="L8" s="2397"/>
      <c r="M8" s="2397"/>
      <c r="N8" s="2243"/>
      <c r="O8" s="1670"/>
      <c r="P8" s="2243"/>
      <c r="Q8" s="2243"/>
      <c r="R8" s="2243"/>
    </row>
    <row r="9" spans="1:30" ht="13.5" thickBot="1">
      <c r="A9" s="2203" t="s">
        <v>2175</v>
      </c>
      <c r="B9" s="2204" t="s">
        <v>3414</v>
      </c>
      <c r="C9" s="2205"/>
      <c r="D9" s="3224"/>
      <c r="E9" s="2204"/>
      <c r="F9" s="2206"/>
      <c r="G9" s="2441"/>
      <c r="H9" s="2441"/>
      <c r="I9" s="2441"/>
      <c r="J9" s="2243"/>
      <c r="K9" s="2400"/>
      <c r="L9" s="2397"/>
      <c r="M9" s="2397"/>
      <c r="N9" s="2243"/>
      <c r="O9" s="1670"/>
      <c r="P9" s="2243"/>
      <c r="Q9" s="2243"/>
      <c r="R9" s="2243"/>
    </row>
    <row r="10" spans="1:30" ht="13.5" thickTop="1">
      <c r="A10" s="2207" t="s">
        <v>2176</v>
      </c>
      <c r="B10" s="2208" t="s">
        <v>3415</v>
      </c>
      <c r="C10" s="2209"/>
      <c r="D10" s="2192"/>
      <c r="E10" s="2210" t="s">
        <v>2177</v>
      </c>
      <c r="F10" s="3167" t="s">
        <v>3417</v>
      </c>
      <c r="G10" s="2442"/>
      <c r="H10" s="2443"/>
      <c r="I10" s="2444"/>
      <c r="J10" s="2243"/>
      <c r="K10" s="2400"/>
      <c r="L10" s="2397"/>
      <c r="M10" s="2397"/>
      <c r="N10" s="2243"/>
      <c r="O10" s="1670"/>
      <c r="P10" s="2243"/>
      <c r="Q10" s="2243"/>
      <c r="R10" s="2243"/>
    </row>
    <row r="11" spans="1:30" ht="13">
      <c r="A11" s="2211" t="s">
        <v>2178</v>
      </c>
      <c r="B11" s="2212" t="s">
        <v>3416</v>
      </c>
      <c r="C11" s="3168" t="s">
        <v>3418</v>
      </c>
      <c r="D11" s="2213"/>
      <c r="E11" s="2181"/>
      <c r="F11" s="2181"/>
      <c r="G11" s="2181"/>
      <c r="H11" s="2181"/>
      <c r="I11" s="2181"/>
      <c r="J11" s="2799"/>
      <c r="K11" s="2397"/>
      <c r="L11" s="2397"/>
      <c r="M11" s="2397"/>
      <c r="N11" s="2243"/>
      <c r="O11" s="1670"/>
      <c r="P11" s="2243"/>
      <c r="Q11" s="2243"/>
      <c r="R11" s="2243"/>
    </row>
    <row r="12" spans="1:30" ht="13">
      <c r="A12" s="2214" t="s">
        <v>2179</v>
      </c>
      <c r="B12" s="315" t="s">
        <v>2180</v>
      </c>
      <c r="C12" s="2215" t="s">
        <v>2181</v>
      </c>
      <c r="D12" s="2215" t="s">
        <v>2182</v>
      </c>
      <c r="E12" s="2215" t="s">
        <v>2183</v>
      </c>
      <c r="F12" s="2215" t="s">
        <v>2184</v>
      </c>
      <c r="G12" s="2215" t="s">
        <v>2185</v>
      </c>
      <c r="H12" s="2215" t="s">
        <v>2186</v>
      </c>
      <c r="I12" s="2798" t="s">
        <v>2573</v>
      </c>
      <c r="J12" s="2800"/>
      <c r="K12" s="2397"/>
      <c r="L12" s="2397"/>
      <c r="M12" s="2243"/>
      <c r="N12" s="1670"/>
      <c r="O12" s="2243"/>
      <c r="P12" s="2243"/>
      <c r="Q12" s="2243"/>
      <c r="AD12" s="1618"/>
    </row>
    <row r="13" spans="1:30" ht="13">
      <c r="A13" s="3119" t="s">
        <v>3327</v>
      </c>
      <c r="B13" s="2216" t="s">
        <v>2187</v>
      </c>
      <c r="C13" s="803"/>
      <c r="D13" s="803">
        <v>55036</v>
      </c>
      <c r="E13" s="3509" t="s">
        <v>3434</v>
      </c>
      <c r="F13" s="803"/>
      <c r="G13" s="803"/>
      <c r="H13" s="803"/>
      <c r="I13" s="803"/>
      <c r="J13" s="2800"/>
      <c r="K13" s="2397"/>
      <c r="L13" s="2397"/>
      <c r="M13" s="2243"/>
      <c r="N13" s="1670"/>
      <c r="O13" s="2243"/>
      <c r="P13" s="2243"/>
      <c r="Q13" s="2243"/>
      <c r="AD13" s="1618"/>
    </row>
    <row r="14" spans="1:30" ht="13">
      <c r="A14" s="1018"/>
      <c r="B14" s="2216" t="s">
        <v>2188</v>
      </c>
      <c r="C14" s="2217"/>
      <c r="D14" s="2217">
        <v>40</v>
      </c>
      <c r="E14" s="2217"/>
      <c r="F14" s="2217"/>
      <c r="G14" s="2217"/>
      <c r="H14" s="2217"/>
      <c r="I14" s="2217"/>
      <c r="J14" s="2801"/>
      <c r="K14" s="2397"/>
      <c r="L14" s="2397"/>
      <c r="M14" s="2243"/>
      <c r="N14" s="1670"/>
      <c r="O14" s="2243"/>
      <c r="P14" s="2243"/>
      <c r="Q14" s="2243"/>
      <c r="AD14" s="1618"/>
    </row>
    <row r="15" spans="1:30" ht="13">
      <c r="A15" s="312"/>
      <c r="B15" s="2218" t="s">
        <v>2189</v>
      </c>
      <c r="C15" s="2219" t="str">
        <f>IF(A13="出让",IF(C13="","",ROUNDDOWN(MIN((C13-$D$3)/365,C14),2)),C14)</f>
        <v/>
      </c>
      <c r="D15" s="2219">
        <f>IF(A13="出让",IF(D13="","",ROUNDDOWN(MIN((D13-$D$3)/365,D14),2)),D14)</f>
        <v>25</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ht="13">
      <c r="A16" s="2210" t="s">
        <v>2190</v>
      </c>
      <c r="B16" s="3230"/>
      <c r="C16" s="3231"/>
      <c r="D16" s="3232"/>
      <c r="E16" s="2220" t="s">
        <v>2191</v>
      </c>
      <c r="F16" s="3233"/>
      <c r="G16" s="3234"/>
      <c r="H16" s="3234"/>
      <c r="I16" s="3235"/>
      <c r="J16" s="2243"/>
      <c r="K16" s="2401"/>
      <c r="L16" s="1670"/>
      <c r="M16" s="1670"/>
      <c r="N16" s="2243"/>
      <c r="O16" s="1670"/>
      <c r="P16" s="2243"/>
      <c r="Q16" s="2243"/>
      <c r="R16" s="2243"/>
    </row>
    <row r="17" spans="1:28" ht="13">
      <c r="A17" s="305" t="s">
        <v>2192</v>
      </c>
      <c r="B17" s="294" t="s">
        <v>2193</v>
      </c>
      <c r="C17" s="8">
        <f>'数据-汇总表'!E3</f>
        <v>785.23</v>
      </c>
      <c r="D17" s="1256" t="s">
        <v>2194</v>
      </c>
      <c r="E17" s="3236" t="s">
        <v>2195</v>
      </c>
      <c r="F17" s="3237"/>
      <c r="G17" s="3237"/>
      <c r="H17" s="3237"/>
      <c r="I17" s="3238"/>
      <c r="J17" s="2243"/>
      <c r="K17" s="2402"/>
      <c r="L17" s="1670"/>
      <c r="M17" s="1670"/>
      <c r="N17" s="2243"/>
      <c r="O17" s="1670"/>
      <c r="P17" s="2243"/>
      <c r="Q17" s="2243"/>
      <c r="R17" s="2243"/>
      <c r="S17" s="2243"/>
      <c r="T17" s="2243"/>
      <c r="U17" s="2243"/>
      <c r="V17" s="2243"/>
    </row>
    <row r="18" spans="1:28" ht="26.5" thickBot="1">
      <c r="A18" s="2221" t="s">
        <v>2196</v>
      </c>
      <c r="B18" s="1027" t="s">
        <v>2197</v>
      </c>
      <c r="C18" s="2222">
        <f>'数据-汇总表'!D3</f>
        <v>0</v>
      </c>
      <c r="D18" s="1029" t="s">
        <v>2198</v>
      </c>
      <c r="E18" s="3239" t="s">
        <v>2199</v>
      </c>
      <c r="F18" s="3240"/>
      <c r="G18" s="3240"/>
      <c r="H18" s="3240"/>
      <c r="I18" s="3241"/>
      <c r="J18" s="2243"/>
      <c r="K18" s="2402"/>
      <c r="L18" s="1670"/>
      <c r="M18" s="1670"/>
      <c r="N18" s="2243"/>
      <c r="O18" s="1670"/>
      <c r="P18" s="2243"/>
      <c r="Q18" s="2243"/>
      <c r="R18" s="2243"/>
      <c r="S18" s="2243"/>
      <c r="T18" s="2243"/>
      <c r="U18" s="2243"/>
      <c r="V18" s="2243"/>
    </row>
    <row r="19" spans="1:28" ht="40" thickTop="1" thickBot="1">
      <c r="A19" s="319" t="s">
        <v>1055</v>
      </c>
      <c r="B19" s="299" t="s">
        <v>2200</v>
      </c>
      <c r="C19" s="1455" t="s">
        <v>3419</v>
      </c>
      <c r="D19" s="1456" t="s">
        <v>2201</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2202</v>
      </c>
      <c r="B20" s="3226" t="s">
        <v>2203</v>
      </c>
      <c r="C20" s="3227"/>
      <c r="D20" s="3228" t="s">
        <v>2204</v>
      </c>
      <c r="E20" s="3229"/>
      <c r="F20" s="2428" t="s">
        <v>1056</v>
      </c>
      <c r="G20" s="2440"/>
      <c r="H20" s="2440"/>
      <c r="I20" s="2440"/>
      <c r="J20" s="2243"/>
      <c r="K20" s="3225"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6.5" thickBot="1">
      <c r="A21" s="2415"/>
      <c r="B21" s="2416" t="s">
        <v>2206</v>
      </c>
      <c r="C21" s="2294" t="s">
        <v>1057</v>
      </c>
      <c r="D21" s="1460" t="s">
        <v>2207</v>
      </c>
      <c r="E21" s="2417" t="s">
        <v>1057</v>
      </c>
      <c r="F21" s="2429"/>
      <c r="G21" s="2440"/>
      <c r="H21" s="2440"/>
      <c r="I21" s="2440"/>
      <c r="J21" s="2243"/>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5"/>
      <c r="B22" s="2418" t="s">
        <v>2208</v>
      </c>
      <c r="C22" s="2294" t="s">
        <v>1058</v>
      </c>
      <c r="D22" s="2440"/>
      <c r="E22" s="2440"/>
      <c r="F22" s="2440"/>
      <c r="G22" s="2440"/>
      <c r="H22" s="2440"/>
      <c r="I22" s="2440"/>
      <c r="J22" s="2243"/>
      <c r="K22" s="3225"/>
      <c r="L22" s="646"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19" t="s">
        <v>2209</v>
      </c>
      <c r="B23" s="2291" t="s">
        <v>2210</v>
      </c>
      <c r="C23" s="2420"/>
      <c r="D23" s="2421" t="s">
        <v>2210</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14" t="s">
        <v>2211</v>
      </c>
      <c r="B27" s="312" t="s">
        <v>2212</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14"/>
      <c r="B28" s="294" t="s">
        <v>2213</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14"/>
      <c r="B29" s="294" t="s">
        <v>2214</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15"/>
      <c r="B30" s="294" t="s">
        <v>2215</v>
      </c>
      <c r="C30" s="3216"/>
      <c r="D30" s="3217"/>
      <c r="E30" s="2440"/>
      <c r="F30" s="2440"/>
      <c r="G30" s="2440"/>
      <c r="H30" s="2440"/>
      <c r="I30" s="2440"/>
      <c r="J30" s="2243"/>
      <c r="K30" s="2400"/>
      <c r="L30" s="2397"/>
      <c r="M30" s="2397"/>
      <c r="N30" s="2243"/>
      <c r="O30" s="1670"/>
      <c r="P30" s="2243"/>
      <c r="Q30" s="2243"/>
      <c r="R30" s="2243"/>
      <c r="S30" s="2243"/>
      <c r="T30" s="2243"/>
      <c r="U30" s="2243"/>
      <c r="V30" s="2243"/>
    </row>
    <row r="31" spans="1:28">
      <c r="A31" s="3218" t="s">
        <v>2216</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2217</v>
      </c>
      <c r="B34" s="1870"/>
      <c r="C34" s="1870"/>
      <c r="D34" s="1870"/>
      <c r="E34" s="1870"/>
      <c r="F34" s="1870"/>
      <c r="G34" s="1870"/>
      <c r="H34" s="1870"/>
      <c r="I34" s="2440"/>
      <c r="J34" s="2243"/>
      <c r="K34" s="8">
        <f>COUNTIF(B34:H34,"——")</f>
        <v>0</v>
      </c>
      <c r="L34" s="315" t="s">
        <v>2218</v>
      </c>
      <c r="M34" s="315" t="s">
        <v>2219</v>
      </c>
      <c r="N34" s="315" t="s">
        <v>2220</v>
      </c>
      <c r="O34" s="315" t="s">
        <v>2221</v>
      </c>
      <c r="P34" s="315" t="s">
        <v>2222</v>
      </c>
      <c r="Q34" s="315" t="s">
        <v>2223</v>
      </c>
      <c r="R34" s="315" t="s">
        <v>2224</v>
      </c>
      <c r="S34" s="3213" t="s">
        <v>2225</v>
      </c>
      <c r="T34" s="315" t="str">
        <f>NUMBERSTRING(7-K34,1)&amp;"通"</f>
        <v>七通</v>
      </c>
      <c r="U34" s="2243"/>
      <c r="V34" s="2243"/>
    </row>
    <row r="35" spans="1:30">
      <c r="A35" s="2234"/>
      <c r="B35" s="3213" t="s">
        <v>2226</v>
      </c>
      <c r="C35" s="3213"/>
      <c r="D35" s="3213"/>
      <c r="E35" s="321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3"/>
      <c r="V35" s="2243"/>
    </row>
    <row r="36" spans="1:30" ht="13">
      <c r="A36" s="2182"/>
      <c r="B36" s="8" t="s">
        <v>2182</v>
      </c>
      <c r="C36" s="8" t="s">
        <v>2183</v>
      </c>
      <c r="D36" s="8" t="s">
        <v>2181</v>
      </c>
      <c r="E36" s="8" t="s">
        <v>2186</v>
      </c>
      <c r="F36" s="2798" t="s">
        <v>2576</v>
      </c>
      <c r="G36" s="2440"/>
      <c r="H36" s="2440"/>
      <c r="I36" s="2440"/>
      <c r="J36" s="2243"/>
      <c r="K36" s="2400"/>
      <c r="L36" s="2397"/>
      <c r="M36" s="2397"/>
      <c r="N36" s="2243"/>
      <c r="O36" s="1670"/>
      <c r="P36" s="2243"/>
      <c r="Q36" s="2243"/>
      <c r="R36" s="2243"/>
      <c r="S36" s="2243"/>
      <c r="T36" s="2243"/>
      <c r="U36" s="2243"/>
      <c r="V36" s="2243"/>
    </row>
    <row r="37" spans="1:30" ht="13">
      <c r="A37" s="2413" t="s">
        <v>2227</v>
      </c>
      <c r="B37" s="2235" t="s">
        <v>304</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2228</v>
      </c>
      <c r="B38" s="2236" t="s">
        <v>2957</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2229</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ht="13">
      <c r="A41" s="2240" t="s">
        <v>2230</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6">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785.23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785.23</v>
      </c>
      <c r="H5" s="13">
        <f t="shared" ref="H5:AT5" si="0">SUM(H13:H656)</f>
        <v>785.23</v>
      </c>
      <c r="I5" s="13">
        <f t="shared" si="0"/>
        <v>785.23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785.23</v>
      </c>
      <c r="BA5" s="15">
        <f t="shared" si="1"/>
        <v>785.23</v>
      </c>
      <c r="BB5" s="15">
        <f t="shared" si="1"/>
        <v>785.23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101</v>
      </c>
      <c r="D13" s="1513" t="s">
        <v>3419</v>
      </c>
      <c r="E13" s="13">
        <f>IF($C$3="是",ROUND($A$3*G13/$B$3,2),ROUND($A$3*(G13-AT13)/$B$3,2))</f>
        <v>0</v>
      </c>
      <c r="F13" s="29"/>
      <c r="G13" s="30">
        <f>H13+AC13+AT13</f>
        <v>380.34</v>
      </c>
      <c r="H13" s="17">
        <f>SUMIF(I$12:AB$12,"总值",I13:AB13)</f>
        <v>380.34</v>
      </c>
      <c r="I13" s="1514">
        <v>380.34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0</v>
      </c>
      <c r="AZ13" s="13">
        <f>BA13+BL13</f>
        <v>380.34</v>
      </c>
      <c r="BA13" s="13">
        <f>SUM(BB13:BK13)</f>
        <v>380.34</v>
      </c>
      <c r="BB13" s="13">
        <f>IF($D13="是",I13-J13,0)</f>
        <v>380.34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v>501</v>
      </c>
      <c r="D14" s="1513" t="s">
        <v>3419</v>
      </c>
      <c r="E14" s="13">
        <f>IF($C$3="是",ROUND($A$3*G14/$B$3,2),ROUND($A$3*(G14-AT14)/$B$3,2))</f>
        <v>0</v>
      </c>
      <c r="F14" s="29"/>
      <c r="G14" s="30">
        <f>H14+AC14+AT14</f>
        <v>404.89</v>
      </c>
      <c r="H14" s="17">
        <f>SUMIF(I$12:AB$12,"总值",I14:AB14)</f>
        <v>404.89</v>
      </c>
      <c r="I14" s="1514">
        <v>404.89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501</v>
      </c>
      <c r="AY14" s="1260">
        <f>ROUND($AY$6*AZ14/$AZ$5,2)</f>
        <v>0</v>
      </c>
      <c r="AZ14" s="13">
        <f>BA14+BL14</f>
        <v>404.89</v>
      </c>
      <c r="BA14" s="13">
        <f>SUM(BB14:BK14)</f>
        <v>404.89</v>
      </c>
      <c r="BB14" s="13">
        <f>IF($D14="是",I14-J14,0)</f>
        <v>404.89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1" t="s">
        <v>1131</v>
      </c>
      <c r="B2" s="3251"/>
      <c r="C2" s="3251"/>
      <c r="D2" s="748" t="s">
        <v>1107</v>
      </c>
      <c r="E2" s="1523" t="s">
        <v>1108</v>
      </c>
      <c r="F2" s="2437"/>
      <c r="G2" s="2430"/>
      <c r="H2" s="2431"/>
      <c r="I2" s="2145" t="s">
        <v>1132</v>
      </c>
      <c r="J2" s="2437"/>
      <c r="K2" s="2437"/>
      <c r="L2" s="2437"/>
      <c r="M2" s="2437"/>
      <c r="N2" s="2438"/>
      <c r="O2" s="2437"/>
      <c r="P2" s="2437"/>
    </row>
    <row r="3" spans="1:16" ht="14.5" thickBot="1">
      <c r="A3" s="3252" t="s">
        <v>1105</v>
      </c>
      <c r="B3" s="3252"/>
      <c r="C3" s="3252"/>
      <c r="D3" s="41">
        <f>'数据-基础表'!AY6</f>
        <v>0</v>
      </c>
      <c r="E3" s="41">
        <f>'数据-基础表'!AZ5</f>
        <v>785.23</v>
      </c>
      <c r="F3" s="2437"/>
      <c r="G3" s="42"/>
      <c r="H3" s="43" t="s">
        <v>1106</v>
      </c>
      <c r="I3" s="802" t="e">
        <f>ROUND('数据-基础表'!B3/'数据-基础表'!A3,2)</f>
        <v>#DIV/0!</v>
      </c>
      <c r="J3" s="2437"/>
      <c r="K3" s="2437"/>
      <c r="L3" s="2437"/>
      <c r="M3" s="2437"/>
      <c r="N3" s="2438"/>
      <c r="O3" s="2437"/>
      <c r="P3" s="2437"/>
    </row>
    <row r="4" spans="1:16">
      <c r="A4" s="3253"/>
      <c r="B4" s="3254"/>
      <c r="C4" s="325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6" t="s">
        <v>1110</v>
      </c>
      <c r="C5" s="3256"/>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56" t="s">
        <v>1111</v>
      </c>
      <c r="C6" s="3256"/>
      <c r="D6" s="43">
        <f>ROUND($D$3*E6/$E$3,2)</f>
        <v>0</v>
      </c>
      <c r="E6" s="44">
        <f>E3-E5</f>
        <v>785.23</v>
      </c>
      <c r="F6" s="2437"/>
      <c r="G6" s="1529" t="s">
        <v>1112</v>
      </c>
      <c r="H6" s="45" t="s">
        <v>1113</v>
      </c>
      <c r="I6" s="2433" t="e">
        <f>ROUND(F31/D31,2)</f>
        <v>#DIV/0!</v>
      </c>
      <c r="J6" s="2437"/>
      <c r="K6" s="2437"/>
      <c r="L6" s="2437"/>
      <c r="M6" s="2437"/>
      <c r="N6" s="2437"/>
      <c r="O6" s="2437"/>
      <c r="P6" s="2437"/>
    </row>
    <row r="7" spans="1:16" ht="14.5" thickBot="1">
      <c r="A7" s="3248"/>
      <c r="B7" s="3249"/>
      <c r="C7" s="3250"/>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785.23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785.23</v>
      </c>
      <c r="F16" s="2437"/>
      <c r="G16" s="2437"/>
      <c r="H16" s="1531" t="s">
        <v>1135</v>
      </c>
      <c r="I16" s="1532"/>
      <c r="J16" s="1071"/>
      <c r="K16" s="3245" t="s">
        <v>1135</v>
      </c>
      <c r="L16" s="3246"/>
      <c r="M16" s="3246"/>
      <c r="N16" s="3246"/>
      <c r="O16" s="3246"/>
      <c r="P16" s="3247"/>
    </row>
    <row r="17" spans="1:19">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v>101</v>
      </c>
      <c r="D19" s="43">
        <f>ROUND($D$3*E19/$E$3,2)</f>
        <v>0</v>
      </c>
      <c r="E19" s="51">
        <f t="shared" ref="E19:E26" si="1">SUM(F19:G19)</f>
        <v>380.34</v>
      </c>
      <c r="F19" s="2555">
        <f>'数据-基础表'!G13</f>
        <v>380.34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380.34</v>
      </c>
    </row>
    <row r="20" spans="1:19">
      <c r="A20" s="1549"/>
      <c r="B20" s="45" t="s">
        <v>1153</v>
      </c>
      <c r="C20" s="3113">
        <f>'数据-基础表'!C14</f>
        <v>501</v>
      </c>
      <c r="D20" s="43">
        <f t="shared" ref="D20:D26" si="6">ROUND($D$3*E20/$E$3,2)</f>
        <v>0</v>
      </c>
      <c r="E20" s="51">
        <f t="shared" si="1"/>
        <v>404.89</v>
      </c>
      <c r="F20" s="2555">
        <f>'数据-基础表'!G14</f>
        <v>404.89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404.89</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785.23</v>
      </c>
      <c r="F27" s="1072">
        <f>IF(SUM(F19:F26)=E8,SUM(F19:F26),"地上面积有误")</f>
        <v>785.23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785.23</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785.23</v>
      </c>
      <c r="F31" s="644">
        <f>F27+F30</f>
        <v>785.23</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8" sqref="U8"/>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10.0898437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45910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101</v>
      </c>
      <c r="B6" s="1587" t="str">
        <f>IF(A6=0,"","经营性")</f>
        <v>经营性</v>
      </c>
      <c r="C6" s="1588" t="s">
        <v>673</v>
      </c>
      <c r="D6" s="805">
        <f>SUMIF(项目基本情况!C$12:I$12,C6,项目基本情况!C$14:I$14)</f>
        <v>40</v>
      </c>
      <c r="E6" s="804">
        <f>IF(B6="","",SUMIF(项目基本情况!C$12:I$12,C6,项目基本情况!C$13:I$13))</f>
        <v>55036</v>
      </c>
      <c r="F6" s="61">
        <f>SUMIF(项目基本情况!C$12:I$12,C6,项目基本情况!C$15:I$15)</f>
        <v>25</v>
      </c>
      <c r="G6" s="62">
        <f>IF(ISERROR(ROUND(POWER(1+H6,D6-F6)*(POWER(1+H6,F6)-1)/(POWER(1+H6,D6)-1),3)),0,ROUND(POWER(1+H6,D6-F6)*(POWER(1+H6,F6)-1)/(POWER(1+H6,D6)-1),3))</f>
        <v>0.82099999999999995</v>
      </c>
      <c r="H6" s="691">
        <v>0.05</v>
      </c>
      <c r="I6" s="691">
        <v>5.5E-2</v>
      </c>
      <c r="J6" s="63">
        <v>7.0000000000000007E-2</v>
      </c>
      <c r="K6" s="970">
        <f>SUMIF('数据-汇总表'!C$19:C$33,A6,'数据-汇总表'!E$19:E$33)</f>
        <v>380.34</v>
      </c>
      <c r="L6" s="692">
        <v>4000</v>
      </c>
      <c r="M6" s="64">
        <f t="shared" ref="M6:M14" si="0">ROUND(K6*L6/10000,0)</f>
        <v>152</v>
      </c>
      <c r="N6" s="690">
        <f>N19</f>
        <v>0.78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V19</f>
        <v>3.46</v>
      </c>
      <c r="V6" s="67">
        <v>0.02</v>
      </c>
      <c r="W6" s="67">
        <v>0.1</v>
      </c>
      <c r="X6" s="979"/>
      <c r="Y6" s="68">
        <f>N6</f>
        <v>0.78</v>
      </c>
      <c r="Z6" s="69"/>
      <c r="AA6" s="63"/>
      <c r="AB6" s="63"/>
      <c r="AC6" s="979"/>
      <c r="AD6" s="70"/>
      <c r="AE6" s="980">
        <f ca="1">IF(AN6="",0,SUMIF(INDIRECT("'"&amp;AN6&amp;"'"&amp;"!E:E"),$AE$5,INDIRECT("'"&amp;AN6&amp;"'"&amp;"!F:F")))</f>
        <v>25</v>
      </c>
      <c r="AF6" s="74"/>
      <c r="AG6" s="130">
        <f>IF(AF6="",0,AE6-AF6)</f>
        <v>0</v>
      </c>
      <c r="AH6" s="71"/>
      <c r="AI6" s="73">
        <v>365</v>
      </c>
      <c r="AJ6" s="74"/>
      <c r="AK6" s="75">
        <v>5.0000000000000001E-3</v>
      </c>
      <c r="AL6" s="76">
        <v>0.01</v>
      </c>
      <c r="AM6" s="77">
        <v>1E-3</v>
      </c>
      <c r="AN6" s="1589" t="s">
        <v>3444</v>
      </c>
      <c r="AO6" s="50">
        <f ca="1">SUMIF(INDIRECT("'"&amp;AN6&amp;"'"&amp;"!A:A"),"总价",INDIRECT("'"&amp;AN6&amp;"'"&amp;"!B:B"))</f>
        <v>623.87369999999999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501</v>
      </c>
      <c r="B7" s="1587" t="str">
        <f t="shared" ref="B7:B13" si="1">IF(A7=0,"","经营性")</f>
        <v>经营性</v>
      </c>
      <c r="C7" s="1588" t="s">
        <v>673</v>
      </c>
      <c r="D7" s="805">
        <f>SUMIF(项目基本情况!C$12:I$12,C7,项目基本情况!C$14:I$14)</f>
        <v>40</v>
      </c>
      <c r="E7" s="804">
        <f>IF(B7="","",SUMIF(项目基本情况!C$12:I$12,C7,项目基本情况!C$13:I$13))</f>
        <v>55036</v>
      </c>
      <c r="F7" s="61">
        <f>SUMIF(项目基本情况!C$12:I$12,C7,项目基本情况!C$15:I$15)</f>
        <v>25</v>
      </c>
      <c r="G7" s="62">
        <f t="shared" ref="G7:G11" si="2">IF(ISERROR(ROUND(POWER(1+H7,D7-F7)*(POWER(1+H7,F7)-1)/(POWER(1+H7,D7)-1),3)),0,ROUND(POWER(1+H7,D7-F7)*(POWER(1+H7,F7)-1)/(POWER(1+H7,D7)-1),3))</f>
        <v>0.82099999999999995</v>
      </c>
      <c r="H7" s="691">
        <f>H6</f>
        <v>0.05</v>
      </c>
      <c r="I7" s="691">
        <f>I6</f>
        <v>5.5E-2</v>
      </c>
      <c r="J7" s="63">
        <f>J6</f>
        <v>7.0000000000000007E-2</v>
      </c>
      <c r="K7" s="970">
        <f>SUMIF('数据-汇总表'!C$19:C$33,A7,'数据-汇总表'!E$19:E$33)</f>
        <v>404.89</v>
      </c>
      <c r="L7" s="692">
        <f>L6</f>
        <v>4000</v>
      </c>
      <c r="M7" s="64">
        <f t="shared" si="0"/>
        <v>162</v>
      </c>
      <c r="N7" s="690">
        <f>N6</f>
        <v>0.78</v>
      </c>
      <c r="O7" s="64" t="str">
        <f t="shared" ref="O7:O14" si="3">IF($N$5="成新度","——",ROUND(M7*N7,0))</f>
        <v>——</v>
      </c>
      <c r="P7" s="65" t="str">
        <f t="shared" ref="P7:P14" si="4">IF($N$5="成新度","——",M7-O7)</f>
        <v>——</v>
      </c>
      <c r="Q7" s="693">
        <f>Q6</f>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f>V20</f>
        <v>3.11</v>
      </c>
      <c r="V7" s="67">
        <f>V6</f>
        <v>0.02</v>
      </c>
      <c r="W7" s="67">
        <f>W6</f>
        <v>0.1</v>
      </c>
      <c r="X7" s="979"/>
      <c r="Y7" s="68">
        <f>Y6</f>
        <v>0.78</v>
      </c>
      <c r="Z7" s="69"/>
      <c r="AA7" s="63"/>
      <c r="AB7" s="63"/>
      <c r="AC7" s="979"/>
      <c r="AD7" s="70"/>
      <c r="AE7" s="980">
        <f t="shared" ref="AE7:AE13" ca="1" si="6">IF(AN7="",0,SUMIF(INDIRECT("'"&amp;AN7&amp;"'"&amp;"!E:E"),$AE$5,INDIRECT("'"&amp;AN7&amp;"'"&amp;"!F:F")))</f>
        <v>25</v>
      </c>
      <c r="AF7" s="74"/>
      <c r="AG7" s="130">
        <f t="shared" ref="AG7:AG13" si="7">IF(AF7="",0,AE7-AF7)</f>
        <v>0</v>
      </c>
      <c r="AH7" s="71"/>
      <c r="AI7" s="73">
        <v>365</v>
      </c>
      <c r="AJ7" s="74"/>
      <c r="AK7" s="75">
        <f>AK6</f>
        <v>5.0000000000000001E-3</v>
      </c>
      <c r="AL7" s="76">
        <f>AL6</f>
        <v>0.01</v>
      </c>
      <c r="AM7" s="77">
        <f>AM6</f>
        <v>1E-3</v>
      </c>
      <c r="AN7" s="1589" t="s">
        <v>3446</v>
      </c>
      <c r="AO7" s="50">
        <f t="shared" ref="AO7:AO13" ca="1" si="8">SUMIF(INDIRECT("'"&amp;AN7&amp;"'"&amp;"!A:A"),"总价",INDIRECT("'"&amp;AN7&amp;"'"&amp;"!B:B"))</f>
        <v>593.39319999999998</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0.82099999999999995</v>
      </c>
      <c r="H16" s="84">
        <f>ROUND(SUMPRODUCT(H6:H13,K6:K13)/SUMPRODUCT((H6:H13&gt;0)*(K6:K13)),3)</f>
        <v>0.05</v>
      </c>
      <c r="I16" s="85"/>
      <c r="J16" s="85"/>
      <c r="K16" s="86">
        <f>SUM(K6:K15)</f>
        <v>785.23</v>
      </c>
      <c r="L16" s="87">
        <f>ROUND(M16*10000/SUM(K6:K14),0)</f>
        <v>3999</v>
      </c>
      <c r="M16" s="87">
        <f>SUM(M6:M14)</f>
        <v>314</v>
      </c>
      <c r="N16" s="88">
        <f>ROUND(SUMPRODUCT(M6:M14,N6:N14)/M16,3)</f>
        <v>0.78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2446"/>
      <c r="N18" s="2446">
        <v>2012</v>
      </c>
      <c r="O18" s="3170" t="s">
        <v>3424</v>
      </c>
      <c r="P18" s="3508">
        <f>N18-B20+40</f>
        <v>2050</v>
      </c>
      <c r="Q18" s="2446"/>
      <c r="R18" s="2446"/>
      <c r="S18" s="2446"/>
      <c r="T18" s="2446"/>
      <c r="U18" s="3170" t="s">
        <v>3428</v>
      </c>
      <c r="V18" s="3170" t="s">
        <v>3429</v>
      </c>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2299</v>
      </c>
      <c r="D19" s="2449"/>
      <c r="E19" s="2437"/>
      <c r="F19" s="2437"/>
      <c r="G19" s="2437"/>
      <c r="H19" s="2437"/>
      <c r="I19" s="2437"/>
      <c r="J19" s="2437"/>
      <c r="K19" s="2447"/>
      <c r="L19" s="2447"/>
      <c r="M19" s="2446"/>
      <c r="N19" s="2446">
        <f>ROUND(1-(1-0)*(2025-N18)/60,2)</f>
        <v>0.78</v>
      </c>
      <c r="O19" s="2446"/>
      <c r="P19" s="2446"/>
      <c r="Q19" s="2446"/>
      <c r="R19" s="2446"/>
      <c r="S19" s="2446"/>
      <c r="T19" s="3170" t="s">
        <v>3427</v>
      </c>
      <c r="U19" s="2446">
        <v>480000</v>
      </c>
      <c r="V19" s="2446">
        <f>ROUND(U19/365/'数据-汇总表'!E19,2)</f>
        <v>3.46</v>
      </c>
      <c r="W19" s="3522" t="s">
        <v>3487</v>
      </c>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2297</v>
      </c>
      <c r="D20" s="2449"/>
      <c r="E20" s="2437"/>
      <c r="F20" s="2437"/>
      <c r="G20" s="2437"/>
      <c r="H20" s="2437"/>
      <c r="I20" s="2437"/>
      <c r="J20" s="2437"/>
      <c r="K20" s="2447"/>
      <c r="L20" s="2447"/>
      <c r="M20" s="2446"/>
      <c r="N20" s="2446"/>
      <c r="O20" s="2446"/>
      <c r="P20" s="2446"/>
      <c r="Q20" s="2446"/>
      <c r="R20" s="2446"/>
      <c r="S20" s="2446"/>
      <c r="T20" s="3170" t="s">
        <v>3427</v>
      </c>
      <c r="U20" s="2446">
        <v>460000</v>
      </c>
      <c r="V20" s="2446">
        <f>ROUND(U20/365/'数据-汇总表'!E20,2)</f>
        <v>3.11</v>
      </c>
      <c r="W20" s="3522" t="s">
        <v>3486</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2291</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3377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2292</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2293</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3379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2307</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6.000000000000001E-3</v>
      </c>
      <c r="C43" s="2451"/>
      <c r="D43" s="3169" t="s">
        <v>3421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7.0000000000000007E-2</v>
      </c>
      <c r="C44" s="2562" t="s">
        <v>3380</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2302</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3</v>
      </c>
      <c r="C52" s="2438"/>
      <c r="D52" s="3169" t="s">
        <v>3422</v>
      </c>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303</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57" t="s">
        <v>2283</v>
      </c>
      <c r="B1" s="3258"/>
      <c r="C1" s="3258"/>
      <c r="D1" s="3258"/>
      <c r="E1" s="3258"/>
      <c r="F1" s="3258"/>
      <c r="G1" s="325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2278</v>
      </c>
      <c r="D2" s="1595"/>
      <c r="E2" s="2258"/>
      <c r="F2" s="2261"/>
      <c r="G2" s="2260" t="s">
        <v>2279</v>
      </c>
      <c r="H2" s="751"/>
      <c r="I2" s="751"/>
      <c r="J2" s="751"/>
      <c r="K2" s="751"/>
      <c r="L2" s="751"/>
      <c r="M2" s="751"/>
      <c r="N2" s="751"/>
      <c r="O2" s="751"/>
      <c r="P2" s="751"/>
      <c r="Q2" s="751"/>
    </row>
    <row r="3" spans="1:29" ht="52">
      <c r="A3" s="2245" t="s">
        <v>2280</v>
      </c>
      <c r="B3" s="2262" t="s">
        <v>2249</v>
      </c>
      <c r="C3" s="2263" t="s">
        <v>2281</v>
      </c>
      <c r="D3" s="2264"/>
      <c r="E3" s="2246" t="s">
        <v>2280</v>
      </c>
      <c r="F3" s="2265" t="s">
        <v>2250</v>
      </c>
      <c r="G3" s="2266" t="s">
        <v>2282</v>
      </c>
      <c r="H3" s="751"/>
      <c r="I3" s="751"/>
      <c r="J3" s="751"/>
      <c r="K3" s="751"/>
      <c r="L3" s="751"/>
      <c r="M3" s="751"/>
      <c r="N3" s="751"/>
      <c r="O3" s="751"/>
      <c r="P3" s="751"/>
      <c r="Q3" s="751"/>
    </row>
    <row r="4" spans="1:29" ht="39">
      <c r="A4" s="2246"/>
      <c r="B4" s="315" t="s">
        <v>2251</v>
      </c>
      <c r="C4" s="2267" t="s">
        <v>2252</v>
      </c>
      <c r="D4" s="2264"/>
      <c r="E4" s="2268"/>
      <c r="F4" s="1281" t="s">
        <v>2253</v>
      </c>
      <c r="G4" s="2269" t="s">
        <v>2254</v>
      </c>
      <c r="H4" s="751"/>
      <c r="I4" s="751"/>
      <c r="J4" s="751"/>
      <c r="K4" s="751"/>
      <c r="L4" s="751"/>
      <c r="M4" s="751"/>
      <c r="N4" s="751"/>
      <c r="O4" s="751"/>
      <c r="P4" s="751"/>
      <c r="Q4" s="751"/>
    </row>
    <row r="5" spans="1:29" ht="39">
      <c r="A5" s="2246"/>
      <c r="B5" s="315" t="s">
        <v>2255</v>
      </c>
      <c r="C5" s="2267" t="s">
        <v>2256</v>
      </c>
      <c r="D5" s="2264"/>
      <c r="E5" s="2268"/>
      <c r="F5" s="315" t="s">
        <v>2257</v>
      </c>
      <c r="G5" s="2269" t="s">
        <v>2258</v>
      </c>
      <c r="H5" s="751"/>
      <c r="I5" s="751"/>
      <c r="J5" s="751"/>
      <c r="K5" s="751"/>
      <c r="L5" s="751"/>
      <c r="M5" s="751"/>
      <c r="N5" s="751"/>
      <c r="O5" s="751"/>
      <c r="P5" s="751"/>
      <c r="Q5" s="751"/>
    </row>
    <row r="6" spans="1:29" ht="39">
      <c r="A6" s="2246"/>
      <c r="B6" s="315" t="s">
        <v>2259</v>
      </c>
      <c r="C6" s="2269" t="s">
        <v>2254</v>
      </c>
      <c r="D6" s="2264"/>
      <c r="E6" s="2268"/>
      <c r="F6" s="315" t="s">
        <v>2260</v>
      </c>
      <c r="G6" s="2269" t="s">
        <v>2261</v>
      </c>
      <c r="H6" s="751"/>
      <c r="I6" s="751"/>
      <c r="J6" s="751"/>
      <c r="K6" s="751"/>
      <c r="L6" s="751"/>
      <c r="M6" s="751"/>
      <c r="N6" s="751"/>
      <c r="O6" s="751"/>
      <c r="P6" s="751"/>
      <c r="Q6" s="751"/>
    </row>
    <row r="7" spans="1:29" ht="39.5" thickBot="1">
      <c r="A7" s="2246"/>
      <c r="B7" s="315" t="s">
        <v>2257</v>
      </c>
      <c r="C7" s="2269" t="s">
        <v>2258</v>
      </c>
      <c r="D7" s="2243"/>
      <c r="E7" s="2270"/>
      <c r="F7" s="2271" t="s">
        <v>2262</v>
      </c>
      <c r="G7" s="2272" t="s">
        <v>2263</v>
      </c>
      <c r="H7" s="751"/>
      <c r="I7" s="751"/>
      <c r="J7" s="751"/>
      <c r="K7" s="751"/>
      <c r="L7" s="751"/>
      <c r="M7" s="751"/>
      <c r="N7" s="751"/>
      <c r="O7" s="751"/>
      <c r="P7" s="751"/>
      <c r="Q7" s="751"/>
    </row>
    <row r="8" spans="1:29" ht="26">
      <c r="A8" s="2246"/>
      <c r="B8" s="315" t="s">
        <v>2260</v>
      </c>
      <c r="C8" s="2269" t="s">
        <v>2261</v>
      </c>
      <c r="D8" s="2243"/>
      <c r="E8" s="2243"/>
      <c r="F8" s="121"/>
      <c r="G8" s="121"/>
      <c r="H8" s="751"/>
      <c r="I8" s="751"/>
      <c r="J8" s="751"/>
      <c r="K8" s="751"/>
      <c r="L8" s="751"/>
      <c r="M8" s="751"/>
      <c r="N8" s="751"/>
      <c r="O8" s="751"/>
      <c r="P8" s="751"/>
      <c r="Q8" s="751"/>
    </row>
    <row r="9" spans="1:29" ht="26">
      <c r="A9" s="2246"/>
      <c r="B9" s="315" t="s">
        <v>2264</v>
      </c>
      <c r="C9" s="2267" t="s">
        <v>2265</v>
      </c>
      <c r="D9" s="2264"/>
      <c r="E9" s="2243"/>
      <c r="F9" s="121"/>
      <c r="G9" s="121"/>
      <c r="H9" s="751"/>
      <c r="I9" s="751"/>
      <c r="J9" s="751"/>
      <c r="K9" s="751"/>
      <c r="L9" s="751"/>
      <c r="M9" s="751"/>
      <c r="N9" s="751"/>
      <c r="O9" s="751"/>
      <c r="P9" s="751"/>
      <c r="Q9" s="751"/>
    </row>
    <row r="10" spans="1:29" ht="14.5" thickBot="1">
      <c r="A10" s="2247"/>
      <c r="B10" s="2273" t="s">
        <v>2266</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2284</v>
      </c>
      <c r="B13" s="2278"/>
      <c r="C13" s="2278"/>
      <c r="D13" s="2277"/>
      <c r="E13" s="2278"/>
      <c r="F13" s="2278"/>
      <c r="G13" s="2278"/>
    </row>
    <row r="14" spans="1:29" ht="14.5" thickBot="1">
      <c r="A14" s="2283"/>
      <c r="B14" s="2283"/>
      <c r="C14" s="2284" t="s">
        <v>2267</v>
      </c>
      <c r="D14" s="2264"/>
      <c r="E14" s="2285"/>
      <c r="F14" s="2285"/>
      <c r="G14" s="2260" t="s">
        <v>2268</v>
      </c>
    </row>
    <row r="15" spans="1:29" ht="50">
      <c r="A15" s="2248" t="s">
        <v>2269</v>
      </c>
      <c r="B15" s="2286" t="s">
        <v>2249</v>
      </c>
      <c r="C15" s="2287" t="str">
        <f>C3</f>
        <v>估价对象周边居住用地比例、居住小区规模和社区发展完善程度，综合评价居住社区成熟度一般</v>
      </c>
      <c r="D15" s="2264"/>
      <c r="E15" s="2249" t="s">
        <v>2270</v>
      </c>
      <c r="F15" s="2286" t="s">
        <v>2271</v>
      </c>
      <c r="G15" s="2288" t="str">
        <f>G3</f>
        <v>估价对象位于XX开发区，园区建设成熟度XX，产业集聚程度XX</v>
      </c>
    </row>
    <row r="16" spans="1:29" ht="37.5">
      <c r="A16" s="2250"/>
      <c r="B16" s="2289" t="s">
        <v>2251</v>
      </c>
      <c r="C16" s="2290" t="str">
        <f>C4</f>
        <v>估价对象位于XX商圈，周边商业氛围成熟，人流量大，商业繁华度好</v>
      </c>
      <c r="D16" s="2264"/>
      <c r="E16" s="2251"/>
      <c r="F16" s="2291" t="s">
        <v>2253</v>
      </c>
      <c r="G16" s="2292" t="str">
        <f>G4</f>
        <v>估价对象周边道路状况、公共交通通达情况、停车便捷程度，综合评价交通便捷度较好</v>
      </c>
    </row>
    <row r="17" spans="1:17" ht="37.5">
      <c r="A17" s="2250"/>
      <c r="B17" s="2289" t="s">
        <v>2255</v>
      </c>
      <c r="C17" s="2290" t="str">
        <f>C5</f>
        <v>估价对象位于XX商圈，周边办公楼项目较多，入驻率高，办公集聚程度较好</v>
      </c>
      <c r="D17" s="2243"/>
      <c r="E17" s="2251"/>
      <c r="F17" s="2291" t="s">
        <v>2272</v>
      </c>
      <c r="G17" s="2293"/>
    </row>
    <row r="18" spans="1:17" ht="37.5">
      <c r="A18" s="2250"/>
      <c r="B18" s="2291" t="s">
        <v>2259</v>
      </c>
      <c r="C18" s="2292" t="str">
        <f>C6</f>
        <v>估价对象周边道路状况、公共交通通达情况、停车便捷程度，综合评价交通便捷度较好</v>
      </c>
      <c r="D18" s="2243"/>
      <c r="E18" s="2251"/>
      <c r="F18" s="2291" t="s">
        <v>2262</v>
      </c>
      <c r="G18" s="2292" t="str">
        <f>G7</f>
        <v>该园区内是否有污染型企业，绿化情况，卫生条件，整体环境状况判断</v>
      </c>
    </row>
    <row r="19" spans="1:17" ht="25">
      <c r="A19" s="2250"/>
      <c r="B19" s="2291" t="s">
        <v>2273</v>
      </c>
      <c r="C19" s="2293"/>
      <c r="D19" s="2264"/>
      <c r="E19" s="2251"/>
      <c r="F19" s="315" t="s">
        <v>2257</v>
      </c>
      <c r="G19" s="2292" t="str">
        <f>G5</f>
        <v>估价对象所在区域公共配套设施齐备情况</v>
      </c>
    </row>
    <row r="20" spans="1:17" ht="25">
      <c r="A20" s="2250"/>
      <c r="B20" s="2291" t="s">
        <v>2274</v>
      </c>
      <c r="C20" s="2290" t="str">
        <f>C9</f>
        <v>区域自然环境：；人文环境；综合评价环境状况一般</v>
      </c>
      <c r="D20" s="2243"/>
      <c r="E20" s="2251"/>
      <c r="F20" s="315" t="s">
        <v>2260</v>
      </c>
      <c r="G20" s="2292" t="str">
        <f>G6</f>
        <v>估价对象所在区域基础设施水平</v>
      </c>
    </row>
    <row r="21" spans="1:17" ht="25">
      <c r="A21" s="2250"/>
      <c r="B21" s="315" t="s">
        <v>2257</v>
      </c>
      <c r="C21" s="2292" t="str">
        <f>C7</f>
        <v>估价对象所在区域公共配套设施齐备情况</v>
      </c>
      <c r="D21" s="2264"/>
      <c r="E21" s="2251"/>
      <c r="F21" s="2291" t="s">
        <v>2275</v>
      </c>
      <c r="G21" s="2294"/>
    </row>
    <row r="22" spans="1:17" ht="13.5" customHeight="1">
      <c r="A22" s="2250"/>
      <c r="B22" s="315" t="s">
        <v>2260</v>
      </c>
      <c r="C22" s="2292" t="str">
        <f>C8</f>
        <v>估价对象所在区域基础设施水平</v>
      </c>
      <c r="D22" s="2264"/>
      <c r="E22" s="2251"/>
      <c r="F22" s="2291" t="s">
        <v>2266</v>
      </c>
      <c r="G22" s="2293"/>
    </row>
    <row r="23" spans="1:17" s="751" customFormat="1" ht="14.5" thickBot="1">
      <c r="A23" s="2250"/>
      <c r="B23" s="2291" t="s">
        <v>2275</v>
      </c>
      <c r="C23" s="2294"/>
      <c r="D23" s="1614"/>
      <c r="E23" s="2252"/>
      <c r="F23" s="2295" t="s">
        <v>2276</v>
      </c>
      <c r="G23" s="2296"/>
      <c r="H23" s="2275"/>
      <c r="I23" s="2275"/>
      <c r="J23" s="2275"/>
      <c r="K23" s="2275"/>
      <c r="L23" s="2275"/>
      <c r="M23" s="2275"/>
      <c r="N23" s="2275"/>
      <c r="O23" s="2275"/>
      <c r="P23" s="2275"/>
      <c r="Q23" s="2275"/>
    </row>
    <row r="24" spans="1:17" s="751" customFormat="1" ht="14.5" thickBot="1">
      <c r="A24" s="2253"/>
      <c r="B24" s="2295" t="s">
        <v>2277</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785.23</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45910</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1613</v>
      </c>
      <c r="C5" s="2298">
        <f ca="1">IF(B5=D14,结果表101!H102,ROUND(B5*10000/$B$1,0))</f>
        <v>25881</v>
      </c>
      <c r="D5" s="2298" t="e">
        <f ca="1">ROUND(B5*10000/$B$2,0)</f>
        <v>#DIV/0!</v>
      </c>
      <c r="E5" s="2459"/>
      <c r="F5" s="2460"/>
      <c r="G5" s="2460"/>
      <c r="H5" s="2460"/>
      <c r="I5" s="2460"/>
      <c r="J5" s="2460"/>
      <c r="K5" s="2460"/>
    </row>
    <row r="6" spans="1:11" ht="16.5">
      <c r="A6" s="2298" t="s">
        <v>656</v>
      </c>
      <c r="B6" s="2298">
        <f ca="1">SUM(G14:G23)</f>
        <v>1613</v>
      </c>
      <c r="C6" s="2298">
        <f ca="1">IF(B6=G14,结果表101!H108,ROUND(B6*10000/$B$1,0))</f>
        <v>25881</v>
      </c>
      <c r="D6" s="2298" t="e">
        <f ca="1">ROUND(B6*10000/$B$2,0)</f>
        <v>#DIV/0!</v>
      </c>
      <c r="E6" s="2459"/>
      <c r="F6" s="2460"/>
      <c r="G6" s="2460"/>
      <c r="H6" s="2460"/>
      <c r="I6" s="2460"/>
      <c r="J6" s="2460"/>
      <c r="K6" s="2460"/>
    </row>
    <row r="7" spans="1:11" ht="16.5">
      <c r="A7" s="2298" t="s">
        <v>664</v>
      </c>
      <c r="B7" s="2298">
        <f>SUM(H14:H23)</f>
        <v>0</v>
      </c>
      <c r="C7" s="2298" t="str">
        <f>IF(B7=H14,结果表101!H110,ROUND(B7*10000/$B$1,0))</f>
        <v>——</v>
      </c>
      <c r="D7" s="2298" t="e">
        <f>ROUND(B7*10000/$B$2,0)</f>
        <v>#DIV/0!</v>
      </c>
      <c r="E7" s="2459"/>
      <c r="F7" s="2460"/>
      <c r="G7" s="2460"/>
      <c r="H7" s="2460"/>
      <c r="I7" s="2460"/>
      <c r="J7" s="2460"/>
      <c r="K7" s="2460"/>
    </row>
    <row r="8" spans="1:11" ht="16.5">
      <c r="A8" s="2298" t="s">
        <v>587</v>
      </c>
      <c r="B8" s="2298">
        <f>SUM(I14:I23)</f>
        <v>0</v>
      </c>
      <c r="C8" s="2298" t="str">
        <f>IF(B8=I14,结果表101!H112,ROUND(B8*10000/$B$1,0))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3350</v>
      </c>
      <c r="D10" s="2298" t="s">
        <v>3351</v>
      </c>
      <c r="E10" s="3134"/>
      <c r="F10" s="3138" t="s">
        <v>3352</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典型户型修正!B22</f>
        <v>785.23</v>
      </c>
      <c r="C14" s="2304"/>
      <c r="D14" s="2304">
        <f ca="1">典型户型修正!S22</f>
        <v>1613</v>
      </c>
      <c r="E14" s="2304">
        <f ca="1">ROUND(D14*10000/B14,0)</f>
        <v>20542</v>
      </c>
      <c r="F14" s="2304" t="e">
        <f ca="1">ROUND(D14*10000/C14,0)</f>
        <v>#DIV/0!</v>
      </c>
      <c r="G14" s="2304">
        <f ca="1">D14</f>
        <v>1613</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Normal="100" zoomScaleSheetLayoutView="100" zoomScalePageLayoutView="80" workbookViewId="0">
      <selection activeCell="I35" sqref="I3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101</v>
      </c>
      <c r="D1" s="646"/>
      <c r="E1" s="646"/>
      <c r="F1" s="1621" t="s">
        <v>1263</v>
      </c>
      <c r="G1" s="1453" t="s">
        <v>3426</v>
      </c>
      <c r="H1" s="1621" t="str">
        <f>IF(G1="现房","——","估价对象范围")</f>
        <v>——</v>
      </c>
      <c r="I1" s="1622"/>
    </row>
    <row r="2" spans="1:12" ht="21.75" customHeight="1" thickBot="1">
      <c r="A2" s="3293" t="str">
        <f>项目基本情况!S2</f>
        <v>北京市通州区新海东路15号楼1层101、4层501房地产</v>
      </c>
      <c r="B2" s="3294"/>
      <c r="C2" s="3294"/>
      <c r="D2" s="3294"/>
      <c r="E2" s="3294"/>
      <c r="F2" s="3294"/>
      <c r="G2" s="3294"/>
      <c r="H2" s="3294"/>
      <c r="I2" s="3295"/>
    </row>
    <row r="3" spans="1:12" ht="13">
      <c r="A3" s="3297" t="s">
        <v>1264</v>
      </c>
      <c r="B3" s="3298"/>
      <c r="C3" s="3298"/>
      <c r="D3" s="3298"/>
      <c r="E3" s="3298"/>
      <c r="F3" s="3298"/>
      <c r="G3" s="3298"/>
      <c r="H3" s="3298"/>
      <c r="I3" s="3298"/>
    </row>
    <row r="4" spans="1:12" ht="14">
      <c r="A4" s="1624" t="s">
        <v>1265</v>
      </c>
      <c r="B4" s="1625" t="s">
        <v>1266</v>
      </c>
      <c r="C4" s="1626" t="s">
        <v>3476</v>
      </c>
      <c r="D4" s="1626" t="s">
        <v>3444</v>
      </c>
      <c r="E4" s="3299" t="s">
        <v>1267</v>
      </c>
      <c r="F4" s="3300"/>
      <c r="G4" s="3300"/>
      <c r="H4" s="3300"/>
      <c r="I4" s="3301"/>
      <c r="K4" s="138" t="str">
        <f>IF(ISNUMBER(FIND("比较法",结果表101!C4)),"比较法",IF(ISNUMBER(FIND("成本法",结果表101!C4)),"成本法",IF(ISNUMBER(FIND("假设开发法",结果表101!C4)),"假设开发法",IF(ISNUMBER(FIND("收益法",结果表101!C4)),"收益法","基准地价系数修正法"))))</f>
        <v>比较法</v>
      </c>
      <c r="L4" s="138" t="str">
        <f>IF(ISNUMBER(FIND("比较法",结果表101!D4)),"比较法",IF(ISNUMBER(FIND("成本法",结果表101!D4)),"成本法",IF(ISNUMBER(FIND("假设开发法",结果表101!D4)),"假设开发法",IF(ISNUMBER(FIND("收益法",结果表101!D4)),"收益法","基准地价系数修正法"))))</f>
        <v>收益法</v>
      </c>
    </row>
    <row r="5" spans="1:12" ht="13">
      <c r="A5" s="3273" t="s">
        <v>1268</v>
      </c>
      <c r="B5" s="3260">
        <v>25</v>
      </c>
      <c r="C5" s="3276"/>
      <c r="D5" s="3296"/>
      <c r="E5" s="123" t="s">
        <v>1269</v>
      </c>
      <c r="F5" s="1627"/>
      <c r="G5" s="1627"/>
      <c r="H5" s="1627"/>
      <c r="I5" s="1281"/>
    </row>
    <row r="6" spans="1:12" ht="13">
      <c r="A6" s="3273"/>
      <c r="B6" s="3260"/>
      <c r="C6" s="3277"/>
      <c r="D6" s="3296"/>
      <c r="E6" s="123" t="s">
        <v>1270</v>
      </c>
      <c r="F6" s="1627"/>
      <c r="G6" s="1627"/>
      <c r="H6" s="1627"/>
      <c r="I6" s="1281"/>
    </row>
    <row r="7" spans="1:12" ht="13">
      <c r="A7" s="3273"/>
      <c r="B7" s="3260"/>
      <c r="C7" s="3278"/>
      <c r="D7" s="3296"/>
      <c r="E7" s="123" t="s">
        <v>1271</v>
      </c>
      <c r="F7" s="1627"/>
      <c r="G7" s="1627"/>
      <c r="H7" s="1627"/>
      <c r="I7" s="1281"/>
    </row>
    <row r="8" spans="1:12" ht="13">
      <c r="A8" s="3273" t="s">
        <v>1272</v>
      </c>
      <c r="B8" s="3260">
        <v>15</v>
      </c>
      <c r="C8" s="3276"/>
      <c r="D8" s="3296"/>
      <c r="E8" s="123" t="s">
        <v>1273</v>
      </c>
      <c r="F8" s="1627"/>
      <c r="G8" s="1627"/>
      <c r="H8" s="1627"/>
      <c r="I8" s="1281"/>
    </row>
    <row r="9" spans="1:12" ht="13">
      <c r="A9" s="3273"/>
      <c r="B9" s="3260"/>
      <c r="C9" s="3278"/>
      <c r="D9" s="3296"/>
      <c r="E9" s="123" t="s">
        <v>1274</v>
      </c>
      <c r="F9" s="1627"/>
      <c r="G9" s="1627"/>
      <c r="H9" s="1627"/>
      <c r="I9" s="1281"/>
    </row>
    <row r="10" spans="1:12" ht="13">
      <c r="A10" s="3273" t="s">
        <v>1275</v>
      </c>
      <c r="B10" s="3260">
        <v>15</v>
      </c>
      <c r="C10" s="3276"/>
      <c r="D10" s="3296"/>
      <c r="E10" s="123" t="s">
        <v>1276</v>
      </c>
      <c r="F10" s="1627"/>
      <c r="G10" s="1627"/>
      <c r="H10" s="1627"/>
      <c r="I10" s="1281"/>
    </row>
    <row r="11" spans="1:12" ht="13">
      <c r="A11" s="3273"/>
      <c r="B11" s="3260"/>
      <c r="C11" s="3278"/>
      <c r="D11" s="3296"/>
      <c r="E11" s="123" t="s">
        <v>1277</v>
      </c>
      <c r="F11" s="1627"/>
      <c r="G11" s="1627"/>
      <c r="H11" s="1627"/>
      <c r="I11" s="1281"/>
    </row>
    <row r="12" spans="1:12" ht="13">
      <c r="A12" s="3273" t="s">
        <v>1278</v>
      </c>
      <c r="B12" s="3260">
        <v>15</v>
      </c>
      <c r="C12" s="3276"/>
      <c r="D12" s="3296"/>
      <c r="E12" s="123" t="s">
        <v>1279</v>
      </c>
      <c r="F12" s="1627"/>
      <c r="G12" s="1627"/>
      <c r="H12" s="1627"/>
      <c r="I12" s="1281"/>
    </row>
    <row r="13" spans="1:12" ht="13">
      <c r="A13" s="3273"/>
      <c r="B13" s="3260"/>
      <c r="C13" s="3278"/>
      <c r="D13" s="3296"/>
      <c r="E13" s="123" t="s">
        <v>1280</v>
      </c>
      <c r="F13" s="1627"/>
      <c r="G13" s="1627"/>
      <c r="H13" s="1627"/>
      <c r="I13" s="1281"/>
    </row>
    <row r="14" spans="1:12" ht="13">
      <c r="A14" s="3273" t="s">
        <v>1281</v>
      </c>
      <c r="B14" s="3260">
        <v>30</v>
      </c>
      <c r="C14" s="3276">
        <v>6</v>
      </c>
      <c r="D14" s="3296">
        <v>4</v>
      </c>
      <c r="E14" s="123" t="s">
        <v>1282</v>
      </c>
      <c r="F14" s="1627"/>
      <c r="G14" s="1627"/>
      <c r="H14" s="1627"/>
      <c r="I14" s="1281"/>
    </row>
    <row r="15" spans="1:12" ht="13">
      <c r="A15" s="3273"/>
      <c r="B15" s="3260"/>
      <c r="C15" s="3277"/>
      <c r="D15" s="3296"/>
      <c r="E15" s="123" t="s">
        <v>1283</v>
      </c>
      <c r="F15" s="1627"/>
      <c r="G15" s="1627"/>
      <c r="H15" s="1627"/>
      <c r="I15" s="1281"/>
    </row>
    <row r="16" spans="1:12" ht="13">
      <c r="A16" s="3273"/>
      <c r="B16" s="3260"/>
      <c r="C16" s="3278"/>
      <c r="D16" s="3296"/>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3" t="s">
        <v>2128</v>
      </c>
      <c r="F18" s="3284"/>
      <c r="G18" s="3284"/>
      <c r="H18" s="3284"/>
      <c r="I18" s="3284"/>
      <c r="K18" s="294" t="s">
        <v>1289</v>
      </c>
      <c r="L18" s="294">
        <f>IF(C1="",'数据-汇总表'!E3,SUMIF(项目类型,C1,'数据-汇总表'!E17:E26)+SUMIF(项目类型,C1,'数据-汇总表'!I17:I26))</f>
        <v>380.34</v>
      </c>
      <c r="M18" s="294">
        <f>IF(C1="",'数据-汇总表'!E3,SUMIF(项目类型,C1,'数据-汇总表'!E17:E26))</f>
        <v>380.34</v>
      </c>
    </row>
    <row r="19" spans="1:36" ht="14">
      <c r="A19" s="1630" t="s">
        <v>1290</v>
      </c>
      <c r="B19" s="1631" t="s">
        <v>1291</v>
      </c>
      <c r="C19" s="126">
        <f ca="1">SUMIF(INDIRECT("'"&amp;C4&amp;"'"&amp;"!A:A"),结果表101!B19,INDIRECT("'"&amp;C4&amp;"'"&amp;"!B:B"))</f>
        <v>1224.6568</v>
      </c>
      <c r="D19" s="127">
        <f ca="1">SUMIF(INDIRECT("'"&amp;D4&amp;"'"&amp;"!A:A"),结果表101!B19,INDIRECT("'"&amp;D4&amp;"'"&amp;"!B:B"))</f>
        <v>623.87369999999999</v>
      </c>
      <c r="E19" s="1630" t="s">
        <v>1292</v>
      </c>
      <c r="F19" s="1631" t="s">
        <v>1291</v>
      </c>
      <c r="G19" s="128">
        <f ca="1">ROUND(C19*$C$18+D19*$D$18,0)</f>
        <v>984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SUMIF(INDIRECT("'"&amp;C4&amp;"'"&amp;"!A:A"),结果表101!B20,INDIRECT("'"&amp;C4&amp;"'"&amp;"!B:B"))</f>
        <v>32199</v>
      </c>
      <c r="D20" s="130">
        <f ca="1">SUMIF(INDIRECT("'"&amp;D4&amp;"'"&amp;"!A:A"),结果表101!B20,INDIRECT("'"&amp;D4&amp;"'"&amp;"!B:B"))</f>
        <v>16403</v>
      </c>
      <c r="E20" s="1633"/>
      <c r="F20" s="43" t="s">
        <v>1295</v>
      </c>
      <c r="G20" s="131">
        <f ca="1">ROUND(C20*$C$18+D20*$D$18,0)</f>
        <v>25881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0.96298834203140804</v>
      </c>
      <c r="E22" s="121"/>
      <c r="F22" s="121"/>
      <c r="G22" s="121"/>
      <c r="H22" s="121"/>
      <c r="I22" s="121"/>
    </row>
    <row r="23" spans="1:36" ht="13" thickBot="1">
      <c r="A23" s="646"/>
      <c r="B23" s="646"/>
      <c r="C23" s="646"/>
      <c r="D23" s="646"/>
      <c r="E23" s="121"/>
      <c r="F23" s="121"/>
      <c r="G23" s="121"/>
      <c r="H23" s="121"/>
      <c r="I23" s="121"/>
    </row>
    <row r="24" spans="1:36" ht="14">
      <c r="A24" s="3267" t="s">
        <v>1299</v>
      </c>
      <c r="B24" s="1631" t="s">
        <v>1291</v>
      </c>
      <c r="C24" s="128">
        <f>IF(B30=0,0,D30)</f>
        <v>0</v>
      </c>
      <c r="D24" s="1637"/>
      <c r="E24" s="121"/>
      <c r="F24" s="121"/>
      <c r="G24" s="121"/>
      <c r="H24" s="121"/>
      <c r="I24" s="121"/>
    </row>
    <row r="25" spans="1:36" ht="14">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2129</v>
      </c>
      <c r="F30" s="121"/>
      <c r="G30" s="121"/>
      <c r="H30" s="121"/>
      <c r="I30" s="121"/>
    </row>
    <row r="31" spans="1:36" s="2132" customFormat="1" ht="26.5"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25881</v>
      </c>
      <c r="D32" s="1641" t="s">
        <v>3480</v>
      </c>
      <c r="E32" s="121"/>
      <c r="F32" s="121"/>
      <c r="G32" s="121"/>
      <c r="H32" s="121"/>
      <c r="I32" s="121"/>
    </row>
    <row r="33" spans="1:15" ht="14">
      <c r="A33" s="740" t="s">
        <v>1306</v>
      </c>
      <c r="B33" s="123"/>
      <c r="C33" s="1642" t="s">
        <v>3481</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7" t="s">
        <v>1312</v>
      </c>
      <c r="B36" s="1652" t="s">
        <v>1313</v>
      </c>
      <c r="C36" s="137"/>
      <c r="D36" s="1653"/>
      <c r="E36" s="1567"/>
      <c r="F36" s="1654"/>
      <c r="G36" s="121"/>
      <c r="H36" s="121"/>
      <c r="I36" s="121"/>
    </row>
    <row r="37" spans="1:15" ht="14.5" thickBot="1">
      <c r="A37" s="3288"/>
      <c r="B37" s="1555" t="s">
        <v>1314</v>
      </c>
      <c r="C37" s="139"/>
      <c r="D37" s="1071"/>
      <c r="E37" s="1071"/>
      <c r="F37" s="1654"/>
      <c r="G37" s="121"/>
      <c r="H37" s="121"/>
      <c r="I37" s="121"/>
    </row>
    <row r="38" spans="1:15" ht="14.5" thickBot="1">
      <c r="A38" s="3289"/>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984</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08">
        <v>1</v>
      </c>
      <c r="K46" s="3323" t="s">
        <v>1331</v>
      </c>
      <c r="L46" s="3323"/>
      <c r="M46" s="3343"/>
      <c r="N46" s="3343"/>
      <c r="O46" s="3343"/>
    </row>
    <row r="47" spans="1:15" ht="12" customHeight="1">
      <c r="A47" s="152" t="s">
        <v>1332</v>
      </c>
      <c r="B47" s="153"/>
      <c r="C47" s="154"/>
      <c r="D47" s="1024" t="s">
        <v>1333</v>
      </c>
      <c r="E47" s="294" t="s">
        <v>1334</v>
      </c>
      <c r="F47" s="155" t="s">
        <v>1335</v>
      </c>
      <c r="G47" s="2331" t="s">
        <v>1336</v>
      </c>
      <c r="H47" s="2332"/>
      <c r="I47" s="151"/>
      <c r="J47" s="2308">
        <v>2</v>
      </c>
      <c r="K47" s="3323" t="s">
        <v>1337</v>
      </c>
      <c r="L47" s="3323"/>
      <c r="M47" s="3344">
        <f>'数据-取费表'!B2</f>
        <v>45910</v>
      </c>
      <c r="N47" s="3344"/>
      <c r="O47" s="3344"/>
    </row>
    <row r="48" spans="1:15" ht="26">
      <c r="A48" s="3292" t="s">
        <v>1338</v>
      </c>
      <c r="B48" s="3275"/>
      <c r="C48" s="327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3" t="s">
        <v>1340</v>
      </c>
      <c r="L48" s="3323"/>
      <c r="M48" s="3345">
        <f ca="1">H101</f>
        <v>984</v>
      </c>
      <c r="N48" s="3345"/>
      <c r="O48" s="3345"/>
    </row>
    <row r="49" spans="1:35" ht="25.5" customHeight="1">
      <c r="A49" s="2151" t="s">
        <v>1341</v>
      </c>
      <c r="B49" s="3259" t="s">
        <v>1342</v>
      </c>
      <c r="C49" s="3259"/>
      <c r="D49" s="1478">
        <v>0</v>
      </c>
      <c r="E49" s="316" t="s">
        <v>1343</v>
      </c>
      <c r="F49" s="2231" t="s">
        <v>28</v>
      </c>
      <c r="G49" s="3329"/>
      <c r="H49" s="2133" t="s">
        <v>2131</v>
      </c>
      <c r="I49" s="2134"/>
      <c r="J49" s="2308">
        <v>4</v>
      </c>
      <c r="K49" s="3323" t="str">
        <f>IF(项目基本情况!E8="房地产抵押价值","房地产抵押价值","抵押担保权已注销时的房地产抵押价值")</f>
        <v>房地产抵押价值</v>
      </c>
      <c r="L49" s="3323"/>
      <c r="M49" s="3345">
        <f ca="1">IF(项目基本情况!E8="房地产抵押价值",H107,H109)</f>
        <v>984</v>
      </c>
      <c r="N49" s="3345"/>
      <c r="O49" s="3345"/>
    </row>
    <row r="50" spans="1:35" ht="25.5" customHeight="1">
      <c r="A50" s="2336"/>
      <c r="B50" s="3259" t="s">
        <v>1344</v>
      </c>
      <c r="C50" s="3259"/>
      <c r="D50" s="2188"/>
      <c r="E50" s="323"/>
      <c r="F50" s="2231"/>
      <c r="G50" s="3330"/>
      <c r="H50" s="2135" t="s">
        <v>2132</v>
      </c>
      <c r="I50" s="2134"/>
      <c r="J50" s="3342" t="s">
        <v>1345</v>
      </c>
      <c r="K50" s="3342"/>
      <c r="L50" s="3342"/>
      <c r="M50" s="3342"/>
      <c r="N50" s="3342"/>
      <c r="O50" s="3342"/>
    </row>
    <row r="51" spans="1:35" ht="20.5" customHeight="1">
      <c r="A51" s="2337"/>
      <c r="B51" s="3259" t="s">
        <v>1346</v>
      </c>
      <c r="C51" s="3259"/>
      <c r="D51" s="1024"/>
      <c r="E51" s="319"/>
      <c r="F51" s="2231"/>
      <c r="G51" s="3331"/>
      <c r="H51" s="2135" t="s">
        <v>2133</v>
      </c>
      <c r="I51" s="2134"/>
      <c r="J51" s="2309" t="s">
        <v>1347</v>
      </c>
      <c r="K51" s="3323" t="s">
        <v>1348</v>
      </c>
      <c r="L51" s="3323"/>
      <c r="M51" s="2309" t="s">
        <v>1349</v>
      </c>
      <c r="N51" s="2309" t="s">
        <v>1350</v>
      </c>
      <c r="O51" s="2309" t="s">
        <v>1351</v>
      </c>
    </row>
    <row r="52" spans="1:35" ht="24" customHeight="1">
      <c r="A52" s="2152" t="s">
        <v>1352</v>
      </c>
      <c r="B52" s="3259" t="s">
        <v>1353</v>
      </c>
      <c r="C52" s="3259"/>
      <c r="D52" s="1024">
        <f ca="1">ROUND(D45*'数据-取费表'!B41/(1+'数据-取费表'!C42),0)</f>
        <v>52</v>
      </c>
      <c r="E52" s="1256" t="s">
        <v>1354</v>
      </c>
      <c r="F52" s="2338">
        <f>'数据-取费表'!B41</f>
        <v>5.6000000000000001E-2</v>
      </c>
      <c r="G52" s="2339"/>
      <c r="H52" s="2329"/>
      <c r="I52" s="1669"/>
      <c r="J52" s="2308">
        <v>1</v>
      </c>
      <c r="K52" s="3324" t="s">
        <v>1355</v>
      </c>
      <c r="L52" s="3324"/>
      <c r="M52" s="2310" t="b">
        <f>D48</f>
        <v>0</v>
      </c>
      <c r="N52" s="2308" t="str">
        <f>E48</f>
        <v>销售额×税（费）率</v>
      </c>
      <c r="O52" s="2311">
        <f>F48</f>
        <v>5.6000000000000001E-2</v>
      </c>
    </row>
    <row r="53" spans="1:35" ht="12" customHeight="1">
      <c r="A53" s="2152" t="s">
        <v>1356</v>
      </c>
      <c r="B53" s="3285" t="s">
        <v>2288</v>
      </c>
      <c r="C53" s="3286"/>
      <c r="D53" s="1024">
        <f ca="1">ROUND(D45*'数据-取费表'!B41/(1+'数据-取费表'!C42),0)</f>
        <v>52</v>
      </c>
      <c r="E53" s="1256" t="s">
        <v>1354</v>
      </c>
      <c r="F53" s="2338">
        <f>'数据-取费表'!B41</f>
        <v>5.6000000000000001E-2</v>
      </c>
      <c r="G53" s="2339"/>
      <c r="H53" s="2329"/>
      <c r="I53" s="1669"/>
      <c r="J53" s="2308">
        <v>2</v>
      </c>
      <c r="K53" s="3324" t="s">
        <v>1357</v>
      </c>
      <c r="L53" s="3324"/>
      <c r="M53" s="2310">
        <f t="shared" ref="M53:O54" ca="1" si="0">D55</f>
        <v>0</v>
      </c>
      <c r="N53" s="2308" t="str">
        <f t="shared" si="0"/>
        <v>销售额×税（费）率</v>
      </c>
      <c r="O53" s="2311" t="str">
        <f t="shared" si="0"/>
        <v>免征</v>
      </c>
    </row>
    <row r="54" spans="1:35" ht="12" customHeight="1">
      <c r="A54" s="2152" t="s">
        <v>1358</v>
      </c>
      <c r="B54" s="3285" t="s">
        <v>2289</v>
      </c>
      <c r="C54" s="3286"/>
      <c r="D54" s="1024">
        <f ca="1">C68</f>
        <v>52</v>
      </c>
      <c r="E54" s="319" t="s">
        <v>1359</v>
      </c>
      <c r="F54" s="2338">
        <f>'数据-取费表'!B41</f>
        <v>5.6000000000000001E-2</v>
      </c>
      <c r="G54" s="2339"/>
      <c r="H54" s="2340"/>
      <c r="I54" s="1669"/>
      <c r="J54" s="2308">
        <v>3</v>
      </c>
      <c r="K54" s="3324" t="s">
        <v>1360</v>
      </c>
      <c r="L54" s="3324"/>
      <c r="M54" s="2310">
        <f t="shared" ca="1" si="0"/>
        <v>557</v>
      </c>
      <c r="N54" s="2308" t="str">
        <f t="shared" si="0"/>
        <v>增值额×税（费）率</v>
      </c>
      <c r="O54" s="2312" t="str">
        <f t="shared" si="0"/>
        <v>免征</v>
      </c>
    </row>
    <row r="55" spans="1:35" ht="24" customHeight="1">
      <c r="A55" s="3274" t="s">
        <v>1361</v>
      </c>
      <c r="B55" s="3275"/>
      <c r="C55" s="3275"/>
      <c r="D55" s="12">
        <f ca="1">IF(H55="个人住宅",0,ROUND(D45*I55,0))</f>
        <v>0</v>
      </c>
      <c r="E55" s="1256" t="s">
        <v>1362</v>
      </c>
      <c r="F55" s="2338" t="str">
        <f>IF(H55="正常",I55,"免征")</f>
        <v>免征</v>
      </c>
      <c r="G55" s="2339"/>
      <c r="H55" s="2335"/>
      <c r="I55" s="157">
        <f>'数据-取费表'!B49</f>
        <v>5.0000000000000001E-4</v>
      </c>
      <c r="J55" s="2308">
        <f>IF(H59="非个人房产","",4)</f>
        <v>4</v>
      </c>
      <c r="K55" s="3324" t="str">
        <f>IF(H59="非个人房产","——","个人所得税")</f>
        <v>个人所得税</v>
      </c>
      <c r="L55" s="3324"/>
      <c r="M55" s="2313">
        <f ca="1">D59</f>
        <v>9</v>
      </c>
      <c r="N55" s="1883" t="str">
        <f>E59</f>
        <v>差额计税</v>
      </c>
      <c r="O55" s="2314">
        <f>F59</f>
        <v>0.01</v>
      </c>
    </row>
    <row r="56" spans="1:35" ht="26">
      <c r="A56" s="3274" t="s">
        <v>1363</v>
      </c>
      <c r="B56" s="3275"/>
      <c r="C56" s="3275"/>
      <c r="D56" s="12">
        <f ca="1">IF(H56="个人住宅",D57,D58)</f>
        <v>557</v>
      </c>
      <c r="E56" s="1256" t="s">
        <v>1364</v>
      </c>
      <c r="F56" s="2338" t="str">
        <f>IF(H56="正常",F58,"免征")</f>
        <v>免征</v>
      </c>
      <c r="G56" s="2341" t="s">
        <v>1365</v>
      </c>
      <c r="H56" s="2342"/>
      <c r="I56" s="1670"/>
      <c r="J56" s="2308" t="str">
        <f>IF(项目基本情况!K6="上海银行",IF(J55="",4,J55+1),"")</f>
        <v/>
      </c>
      <c r="K56" s="3347" t="str">
        <f>IF(项目基本情况!K6="上海银行","其他处置费用","")</f>
        <v/>
      </c>
      <c r="L56" s="3348"/>
      <c r="M56" s="2310" t="str">
        <f>IF(项目基本情况!K6="上海银行",M69,"")</f>
        <v/>
      </c>
      <c r="N56" s="3347" t="str">
        <f>IF(项目基本情况!K6="上海银行","包含处置中涉及的律师、诉讼、拍卖、评估等费用","")</f>
        <v/>
      </c>
      <c r="O56" s="3350"/>
    </row>
    <row r="57" spans="1:35" ht="13">
      <c r="A57" s="2152" t="s">
        <v>1341</v>
      </c>
      <c r="B57" s="3285" t="s">
        <v>1366</v>
      </c>
      <c r="C57" s="3286"/>
      <c r="D57" s="1478">
        <v>0</v>
      </c>
      <c r="E57" s="316" t="s">
        <v>1343</v>
      </c>
      <c r="F57" s="294"/>
      <c r="G57" s="2339"/>
      <c r="H57" s="2343"/>
      <c r="I57" s="1670"/>
      <c r="J57" s="3324">
        <f>IF(AND(J55="",J56=""),4,IF(项目基本情况!K6="上海银行",结果表101!J56+1,结果表101!J55+1))</f>
        <v>5</v>
      </c>
      <c r="K57" s="3324" t="s">
        <v>1367</v>
      </c>
      <c r="L57" s="2315" t="s">
        <v>1368</v>
      </c>
      <c r="M57" s="2316"/>
      <c r="N57" s="2317">
        <f ca="1">SUMIF(M52:M56,"&lt;9e307")</f>
        <v>566</v>
      </c>
      <c r="O57" s="2318"/>
      <c r="P57" s="2462">
        <f ca="1">N57/M49</f>
        <v>0.57520325203252032</v>
      </c>
    </row>
    <row r="58" spans="1:35" ht="26">
      <c r="A58" s="2152" t="s">
        <v>1352</v>
      </c>
      <c r="B58" s="3285" t="s">
        <v>1369</v>
      </c>
      <c r="C58" s="3259"/>
      <c r="D58" s="12">
        <f ca="1">IF(H58="转让取得",C81,C97)</f>
        <v>557</v>
      </c>
      <c r="E58" s="1256" t="s">
        <v>1364</v>
      </c>
      <c r="F58" s="294" t="s">
        <v>28</v>
      </c>
      <c r="G58" s="2339"/>
      <c r="H58" s="2342"/>
      <c r="I58" s="1670"/>
      <c r="J58" s="3324"/>
      <c r="K58" s="3324"/>
      <c r="L58" s="2315" t="s">
        <v>1370</v>
      </c>
      <c r="M58" s="2319"/>
      <c r="N58" s="2320" t="str">
        <f ca="1">NUMBERSTRING(INT(N57*10000),2)&amp;"元整"</f>
        <v>伍佰陆拾陆万元整</v>
      </c>
      <c r="O58" s="2321"/>
    </row>
    <row r="59" spans="1:35" ht="26.5" thickBot="1">
      <c r="A59" s="3327" t="s">
        <v>1371</v>
      </c>
      <c r="B59" s="3328"/>
      <c r="C59" s="3328"/>
      <c r="D59" s="2344">
        <f ca="1">IF(H59="非个人房产","——",IF(H59="个人住宅（满五唯一有凭证）",0,IF(H59="个人其他（无凭证）",ROUND(D45/(1+'数据-取费表'!C42)*F59,0),ROUND(C67*F59,0))))</f>
        <v>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2134</v>
      </c>
      <c r="J59" s="3325">
        <f>J57+1</f>
        <v>6</v>
      </c>
      <c r="K59" s="3324" t="s">
        <v>1372</v>
      </c>
      <c r="L59" s="2308" t="s">
        <v>1368</v>
      </c>
      <c r="M59" s="2322"/>
      <c r="N59" s="2323">
        <f ca="1">M49-N57</f>
        <v>418</v>
      </c>
      <c r="O59" s="2324"/>
    </row>
    <row r="60" spans="1:35" ht="12" customHeight="1">
      <c r="A60" s="1671"/>
      <c r="B60" s="646"/>
      <c r="C60" s="646"/>
      <c r="D60" s="646"/>
      <c r="E60" s="1466"/>
      <c r="F60" s="1670"/>
      <c r="G60" s="1670"/>
      <c r="H60" s="151"/>
      <c r="I60" s="121"/>
      <c r="J60" s="3326"/>
      <c r="K60" s="3324"/>
      <c r="L60" s="2315" t="s">
        <v>1370</v>
      </c>
      <c r="M60" s="2319"/>
      <c r="N60" s="2320" t="str">
        <f ca="1">NUMBERSTRING(INT(N59*10000),2)&amp;"元整"</f>
        <v>肆佰壹拾捌万元整</v>
      </c>
      <c r="O60" s="2321"/>
    </row>
    <row r="61" spans="1:35" ht="13.5" thickBot="1">
      <c r="A61" s="3272" t="s">
        <v>1373</v>
      </c>
      <c r="B61" s="3272"/>
      <c r="C61" s="3272"/>
      <c r="D61" s="3272"/>
      <c r="E61" s="3272"/>
      <c r="F61" s="1670"/>
      <c r="G61" s="1670"/>
      <c r="H61" s="151"/>
      <c r="I61" s="121"/>
      <c r="J61" s="2308">
        <f>J59+1</f>
        <v>7</v>
      </c>
      <c r="K61" s="3324" t="s">
        <v>1374</v>
      </c>
      <c r="L61" s="3324"/>
      <c r="M61" s="2325"/>
      <c r="N61" s="2326">
        <f ca="1">ROUND(N59*10000/'数据-汇总表'!E3,0)</f>
        <v>5323</v>
      </c>
      <c r="O61" s="2327"/>
    </row>
    <row r="62" spans="1:35" ht="13">
      <c r="A62" s="3290" t="s">
        <v>1375</v>
      </c>
      <c r="B62" s="3291"/>
      <c r="C62" s="1865"/>
      <c r="D62" s="1865" t="s">
        <v>1376</v>
      </c>
      <c r="E62" s="158" t="s">
        <v>1377</v>
      </c>
      <c r="F62" s="1670"/>
      <c r="G62" s="1670"/>
      <c r="H62" s="151"/>
      <c r="I62" s="121"/>
    </row>
    <row r="63" spans="1:35" ht="13">
      <c r="A63" s="165" t="s">
        <v>330</v>
      </c>
      <c r="B63" s="159" t="s">
        <v>1378</v>
      </c>
      <c r="C63" s="2348">
        <f ca="1">ROUND((C64+C65)/(1+'数据-取费表'!C42),0)</f>
        <v>937</v>
      </c>
      <c r="D63" s="159"/>
      <c r="E63" s="160"/>
      <c r="F63" s="1670"/>
      <c r="G63" s="1670"/>
      <c r="H63" s="151"/>
      <c r="I63" s="121"/>
      <c r="J63" s="3349" t="s">
        <v>1379</v>
      </c>
      <c r="K63" s="1245" t="s">
        <v>1380</v>
      </c>
      <c r="L63" s="1245">
        <f ca="1">IF(M49&gt;10000,M49*0.5%,IF(AND(M49&gt;1000,M49&lt;=10000),M49*1%,IF(AND(M49&gt;100,M49&lt;=1000),M49*3%,IF(AND(M49&gt;10,M49&lt;=100),M49*5%,M49*8%))))</f>
        <v>29.52</v>
      </c>
      <c r="M63" s="294">
        <f ca="1">ROUND(L63,1)</f>
        <v>29.5</v>
      </c>
      <c r="N63" s="2328"/>
      <c r="Z63" s="1623"/>
      <c r="AI63" s="1561"/>
    </row>
    <row r="64" spans="1:35" ht="14.25" customHeight="1">
      <c r="A64" s="161" t="s">
        <v>325</v>
      </c>
      <c r="B64" s="162" t="s">
        <v>1381</v>
      </c>
      <c r="C64" s="2349">
        <f ca="1">D45</f>
        <v>984</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6.887999999999999</v>
      </c>
      <c r="M64" s="294">
        <f t="shared" ref="M64:M65" ca="1" si="1">ROUND(L64,1)</f>
        <v>6.9</v>
      </c>
      <c r="N64" s="2329" t="s">
        <v>1383</v>
      </c>
      <c r="Z64" s="1623"/>
      <c r="AI64" s="1561"/>
    </row>
    <row r="65" spans="1:35" ht="14.25" customHeight="1">
      <c r="A65" s="161" t="s">
        <v>326</v>
      </c>
      <c r="B65" s="162" t="s">
        <v>1384</v>
      </c>
      <c r="C65" s="2350"/>
      <c r="D65" s="162"/>
      <c r="E65" s="164"/>
      <c r="F65" s="1670"/>
      <c r="G65" s="1670"/>
      <c r="H65" s="151"/>
      <c r="I65" s="121"/>
      <c r="J65" s="3349"/>
      <c r="K65" s="1245" t="s">
        <v>1385</v>
      </c>
      <c r="L65" s="1245">
        <f ca="1">IF(M49&gt;1000,M49*0.1%,IF(AND(M49&gt;500,M49&lt;=1000),M49*0.5%,IF(AND(M49&gt;50,M49&lt;=500),M49*1%,IF(AND(M49&gt;1,M49&lt;=50),M49*1.5%))))</f>
        <v>4.92</v>
      </c>
      <c r="M65" s="294">
        <f t="shared" ca="1" si="1"/>
        <v>4.9000000000000004</v>
      </c>
      <c r="N65" s="2329" t="s">
        <v>1383</v>
      </c>
      <c r="Z65" s="1623"/>
      <c r="AI65" s="1561"/>
    </row>
    <row r="66" spans="1:35" ht="14.25" customHeight="1">
      <c r="A66" s="165" t="s">
        <v>327</v>
      </c>
      <c r="B66" s="166" t="s">
        <v>1386</v>
      </c>
      <c r="C66" s="2351"/>
      <c r="D66" s="166" t="s">
        <v>26</v>
      </c>
      <c r="E66" s="1251" t="s">
        <v>671</v>
      </c>
      <c r="F66" s="1670"/>
      <c r="G66" s="1670"/>
      <c r="H66" s="151"/>
      <c r="I66" s="121"/>
      <c r="J66" s="3349"/>
      <c r="K66" s="1245" t="s">
        <v>1387</v>
      </c>
      <c r="L66" s="1245">
        <f ca="1">M49*0.5%</f>
        <v>4.92</v>
      </c>
      <c r="M66" s="294">
        <f ca="1">IF(L66&gt;0.5,0.5,ROUND(L66,0))</f>
        <v>0.5</v>
      </c>
      <c r="N66" s="2329" t="s">
        <v>1388</v>
      </c>
      <c r="Z66" s="1623"/>
      <c r="AI66" s="1561"/>
    </row>
    <row r="67" spans="1:35" ht="14.25" customHeight="1">
      <c r="A67" s="165" t="s">
        <v>328</v>
      </c>
      <c r="B67" s="166" t="s">
        <v>1389</v>
      </c>
      <c r="C67" s="2352">
        <f ca="1">C63-C66</f>
        <v>937</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2.71</v>
      </c>
      <c r="M67" s="294">
        <f ca="1">ROUND(L67*0.9,1)</f>
        <v>2.4</v>
      </c>
      <c r="N67" s="2328"/>
      <c r="Z67" s="1623"/>
      <c r="AI67" s="1561"/>
    </row>
    <row r="68" spans="1:35" ht="14.25" customHeight="1" thickBot="1">
      <c r="A68" s="168" t="s">
        <v>329</v>
      </c>
      <c r="B68" s="169" t="s">
        <v>1391</v>
      </c>
      <c r="C68" s="2353">
        <f ca="1">IF(C67&lt;=0,0,ROUND(C67*D68,0))</f>
        <v>52</v>
      </c>
      <c r="D68" s="2354">
        <f>'数据-取费表'!B41</f>
        <v>5.6000000000000001E-2</v>
      </c>
      <c r="E68" s="170"/>
      <c r="F68" s="1670"/>
      <c r="G68" s="1670"/>
      <c r="H68" s="151"/>
      <c r="I68" s="121"/>
      <c r="J68" s="3349"/>
      <c r="K68" s="1245" t="s">
        <v>1392</v>
      </c>
      <c r="L68" s="1245">
        <f ca="1">IF(M49&gt;10000,M49*0.5%,IF(AND(M49&gt;5000,M49&lt;=10000),M49*1%,IF(AND(M49&gt;1000,M49&lt;=5000),M49*2%,IF(AND(M49&gt;200,M49&lt;=1000),M49*3%,M49*5%))))</f>
        <v>29.52</v>
      </c>
      <c r="M68" s="294">
        <f ca="1">ROUND(L68,1)</f>
        <v>29.5</v>
      </c>
      <c r="N68" s="2328"/>
      <c r="Z68" s="1623"/>
      <c r="AI68" s="1561"/>
    </row>
    <row r="69" spans="1:35" ht="16.5" customHeight="1">
      <c r="A69" s="1672"/>
      <c r="B69" s="1673"/>
      <c r="C69" s="1674"/>
      <c r="D69" s="1675"/>
      <c r="E69" s="1676"/>
      <c r="F69" s="1466"/>
      <c r="G69" s="1466"/>
      <c r="H69" s="1467"/>
      <c r="I69" s="646"/>
      <c r="J69" s="3349"/>
      <c r="K69" s="1245" t="s">
        <v>1393</v>
      </c>
      <c r="L69" s="1245"/>
      <c r="M69" s="294">
        <f ca="1">ROUND(SUM(M63:M68),0)</f>
        <v>74</v>
      </c>
      <c r="N69" s="2330">
        <f ca="1">M69/M49</f>
        <v>7.5203252032520332E-2</v>
      </c>
      <c r="Z69" s="1623"/>
      <c r="AI69" s="1561"/>
    </row>
    <row r="70" spans="1:35" s="642" customFormat="1" ht="14.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937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6</v>
      </c>
      <c r="D78" s="2361">
        <f>'数据-取费表'!B43</f>
        <v>6.000000000000001E-3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931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155.16666666666666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557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937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351" t="s">
        <v>2126</v>
      </c>
      <c r="H90" s="3352"/>
      <c r="I90" s="1681"/>
      <c r="J90" s="2306"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9" t="s">
        <v>1422</v>
      </c>
      <c r="F92" s="3270"/>
      <c r="G92" s="3270"/>
      <c r="H92" s="3279"/>
      <c r="I92" s="1681"/>
      <c r="J92" s="2307"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6</v>
      </c>
      <c r="D93" s="2361">
        <f>'数据-取费表'!B43</f>
        <v>6.000000000000001E-3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931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155.16666666666666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557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69" t="str">
        <f>C4</f>
        <v>比较法-商业</v>
      </c>
      <c r="D101" s="2370" t="str">
        <f>D4</f>
        <v>收益法 (元)101</v>
      </c>
      <c r="E101" s="3346" t="s">
        <v>1431</v>
      </c>
      <c r="F101" s="3303"/>
      <c r="G101" s="1687" t="s">
        <v>1432</v>
      </c>
      <c r="H101" s="2379">
        <f ca="1">H118</f>
        <v>984</v>
      </c>
      <c r="I101" s="121"/>
    </row>
    <row r="102" spans="1:35" ht="18.75" customHeight="1">
      <c r="A102" s="3305" t="s">
        <v>1433</v>
      </c>
      <c r="B102" s="2368" t="s">
        <v>1432</v>
      </c>
      <c r="C102" s="2369">
        <f ca="1">IF(D32="楼面单价",ROUND(C19,0),C19)</f>
        <v>1225</v>
      </c>
      <c r="D102" s="2370">
        <f ca="1">IF(D32="楼面单价",ROUND(D19,0),D19)</f>
        <v>624</v>
      </c>
      <c r="E102" s="3346"/>
      <c r="F102" s="3303"/>
      <c r="G102" s="1687" t="s">
        <v>1434</v>
      </c>
      <c r="H102" s="2339">
        <f ca="1">I118</f>
        <v>25881</v>
      </c>
      <c r="I102" s="121"/>
    </row>
    <row r="103" spans="1:35" ht="42.75" customHeight="1">
      <c r="A103" s="3305"/>
      <c r="B103" s="2368" t="s">
        <v>1434</v>
      </c>
      <c r="C103" s="2371">
        <f ca="1">C20</f>
        <v>32199</v>
      </c>
      <c r="D103" s="2372">
        <f ca="1">D20</f>
        <v>16403</v>
      </c>
      <c r="E103" s="3340" t="s">
        <v>1435</v>
      </c>
      <c r="F103" s="3341"/>
      <c r="G103" s="1688" t="s">
        <v>1436</v>
      </c>
      <c r="H103" s="2379">
        <f>IF(D36="正常操作",H104+H105+H106,H105+H106)</f>
        <v>0</v>
      </c>
      <c r="I103" s="121"/>
    </row>
    <row r="104" spans="1:35" ht="18.75" customHeight="1">
      <c r="A104" s="3305" t="s">
        <v>1437</v>
      </c>
      <c r="B104" s="2373" t="s">
        <v>1432</v>
      </c>
      <c r="C104" s="2374">
        <f ca="1">H118</f>
        <v>984</v>
      </c>
      <c r="D104" s="2375"/>
      <c r="E104" s="1555" t="s">
        <v>1438</v>
      </c>
      <c r="F104" s="1548"/>
      <c r="G104" s="1688" t="s">
        <v>1436</v>
      </c>
      <c r="H104" s="2380">
        <f>IF(D36="同一抵押权人同一抵押物续贷",C36&amp;"（续贷，未扣减，详见特别提示）",C36)</f>
        <v>0</v>
      </c>
      <c r="I104" s="121"/>
    </row>
    <row r="105" spans="1:35" ht="18.75" customHeight="1" thickBot="1">
      <c r="A105" s="3306"/>
      <c r="B105" s="2376" t="s">
        <v>1434</v>
      </c>
      <c r="C105" s="2377">
        <f ca="1">I118</f>
        <v>25881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2" t="str">
        <f>IF(项目基本情况!E8="已注销","——","3.房地产抵押价值")</f>
        <v>3.房地产抵押价值</v>
      </c>
      <c r="F107" s="3303"/>
      <c r="G107" s="1687" t="s">
        <v>1432</v>
      </c>
      <c r="H107" s="2379">
        <f ca="1">IF(E107="——","——",H101-H103)</f>
        <v>984</v>
      </c>
      <c r="I107" s="121"/>
    </row>
    <row r="108" spans="1:35" ht="18.75" customHeight="1">
      <c r="A108" s="121"/>
      <c r="B108" s="121"/>
      <c r="C108" s="121"/>
      <c r="D108" s="121"/>
      <c r="E108" s="3302"/>
      <c r="F108" s="3303"/>
      <c r="G108" s="1687" t="s">
        <v>1434</v>
      </c>
      <c r="H108" s="2339">
        <f ca="1">IF(H107=H101,H102,ROUND(H107*10000/'数据-汇总表'!E3,0))</f>
        <v>25881</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2" t="str">
        <f>IF(E109="——","——",H101-H105-H106)</f>
        <v>——</v>
      </c>
      <c r="I109" s="121"/>
    </row>
    <row r="110" spans="1:35" ht="18.75" customHeight="1">
      <c r="A110" s="121"/>
      <c r="B110" s="121"/>
      <c r="C110" s="121"/>
      <c r="D110" s="121"/>
      <c r="E110" s="3302"/>
      <c r="F110" s="3303"/>
      <c r="G110" s="1687" t="s">
        <v>1434</v>
      </c>
      <c r="H110" s="2339"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79" t="str">
        <f>IF(E111="——","——",N59)</f>
        <v>——</v>
      </c>
      <c r="I111" s="121"/>
    </row>
    <row r="112" spans="1:35" ht="18.75" customHeight="1" thickBot="1">
      <c r="A112" s="121"/>
      <c r="B112" s="121"/>
      <c r="C112" s="121"/>
      <c r="D112" s="121"/>
      <c r="E112" s="3335"/>
      <c r="F112" s="3336"/>
      <c r="G112" s="1690" t="s">
        <v>1434</v>
      </c>
      <c r="H112" s="2383"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49" t="s">
        <v>1449</v>
      </c>
      <c r="E117" s="2149" t="s">
        <v>1450</v>
      </c>
      <c r="F117" s="2149" t="s">
        <v>1449</v>
      </c>
      <c r="G117" s="2149" t="s">
        <v>1451</v>
      </c>
      <c r="H117" s="2149" t="s">
        <v>1449</v>
      </c>
      <c r="I117" s="2149" t="s">
        <v>1451</v>
      </c>
    </row>
    <row r="118" spans="1:27" ht="24.75" customHeight="1">
      <c r="A118" s="2384" t="str">
        <f>项目基本情况!S2</f>
        <v>北京市通州区新海东路15号楼1层101、4层501房地产</v>
      </c>
      <c r="B118" s="2149">
        <f>M18</f>
        <v>380.34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984</v>
      </c>
      <c r="I118" s="2149">
        <f ca="1">ROUND(IF(D32="楼面单价",C32,H118*10000/B118),0)</f>
        <v>25881</v>
      </c>
    </row>
    <row r="119" spans="1:27" ht="18.75" customHeight="1">
      <c r="A119" s="3273" t="s">
        <v>1452</v>
      </c>
      <c r="B119" s="3273"/>
      <c r="C119" s="3273"/>
      <c r="D119" s="3313" t="str">
        <f>NUMBERSTRING(INT(D118*10000),2)&amp;"元整"</f>
        <v>零元整</v>
      </c>
      <c r="E119" s="3315"/>
      <c r="F119" s="3313" t="str">
        <f>NUMBERSTRING(INT(F118*10000),2)&amp;"元整"</f>
        <v>零元整</v>
      </c>
      <c r="G119" s="3315"/>
      <c r="H119" s="3313" t="str">
        <f ca="1">NUMBERSTRING(INT(H118*10000),2)&amp;"元整"</f>
        <v>玖佰捌拾肆万元整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984</v>
      </c>
      <c r="E122" s="3338"/>
      <c r="F122" s="3338"/>
      <c r="G122" s="3338"/>
      <c r="H122" s="3338"/>
      <c r="I122" s="3339"/>
      <c r="AA122" s="684"/>
    </row>
    <row r="123" spans="1:27" ht="18.75" customHeight="1">
      <c r="A123" s="3273" t="s">
        <v>1452</v>
      </c>
      <c r="B123" s="3273"/>
      <c r="C123" s="3273"/>
      <c r="D123" s="3313" t="str">
        <f ca="1">NUMBERSTRING(INT(D122*10000),2)&amp;"元整"</f>
        <v>玖佰捌拾肆万元整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396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5043</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16</v>
      </c>
      <c r="D10" s="795">
        <f ca="1">IF(B1="",'数据-汇总表'!E6,IF(INDIRECT("'数据-取费表'!c"&amp;$G$1)="住宅",INDIRECT("'数据-取费表'!s"&amp;$G$1),INDIRECT("'数据-取费表'!k"&amp;$G$1)+INDIRECT("'数据-取费表'!s"&amp;$G$1)))</f>
        <v>785.23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785.23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352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314</v>
      </c>
      <c r="D34" s="209"/>
      <c r="E34" s="212"/>
      <c r="F34" s="249">
        <f ca="1">IF('数据-取费表'!B24=0,1,IF(B1="",'数据-取费表'!N16,INDIRECT("'数据-取费表'!n"&amp;$G$1)))</f>
        <v>1</v>
      </c>
      <c r="G34" s="211" t="s">
        <v>1526</v>
      </c>
    </row>
    <row r="35" spans="1:7" ht="13.5" customHeight="1">
      <c r="A35" s="734" t="s">
        <v>351</v>
      </c>
      <c r="B35" s="207" t="s">
        <v>1527</v>
      </c>
      <c r="C35" s="212">
        <f ca="1">ROUND(C34*F35,0)</f>
        <v>16</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v>
      </c>
      <c r="D37" s="209">
        <f ca="1">D19</f>
        <v>785.23</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v>
      </c>
      <c r="D42" s="230"/>
      <c r="E42" s="230"/>
      <c r="F42" s="231"/>
      <c r="G42" s="3353" t="s">
        <v>1544</v>
      </c>
    </row>
    <row r="43" spans="1:7" ht="13.5" customHeight="1">
      <c r="A43" s="734" t="s">
        <v>347</v>
      </c>
      <c r="B43" s="207" t="s">
        <v>1545</v>
      </c>
      <c r="C43" s="230">
        <f ca="1">ROUND(IF('数据-取费表'!B22&lt;=1,C39*F22*'数据-取费表'!B21/2,C39*(POWER((1+F22),'数据-取费表'!B21/2)-1)),0)</f>
        <v>0</v>
      </c>
      <c r="D43" s="230"/>
      <c r="E43" s="230"/>
      <c r="F43" s="231"/>
      <c r="G43" s="3354"/>
    </row>
    <row r="44" spans="1:7" ht="13.5" customHeight="1">
      <c r="A44" s="734" t="s">
        <v>348</v>
      </c>
      <c r="B44" s="207" t="s">
        <v>1546</v>
      </c>
      <c r="C44" s="230">
        <f ca="1">ROUND(IF('数据-取费表'!B22&lt;=1,C40*F22*'数据-取费表'!B21/2,C40*(POWER((1+F22),'数据-取费表'!B21/2)-1)),4)</f>
        <v>5.9999999999999995E-4</v>
      </c>
      <c r="D44" s="230"/>
      <c r="E44" s="230"/>
      <c r="F44" s="231"/>
      <c r="G44" s="3355"/>
    </row>
    <row r="45" spans="1:7" s="206" customFormat="1" ht="13.5" customHeight="1">
      <c r="A45" s="247" t="s">
        <v>1547</v>
      </c>
      <c r="B45" s="236" t="s">
        <v>1513</v>
      </c>
      <c r="C45" s="237">
        <f ca="1">C46</f>
        <v>72</v>
      </c>
      <c r="D45" s="227">
        <f ca="1">C47</f>
        <v>4.0000000000000001E-3</v>
      </c>
      <c r="E45" s="228" t="s">
        <v>1539</v>
      </c>
      <c r="F45" s="238">
        <f ca="1">F27</f>
        <v>0.2</v>
      </c>
      <c r="G45" s="239" t="s">
        <v>1548</v>
      </c>
    </row>
    <row r="46" spans="1:7" s="206" customFormat="1" ht="13.5" customHeight="1">
      <c r="A46" s="734" t="s">
        <v>346</v>
      </c>
      <c r="B46" s="240" t="s">
        <v>1549</v>
      </c>
      <c r="C46" s="241">
        <f ca="1">ROUND((C33+C39)*F27,0)</f>
        <v>72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479</v>
      </c>
      <c r="D49" s="224"/>
      <c r="E49" s="224"/>
      <c r="F49" s="256"/>
      <c r="G49" s="226" t="s">
        <v>1554</v>
      </c>
    </row>
    <row r="50" spans="1:7" s="250" customFormat="1" ht="26">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374</v>
      </c>
      <c r="D51" s="224"/>
      <c r="E51" s="224"/>
      <c r="F51" s="256"/>
      <c r="G51" s="226" t="s">
        <v>1560</v>
      </c>
    </row>
    <row r="52" spans="1:7" s="200" customFormat="1" ht="16.5" thickBot="1">
      <c r="A52" s="257" t="s">
        <v>1561</v>
      </c>
      <c r="B52" s="258"/>
      <c r="C52" s="259">
        <f ca="1">C31+C51</f>
        <v>396</v>
      </c>
      <c r="D52" s="258"/>
      <c r="E52" s="258"/>
      <c r="F52" s="258"/>
      <c r="G52" s="260"/>
    </row>
    <row r="55" spans="1:7" ht="15.5">
      <c r="B55" s="262" t="s">
        <v>1562</v>
      </c>
      <c r="C55" s="263"/>
    </row>
    <row r="56" spans="1:7" ht="13">
      <c r="B56" s="265" t="s">
        <v>802</v>
      </c>
      <c r="C56" s="267">
        <f ca="1">1-C57</f>
        <v>5.600000000000005E-2</v>
      </c>
    </row>
    <row r="57" spans="1:7" ht="13">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北京市通州区新海东路15号楼1层101、4层501房地产抵押价值预评估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52" zoomScale="60" zoomScaleNormal="70" workbookViewId="0">
      <selection activeCell="C39" sqref="C39"/>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v>101</v>
      </c>
      <c r="E1" s="3122" t="s">
        <v>3456</v>
      </c>
      <c r="F1" s="1735" t="s">
        <v>3457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1224.6568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32199</v>
      </c>
      <c r="C3" s="344" t="s">
        <v>1768</v>
      </c>
      <c r="D3" s="343">
        <f>IF(D1="",'数据-汇总表'!E3,SUMIF('数据-汇总表'!$C19:$C33,D1,'数据-汇总表'!$E19:$E33))</f>
        <v>380.34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400" t="s">
        <v>1770</v>
      </c>
      <c r="D4" s="3401"/>
      <c r="E4" s="3402" t="s">
        <v>1771</v>
      </c>
      <c r="F4" s="3403"/>
      <c r="G4" s="3400" t="s">
        <v>1772</v>
      </c>
      <c r="H4" s="3401"/>
      <c r="I4" s="3400" t="s">
        <v>1773</v>
      </c>
      <c r="J4" s="3401"/>
      <c r="K4" s="537" t="s">
        <v>1774</v>
      </c>
      <c r="L4" s="2484"/>
      <c r="M4" s="2485"/>
      <c r="N4" s="2485"/>
      <c r="O4" s="2485"/>
      <c r="P4" s="3404" t="s">
        <v>1775</v>
      </c>
      <c r="Q4" s="3405"/>
      <c r="R4" s="3410" t="s">
        <v>1771</v>
      </c>
      <c r="S4" s="3411"/>
      <c r="T4" s="3410" t="s">
        <v>1772</v>
      </c>
      <c r="U4" s="3411"/>
      <c r="V4" s="3386" t="s">
        <v>1773</v>
      </c>
      <c r="W4" s="3386"/>
      <c r="X4" s="1265"/>
      <c r="Y4" s="3410" t="s">
        <v>1775</v>
      </c>
      <c r="Z4" s="3411"/>
      <c r="AA4" s="3397" t="s">
        <v>1771</v>
      </c>
      <c r="AB4" s="3386" t="s">
        <v>1772</v>
      </c>
      <c r="AC4" s="3397" t="s">
        <v>1773</v>
      </c>
    </row>
    <row r="5" spans="1:29">
      <c r="A5" s="348"/>
      <c r="B5" s="349"/>
      <c r="C5" s="3418" t="s">
        <v>1673</v>
      </c>
      <c r="D5" s="3419"/>
      <c r="E5" s="3425" t="s">
        <v>1674</v>
      </c>
      <c r="F5" s="3426"/>
      <c r="G5" s="3418" t="s">
        <v>1675</v>
      </c>
      <c r="H5" s="3419"/>
      <c r="I5" s="3418" t="s">
        <v>1676</v>
      </c>
      <c r="J5" s="3419"/>
      <c r="K5" s="537"/>
      <c r="L5" s="2484"/>
      <c r="M5" s="2485"/>
      <c r="N5" s="2485"/>
      <c r="O5" s="2485"/>
      <c r="P5" s="3406"/>
      <c r="Q5" s="3407"/>
      <c r="R5" s="3412"/>
      <c r="S5" s="3413"/>
      <c r="T5" s="3412"/>
      <c r="U5" s="3413"/>
      <c r="V5" s="3386"/>
      <c r="W5" s="3386"/>
      <c r="X5" s="1265"/>
      <c r="Y5" s="3412"/>
      <c r="Z5" s="3413"/>
      <c r="AA5" s="3398"/>
      <c r="AB5" s="3386"/>
      <c r="AC5" s="3398"/>
    </row>
    <row r="6" spans="1:29" ht="15" thickBot="1">
      <c r="A6" s="350"/>
      <c r="B6" s="351"/>
      <c r="C6" s="3416" t="s">
        <v>1677</v>
      </c>
      <c r="D6" s="3417"/>
      <c r="E6" s="3423" t="s">
        <v>1677</v>
      </c>
      <c r="F6" s="3424"/>
      <c r="G6" s="3416" t="s">
        <v>1677</v>
      </c>
      <c r="H6" s="3417"/>
      <c r="I6" s="3416" t="s">
        <v>1677</v>
      </c>
      <c r="J6" s="3417"/>
      <c r="K6" s="537" t="s">
        <v>1678</v>
      </c>
      <c r="L6" s="2484"/>
      <c r="M6" s="2485"/>
      <c r="N6" s="2485"/>
      <c r="O6" s="2485"/>
      <c r="P6" s="3408"/>
      <c r="Q6" s="3409"/>
      <c r="R6" s="3412"/>
      <c r="S6" s="3413"/>
      <c r="T6" s="3414"/>
      <c r="U6" s="3415"/>
      <c r="V6" s="3386"/>
      <c r="W6" s="3386"/>
      <c r="X6" s="1265"/>
      <c r="Y6" s="3414"/>
      <c r="Z6" s="3415"/>
      <c r="AA6" s="3399"/>
      <c r="AB6" s="3386"/>
      <c r="AC6" s="3399"/>
    </row>
    <row r="7" spans="1:29" s="102" customFormat="1" ht="14.5" thickBot="1">
      <c r="A7" s="352" t="s">
        <v>1679</v>
      </c>
      <c r="B7" s="353"/>
      <c r="C7" s="354">
        <f>'数据-取费表'!B2</f>
        <v>45910</v>
      </c>
      <c r="D7" s="355">
        <v>100</v>
      </c>
      <c r="E7" s="356">
        <f>C7</f>
        <v>45910</v>
      </c>
      <c r="F7" s="357">
        <f>SUMIF(58:58,YEAR(E7)&amp;"-"&amp;MONTH(E7),59:59)</f>
        <v>100</v>
      </c>
      <c r="G7" s="356">
        <f>C7</f>
        <v>45910</v>
      </c>
      <c r="H7" s="355">
        <f>SUMIF(58:58,YEAR(G7)&amp;"-"&amp;MONTH(G7),59:59)</f>
        <v>100</v>
      </c>
      <c r="I7" s="356">
        <f>C7</f>
        <v>45910</v>
      </c>
      <c r="J7" s="355">
        <f>SUMIF(58:58,YEAR(I7)&amp;"-"&amp;MONTH(I7),59:59)</f>
        <v>100</v>
      </c>
      <c r="K7" s="38"/>
      <c r="L7" s="2486"/>
      <c r="M7" s="2438"/>
      <c r="N7" s="2438"/>
      <c r="O7" s="2438"/>
      <c r="P7" s="3420" t="s">
        <v>1680</v>
      </c>
      <c r="Q7" s="3422"/>
      <c r="R7" s="664" t="s">
        <v>14</v>
      </c>
      <c r="S7" s="665">
        <f t="shared" ref="S7:S15" si="0">F7</f>
        <v>100</v>
      </c>
      <c r="T7" s="664" t="s">
        <v>14</v>
      </c>
      <c r="U7" s="665">
        <f t="shared" ref="U7:U15" si="1">H7</f>
        <v>100</v>
      </c>
      <c r="V7" s="664" t="s">
        <v>14</v>
      </c>
      <c r="W7" s="665">
        <f t="shared" ref="W7:W15" si="2">J7</f>
        <v>100</v>
      </c>
      <c r="X7" s="666"/>
      <c r="Y7" s="3420" t="s">
        <v>1680</v>
      </c>
      <c r="Z7" s="3421"/>
      <c r="AA7" s="50">
        <f>D7/F7</f>
        <v>1</v>
      </c>
      <c r="AB7" s="50">
        <f>D7/H7</f>
        <v>1</v>
      </c>
      <c r="AC7" s="50">
        <f>D7/J7</f>
        <v>1</v>
      </c>
    </row>
    <row r="8" spans="1:29" s="102" customFormat="1" ht="14.5" thickBot="1">
      <c r="A8" s="352" t="s">
        <v>1681</v>
      </c>
      <c r="B8" s="353"/>
      <c r="C8" s="358" t="s">
        <v>3458</v>
      </c>
      <c r="D8" s="355">
        <v>100</v>
      </c>
      <c r="E8" s="358" t="s">
        <v>3459</v>
      </c>
      <c r="F8" s="357">
        <f>SUMIF(61:61,E8,62:62)-SUMIF(61:61,C8,62:62)+100</f>
        <v>105</v>
      </c>
      <c r="G8" s="358" t="s">
        <v>3459</v>
      </c>
      <c r="H8" s="355">
        <f>SUMIF(61:61,G8,62:62)-SUMIF(61:61,C8,62:62)+100</f>
        <v>105</v>
      </c>
      <c r="I8" s="358" t="s">
        <v>3459</v>
      </c>
      <c r="J8" s="355">
        <f>SUMIF(61:61,I8,62:62)-SUMIF(61:61,C8,62:62)+100</f>
        <v>105</v>
      </c>
      <c r="K8" s="38"/>
      <c r="L8" s="2486"/>
      <c r="M8" s="2438"/>
      <c r="N8" s="2438"/>
      <c r="O8" s="2438"/>
      <c r="P8" s="3420" t="s">
        <v>1683</v>
      </c>
      <c r="Q8" s="3421"/>
      <c r="R8" s="664" t="s">
        <v>14</v>
      </c>
      <c r="S8" s="665">
        <f t="shared" si="0"/>
        <v>105</v>
      </c>
      <c r="T8" s="664" t="s">
        <v>14</v>
      </c>
      <c r="U8" s="665">
        <f t="shared" si="1"/>
        <v>105</v>
      </c>
      <c r="V8" s="664" t="s">
        <v>14</v>
      </c>
      <c r="W8" s="665">
        <f t="shared" si="2"/>
        <v>105</v>
      </c>
      <c r="X8" s="666"/>
      <c r="Y8" s="3420" t="s">
        <v>1683</v>
      </c>
      <c r="Z8" s="3421"/>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516"/>
      <c r="D10" s="3517">
        <v>100</v>
      </c>
      <c r="E10" s="3518"/>
      <c r="F10" s="3519">
        <f>SUMIF(65:65,E10,66:66)-SUMIF(65:65,C10,66:66)+100</f>
        <v>100</v>
      </c>
      <c r="G10" s="3516"/>
      <c r="H10" s="3517">
        <f>SUMIF(65:65,G10,66:66)-SUMIF(65:65,C10,66:66)+100</f>
        <v>100</v>
      </c>
      <c r="I10" s="3516"/>
      <c r="J10" s="119">
        <f>SUMIF(65:65,I10,66:66)-SUMIF(65:65,C10,66:66)+100</f>
        <v>100</v>
      </c>
      <c r="K10" s="38"/>
      <c r="L10" s="2487"/>
      <c r="M10" s="2488"/>
      <c r="N10" s="2488"/>
      <c r="O10" s="2488"/>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96"/>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95</v>
      </c>
      <c r="G15" s="383"/>
      <c r="H15" s="380">
        <f>SUMIF(76:76,G16,77:77)-SUMIF(76:76,C16,77:77)+100</f>
        <v>95</v>
      </c>
      <c r="I15" s="381"/>
      <c r="J15" s="380">
        <f>SUMIF(76:76,I16,77:77)-SUMIF(76:76,C16,77:77)+100</f>
        <v>95</v>
      </c>
      <c r="K15" s="540">
        <v>5</v>
      </c>
      <c r="L15" s="2490"/>
      <c r="M15" s="2485"/>
      <c r="N15" s="2485"/>
      <c r="O15" s="2485"/>
      <c r="P15" s="3394" t="s">
        <v>1691</v>
      </c>
      <c r="Q15" s="1263" t="str">
        <f t="shared" si="6"/>
        <v>商业繁华度</v>
      </c>
      <c r="R15" s="667" t="s">
        <v>14</v>
      </c>
      <c r="S15" s="668">
        <f t="shared" si="0"/>
        <v>95</v>
      </c>
      <c r="T15" s="667" t="s">
        <v>14</v>
      </c>
      <c r="U15" s="668">
        <f t="shared" si="1"/>
        <v>95</v>
      </c>
      <c r="V15" s="667" t="s">
        <v>14</v>
      </c>
      <c r="W15" s="668">
        <f t="shared" si="2"/>
        <v>95</v>
      </c>
      <c r="X15" s="1265"/>
      <c r="Y15" s="3387" t="s">
        <v>1691</v>
      </c>
      <c r="Z15" s="1264" t="str">
        <f t="shared" si="7"/>
        <v>商业繁华度</v>
      </c>
      <c r="AA15" s="1264">
        <f t="shared" si="3"/>
        <v>1.0526315789473684</v>
      </c>
      <c r="AB15" s="1264">
        <f t="shared" si="4"/>
        <v>1.0526315789473684</v>
      </c>
      <c r="AC15" s="1264">
        <f t="shared" si="5"/>
        <v>1.0526315789473684</v>
      </c>
    </row>
    <row r="16" spans="1:29" ht="15.5">
      <c r="A16" s="367"/>
      <c r="B16" s="385"/>
      <c r="C16" s="386" t="s">
        <v>3440</v>
      </c>
      <c r="D16" s="387"/>
      <c r="E16" s="386" t="s">
        <v>3461</v>
      </c>
      <c r="F16" s="388"/>
      <c r="G16" s="386" t="s">
        <v>3461</v>
      </c>
      <c r="H16" s="389"/>
      <c r="I16" s="386" t="s">
        <v>3461</v>
      </c>
      <c r="J16" s="387"/>
      <c r="K16" s="541"/>
      <c r="L16" s="2490"/>
      <c r="M16" s="2485"/>
      <c r="N16" s="2485"/>
      <c r="O16" s="2485"/>
      <c r="P16" s="3395"/>
      <c r="Q16" s="1263"/>
      <c r="R16" s="667"/>
      <c r="S16" s="668"/>
      <c r="T16" s="667"/>
      <c r="U16" s="668"/>
      <c r="V16" s="667"/>
      <c r="W16" s="668"/>
      <c r="X16" s="1265"/>
      <c r="Y16" s="338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395"/>
      <c r="Q18" s="1263"/>
      <c r="R18" s="667"/>
      <c r="S18" s="668"/>
      <c r="T18" s="667"/>
      <c r="U18" s="668"/>
      <c r="V18" s="667"/>
      <c r="W18" s="668"/>
      <c r="X18" s="1265"/>
      <c r="Y18" s="338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395"/>
      <c r="Q20" s="1263"/>
      <c r="R20" s="667"/>
      <c r="S20" s="668"/>
      <c r="T20" s="667"/>
      <c r="U20" s="668"/>
      <c r="V20" s="667"/>
      <c r="W20" s="668"/>
      <c r="X20" s="1265"/>
      <c r="Y20" s="338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395"/>
      <c r="Q22" s="1263"/>
      <c r="R22" s="667"/>
      <c r="S22" s="668"/>
      <c r="T22" s="667"/>
      <c r="U22" s="668"/>
      <c r="V22" s="667"/>
      <c r="W22" s="668"/>
      <c r="X22" s="1265"/>
      <c r="Y22" s="338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5"/>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395"/>
      <c r="Q24" s="1263"/>
      <c r="R24" s="667"/>
      <c r="S24" s="668"/>
      <c r="T24" s="667"/>
      <c r="U24" s="668"/>
      <c r="V24" s="667"/>
      <c r="W24" s="668"/>
      <c r="X24" s="1265"/>
      <c r="Y24" s="338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5"/>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5">
      <c r="A26" s="367"/>
      <c r="B26" s="1066" t="s">
        <v>1781</v>
      </c>
      <c r="C26" s="3512" t="s">
        <v>3462</v>
      </c>
      <c r="D26" s="374">
        <v>100</v>
      </c>
      <c r="E26" s="3512" t="s">
        <v>3462</v>
      </c>
      <c r="F26" s="400">
        <f>SUMIF(88:88,E26,89:89)-SUMIF(88:88,C26,89:89)+100</f>
        <v>100</v>
      </c>
      <c r="G26" s="3512" t="s">
        <v>3462</v>
      </c>
      <c r="H26" s="374">
        <f>SUMIF(88:88,G26,89:89)-SUMIF(88:88,C26,89:89)+100</f>
        <v>100</v>
      </c>
      <c r="I26" s="3512" t="s">
        <v>3463</v>
      </c>
      <c r="J26" s="374">
        <f>SUMIF(88:88,I26,89:89)-SUMIF(88:88,C26,89:89)+100</f>
        <v>96</v>
      </c>
      <c r="K26" s="539"/>
      <c r="L26" s="2490"/>
      <c r="M26" s="2485"/>
      <c r="N26" s="2485"/>
      <c r="O26" s="2485"/>
      <c r="P26" s="3395"/>
      <c r="Q26" s="1263" t="str">
        <f t="shared" si="11"/>
        <v>平面位置/可视性</v>
      </c>
      <c r="R26" s="667" t="s">
        <v>14</v>
      </c>
      <c r="S26" s="668">
        <f>F26</f>
        <v>100</v>
      </c>
      <c r="T26" s="667" t="s">
        <v>14</v>
      </c>
      <c r="U26" s="668">
        <f>H26</f>
        <v>100</v>
      </c>
      <c r="V26" s="667" t="s">
        <v>14</v>
      </c>
      <c r="W26" s="668">
        <f>J26</f>
        <v>96</v>
      </c>
      <c r="X26" s="1265"/>
      <c r="Y26" s="3388"/>
      <c r="Z26" s="1264" t="str">
        <f>Q26</f>
        <v>平面位置/可视性</v>
      </c>
      <c r="AA26" s="1264">
        <f t="shared" si="3"/>
        <v>1</v>
      </c>
      <c r="AB26" s="1264">
        <f t="shared" si="4"/>
        <v>1</v>
      </c>
      <c r="AC26" s="1264">
        <f t="shared" si="5"/>
        <v>1.0416666666666667</v>
      </c>
    </row>
    <row r="27" spans="1:29" s="102" customFormat="1" ht="15.5">
      <c r="A27" s="370"/>
      <c r="B27" s="390" t="s">
        <v>1782</v>
      </c>
      <c r="C27" s="1807" t="s">
        <v>3467</v>
      </c>
      <c r="D27" s="401">
        <v>100</v>
      </c>
      <c r="E27" s="1807" t="s">
        <v>3461</v>
      </c>
      <c r="F27" s="395">
        <f>SUMIF(90:90,E27,91:91)-SUMIF(90:90,C27,91:91)+100</f>
        <v>100</v>
      </c>
      <c r="G27" s="1807" t="s">
        <v>3461</v>
      </c>
      <c r="H27" s="401">
        <f>SUMIF(90:90,G27,91:91)-SUMIF(90:90,C27,91:91)+100</f>
        <v>100</v>
      </c>
      <c r="I27" s="1807" t="s">
        <v>3461</v>
      </c>
      <c r="J27" s="401">
        <f>SUMIF(90:90,I27,91:91)-SUMIF(90:90,C27,91:91)+100</f>
        <v>100</v>
      </c>
      <c r="K27" s="538"/>
      <c r="L27" s="2486"/>
      <c r="M27" s="2438"/>
      <c r="N27" s="2438"/>
      <c r="O27" s="2438"/>
      <c r="P27" s="3395"/>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5">
      <c r="A28" s="367"/>
      <c r="B28" s="364" t="s">
        <v>1783</v>
      </c>
      <c r="C28" s="542" t="s">
        <v>3454</v>
      </c>
      <c r="D28" s="374">
        <v>100</v>
      </c>
      <c r="E28" s="542" t="s">
        <v>3454</v>
      </c>
      <c r="F28" s="400">
        <f>SUMIF(92:92,E28,93:93)-SUMIF(92:92,C28,93:93)+100</f>
        <v>100</v>
      </c>
      <c r="G28" s="542" t="s">
        <v>3454</v>
      </c>
      <c r="H28" s="374">
        <f>SUMIF(92:92,G28,93:93)-SUMIF(92:92,C28,93:93)+100</f>
        <v>100</v>
      </c>
      <c r="I28" s="542" t="s">
        <v>3455</v>
      </c>
      <c r="J28" s="374">
        <f>SUMIF(92:92,I28,93:93)-SUMIF(92:92,C28,93:93)+100</f>
        <v>80</v>
      </c>
      <c r="K28" s="539"/>
      <c r="L28" s="2490"/>
      <c r="M28" s="2485"/>
      <c r="N28" s="2485"/>
      <c r="O28" s="2485"/>
      <c r="P28" s="3395"/>
      <c r="Q28" s="1263" t="str">
        <f t="shared" si="11"/>
        <v>楼层</v>
      </c>
      <c r="R28" s="667" t="s">
        <v>14</v>
      </c>
      <c r="S28" s="668">
        <f t="shared" ref="S28:S46" si="12">F28</f>
        <v>100</v>
      </c>
      <c r="T28" s="667" t="s">
        <v>14</v>
      </c>
      <c r="U28" s="668">
        <f t="shared" ref="U28:U46" si="13">H28</f>
        <v>100</v>
      </c>
      <c r="V28" s="667" t="s">
        <v>14</v>
      </c>
      <c r="W28" s="668">
        <f t="shared" ref="W28:W46" si="14">J28</f>
        <v>80</v>
      </c>
      <c r="X28" s="1265"/>
      <c r="Y28" s="3388"/>
      <c r="Z28" s="1264" t="str">
        <f t="shared" ref="Z28:Z46" si="15">Q28</f>
        <v>楼层</v>
      </c>
      <c r="AA28" s="1264">
        <f t="shared" si="3"/>
        <v>1</v>
      </c>
      <c r="AB28" s="1264">
        <f t="shared" si="4"/>
        <v>1</v>
      </c>
      <c r="AC28" s="1264">
        <f t="shared" si="5"/>
        <v>1.25</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5"/>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9" t="s">
        <v>1696</v>
      </c>
      <c r="Q32" s="1263" t="str">
        <f t="shared" si="11"/>
        <v>商业类型</v>
      </c>
      <c r="R32" s="667" t="s">
        <v>14</v>
      </c>
      <c r="S32" s="668">
        <f t="shared" si="12"/>
        <v>100</v>
      </c>
      <c r="T32" s="667" t="s">
        <v>14</v>
      </c>
      <c r="U32" s="668">
        <f t="shared" si="13"/>
        <v>100</v>
      </c>
      <c r="V32" s="667" t="s">
        <v>14</v>
      </c>
      <c r="W32" s="668">
        <f t="shared" si="14"/>
        <v>100</v>
      </c>
      <c r="X32" s="1265"/>
      <c r="Y32" s="3392"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380.34</v>
      </c>
      <c r="D33" s="119">
        <v>100</v>
      </c>
      <c r="E33" s="369">
        <v>59.02</v>
      </c>
      <c r="F33" s="364">
        <f>LOOKUP(E33,103:103,104:104)-LOOKUP(C33,103:103,104:104)+100</f>
        <v>103</v>
      </c>
      <c r="G33" s="368">
        <v>84.2</v>
      </c>
      <c r="H33" s="119">
        <f>LOOKUP(G33,103:103,104:104)-LOOKUP(C33,103:103,104:104)+100</f>
        <v>103</v>
      </c>
      <c r="I33" s="368">
        <v>87.98</v>
      </c>
      <c r="J33" s="119">
        <f>LOOKUP(I33,103:103,104:104)-LOOKUP(C33,103:103,104:104)+100</f>
        <v>103</v>
      </c>
      <c r="K33" s="539"/>
      <c r="L33" s="2489"/>
      <c r="M33" s="2491"/>
      <c r="N33" s="2491"/>
      <c r="O33" s="2491"/>
      <c r="P33" s="3390"/>
      <c r="Q33" s="531" t="str">
        <f t="shared" si="11"/>
        <v>项目建筑规模</v>
      </c>
      <c r="R33" s="669" t="s">
        <v>14</v>
      </c>
      <c r="S33" s="670">
        <f t="shared" si="12"/>
        <v>103</v>
      </c>
      <c r="T33" s="669" t="s">
        <v>14</v>
      </c>
      <c r="U33" s="670">
        <f t="shared" si="13"/>
        <v>103</v>
      </c>
      <c r="V33" s="669" t="s">
        <v>14</v>
      </c>
      <c r="W33" s="670">
        <f t="shared" si="14"/>
        <v>103</v>
      </c>
      <c r="X33" s="671"/>
      <c r="Y33" s="3392"/>
      <c r="Z33" s="672" t="str">
        <f t="shared" si="15"/>
        <v>项目建筑规模</v>
      </c>
      <c r="AA33" s="1264">
        <f t="shared" si="3"/>
        <v>0.970873786407767</v>
      </c>
      <c r="AB33" s="1264">
        <f t="shared" si="4"/>
        <v>0.970873786407767</v>
      </c>
      <c r="AC33" s="1264">
        <f t="shared" si="5"/>
        <v>0.970873786407767</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0"/>
      <c r="Q34" s="1263" t="str">
        <f t="shared" si="11"/>
        <v>建筑结构</v>
      </c>
      <c r="R34" s="667" t="s">
        <v>14</v>
      </c>
      <c r="S34" s="668">
        <f t="shared" si="12"/>
        <v>100</v>
      </c>
      <c r="T34" s="667" t="s">
        <v>14</v>
      </c>
      <c r="U34" s="668">
        <f t="shared" si="13"/>
        <v>100</v>
      </c>
      <c r="V34" s="667" t="s">
        <v>14</v>
      </c>
      <c r="W34" s="668">
        <f t="shared" si="14"/>
        <v>100</v>
      </c>
      <c r="X34" s="1265"/>
      <c r="Y34" s="339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0"/>
      <c r="Q35" s="1263" t="str">
        <f t="shared" si="11"/>
        <v>公共部分装修</v>
      </c>
      <c r="R35" s="667" t="s">
        <v>14</v>
      </c>
      <c r="S35" s="668">
        <f t="shared" si="12"/>
        <v>100</v>
      </c>
      <c r="T35" s="667" t="s">
        <v>14</v>
      </c>
      <c r="U35" s="668">
        <f t="shared" si="13"/>
        <v>100</v>
      </c>
      <c r="V35" s="667" t="s">
        <v>14</v>
      </c>
      <c r="W35" s="668">
        <f t="shared" si="14"/>
        <v>100</v>
      </c>
      <c r="X35" s="1265"/>
      <c r="Y35" s="3392"/>
      <c r="Z35" s="1264" t="str">
        <f t="shared" si="15"/>
        <v>公共部分装修</v>
      </c>
      <c r="AA35" s="1264">
        <f t="shared" si="3"/>
        <v>1</v>
      </c>
      <c r="AB35" s="1264">
        <f t="shared" si="4"/>
        <v>1</v>
      </c>
      <c r="AC35" s="1264">
        <f t="shared" si="5"/>
        <v>1</v>
      </c>
    </row>
    <row r="36" spans="1:29" ht="15.5">
      <c r="A36" s="409"/>
      <c r="B36" s="364" t="s">
        <v>1786</v>
      </c>
      <c r="C36" s="411">
        <f>'数据-取费表'!N6</f>
        <v>0.78</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c r="L36" s="2490"/>
      <c r="M36" s="2485"/>
      <c r="N36" s="2485"/>
      <c r="O36" s="2485"/>
      <c r="P36" s="3390"/>
      <c r="Q36" s="1263" t="str">
        <f t="shared" si="11"/>
        <v>成新度</v>
      </c>
      <c r="R36" s="667" t="s">
        <v>14</v>
      </c>
      <c r="S36" s="668">
        <f t="shared" si="12"/>
        <v>100</v>
      </c>
      <c r="T36" s="667" t="s">
        <v>14</v>
      </c>
      <c r="U36" s="668">
        <f t="shared" si="13"/>
        <v>100</v>
      </c>
      <c r="V36" s="667" t="s">
        <v>14</v>
      </c>
      <c r="W36" s="668">
        <f t="shared" si="14"/>
        <v>100</v>
      </c>
      <c r="X36" s="1265"/>
      <c r="Y36" s="3392"/>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90"/>
      <c r="Q37" s="530" t="str">
        <f t="shared" si="11"/>
        <v>市政基础设施</v>
      </c>
      <c r="R37" s="664" t="s">
        <v>14</v>
      </c>
      <c r="S37" s="665">
        <f t="shared" si="12"/>
        <v>100</v>
      </c>
      <c r="T37" s="664" t="s">
        <v>14</v>
      </c>
      <c r="U37" s="665">
        <f t="shared" si="13"/>
        <v>100</v>
      </c>
      <c r="V37" s="664" t="s">
        <v>14</v>
      </c>
      <c r="W37" s="665">
        <f t="shared" si="14"/>
        <v>100</v>
      </c>
      <c r="X37" s="666"/>
      <c r="Y37" s="339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0" t="s">
        <v>1696</v>
      </c>
      <c r="Q38" s="1263" t="str">
        <f t="shared" si="11"/>
        <v>业态</v>
      </c>
      <c r="R38" s="667" t="s">
        <v>14</v>
      </c>
      <c r="S38" s="668">
        <f t="shared" si="12"/>
        <v>100</v>
      </c>
      <c r="T38" s="667" t="s">
        <v>14</v>
      </c>
      <c r="U38" s="668">
        <f t="shared" si="13"/>
        <v>100</v>
      </c>
      <c r="V38" s="667" t="s">
        <v>14</v>
      </c>
      <c r="W38" s="668">
        <f t="shared" si="14"/>
        <v>100</v>
      </c>
      <c r="X38" s="1265"/>
      <c r="Y38" s="3392" t="s">
        <v>1696</v>
      </c>
      <c r="Z38" s="1264" t="str">
        <f t="shared" si="15"/>
        <v>业态</v>
      </c>
      <c r="AA38" s="1264">
        <f t="shared" si="3"/>
        <v>1</v>
      </c>
      <c r="AB38" s="1264">
        <f t="shared" si="4"/>
        <v>1</v>
      </c>
      <c r="AC38" s="1264">
        <f t="shared" si="5"/>
        <v>1</v>
      </c>
    </row>
    <row r="39" spans="1:29" ht="15.5">
      <c r="A39" s="409"/>
      <c r="B39" s="364" t="s">
        <v>1789</v>
      </c>
      <c r="C39" s="3520" t="s">
        <v>3474</v>
      </c>
      <c r="D39" s="374">
        <v>100</v>
      </c>
      <c r="E39" s="1760" t="s">
        <v>3472</v>
      </c>
      <c r="F39" s="400">
        <f>SUMIF(116:116,E39,117:117)-SUMIF(116:116,C39,117:117)+100</f>
        <v>105</v>
      </c>
      <c r="G39" s="1760" t="s">
        <v>3472</v>
      </c>
      <c r="H39" s="374">
        <f>SUMIF(116:116,G39,117:117)-SUMIF(116:116,C39,117:117)+100</f>
        <v>105</v>
      </c>
      <c r="I39" s="1760" t="s">
        <v>3474</v>
      </c>
      <c r="J39" s="374">
        <f>SUMIF(116:116,I39,117:117)-SUMIF(116:116,C39,117:117)+100</f>
        <v>100</v>
      </c>
      <c r="K39" s="538">
        <v>5</v>
      </c>
      <c r="L39" s="2490"/>
      <c r="M39" s="2485"/>
      <c r="N39" s="2485"/>
      <c r="O39" s="2485"/>
      <c r="P39" s="3390"/>
      <c r="Q39" s="1263" t="str">
        <f t="shared" si="11"/>
        <v>层高</v>
      </c>
      <c r="R39" s="667" t="s">
        <v>14</v>
      </c>
      <c r="S39" s="668">
        <f t="shared" si="12"/>
        <v>105</v>
      </c>
      <c r="T39" s="667" t="s">
        <v>14</v>
      </c>
      <c r="U39" s="668">
        <f t="shared" si="13"/>
        <v>105</v>
      </c>
      <c r="V39" s="667" t="s">
        <v>14</v>
      </c>
      <c r="W39" s="668">
        <f t="shared" si="14"/>
        <v>100</v>
      </c>
      <c r="X39" s="1265"/>
      <c r="Y39" s="3392"/>
      <c r="Z39" s="1264" t="str">
        <f t="shared" si="15"/>
        <v>层高</v>
      </c>
      <c r="AA39" s="1264">
        <f t="shared" si="3"/>
        <v>0.95238095238095233</v>
      </c>
      <c r="AB39" s="1264">
        <f t="shared" si="4"/>
        <v>0.95238095238095233</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0"/>
      <c r="Q40" s="1263" t="str">
        <f t="shared" si="11"/>
        <v>单套建筑面积</v>
      </c>
      <c r="R40" s="667" t="s">
        <v>14</v>
      </c>
      <c r="S40" s="668">
        <f t="shared" si="12"/>
        <v>100</v>
      </c>
      <c r="T40" s="667" t="s">
        <v>14</v>
      </c>
      <c r="U40" s="668">
        <f t="shared" si="13"/>
        <v>100</v>
      </c>
      <c r="V40" s="667" t="s">
        <v>14</v>
      </c>
      <c r="W40" s="668">
        <f t="shared" si="14"/>
        <v>100</v>
      </c>
      <c r="X40" s="1265"/>
      <c r="Y40" s="339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0"/>
      <c r="Q41" s="531" t="str">
        <f t="shared" si="11"/>
        <v>进深比</v>
      </c>
      <c r="R41" s="669" t="s">
        <v>14</v>
      </c>
      <c r="S41" s="670">
        <f t="shared" si="12"/>
        <v>100</v>
      </c>
      <c r="T41" s="669" t="s">
        <v>14</v>
      </c>
      <c r="U41" s="670">
        <f t="shared" si="13"/>
        <v>100</v>
      </c>
      <c r="V41" s="669" t="s">
        <v>14</v>
      </c>
      <c r="W41" s="670">
        <f t="shared" si="14"/>
        <v>100</v>
      </c>
      <c r="X41" s="671"/>
      <c r="Y41" s="339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0"/>
      <c r="Q42" s="1263" t="str">
        <f t="shared" si="11"/>
        <v>内部装修</v>
      </c>
      <c r="R42" s="667" t="s">
        <v>14</v>
      </c>
      <c r="S42" s="668">
        <f t="shared" si="12"/>
        <v>100</v>
      </c>
      <c r="T42" s="667" t="s">
        <v>14</v>
      </c>
      <c r="U42" s="668">
        <f t="shared" si="13"/>
        <v>100</v>
      </c>
      <c r="V42" s="667" t="s">
        <v>14</v>
      </c>
      <c r="W42" s="668">
        <f t="shared" si="14"/>
        <v>100</v>
      </c>
      <c r="X42" s="1265"/>
      <c r="Y42" s="339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0"/>
      <c r="Q43" s="1263" t="str">
        <f t="shared" si="11"/>
        <v>内部装修维护情况</v>
      </c>
      <c r="R43" s="667" t="s">
        <v>14</v>
      </c>
      <c r="S43" s="668">
        <f t="shared" si="12"/>
        <v>100</v>
      </c>
      <c r="T43" s="667" t="s">
        <v>14</v>
      </c>
      <c r="U43" s="668">
        <f t="shared" si="13"/>
        <v>100</v>
      </c>
      <c r="V43" s="667" t="s">
        <v>14</v>
      </c>
      <c r="W43" s="668">
        <f t="shared" si="14"/>
        <v>100</v>
      </c>
      <c r="X43" s="1265"/>
      <c r="Y43" s="339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0"/>
      <c r="Q44" s="530">
        <f t="shared" si="11"/>
        <v>111</v>
      </c>
      <c r="R44" s="664" t="s">
        <v>14</v>
      </c>
      <c r="S44" s="665">
        <f t="shared" si="12"/>
        <v>100</v>
      </c>
      <c r="T44" s="664" t="s">
        <v>14</v>
      </c>
      <c r="U44" s="665">
        <f t="shared" si="13"/>
        <v>100</v>
      </c>
      <c r="V44" s="664" t="s">
        <v>14</v>
      </c>
      <c r="W44" s="665">
        <f t="shared" si="14"/>
        <v>100</v>
      </c>
      <c r="X44" s="666"/>
      <c r="Y44" s="339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0"/>
      <c r="Q45" s="1263">
        <f t="shared" si="11"/>
        <v>111</v>
      </c>
      <c r="R45" s="667" t="s">
        <v>14</v>
      </c>
      <c r="S45" s="668">
        <f t="shared" si="12"/>
        <v>100</v>
      </c>
      <c r="T45" s="667" t="s">
        <v>14</v>
      </c>
      <c r="U45" s="668">
        <f t="shared" si="13"/>
        <v>100</v>
      </c>
      <c r="V45" s="667" t="s">
        <v>14</v>
      </c>
      <c r="W45" s="668">
        <f t="shared" si="14"/>
        <v>100</v>
      </c>
      <c r="X45" s="1265"/>
      <c r="Y45" s="339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264">
        <f t="shared" si="5"/>
        <v>1</v>
      </c>
    </row>
    <row r="47" spans="1:29">
      <c r="A47" s="416" t="s">
        <v>1708</v>
      </c>
      <c r="B47" s="417"/>
      <c r="C47" s="1081" t="s">
        <v>0</v>
      </c>
      <c r="D47" s="418"/>
      <c r="E47" s="419">
        <v>33548</v>
      </c>
      <c r="F47" s="420"/>
      <c r="G47" s="421">
        <v>34917</v>
      </c>
      <c r="H47" s="422"/>
      <c r="I47" s="419">
        <v>26143</v>
      </c>
      <c r="J47" s="422"/>
      <c r="K47" s="674"/>
      <c r="L47" s="2492"/>
      <c r="M47" s="2485"/>
      <c r="N47" s="2485"/>
      <c r="O47" s="2485"/>
      <c r="P47" s="3385" t="str">
        <f>A47</f>
        <v>成交单价（元/平方米）</v>
      </c>
      <c r="Q47" s="3385"/>
      <c r="R47" s="3386">
        <f>E47</f>
        <v>33548</v>
      </c>
      <c r="S47" s="3386"/>
      <c r="T47" s="3386">
        <f>G47</f>
        <v>34917</v>
      </c>
      <c r="U47" s="3386"/>
      <c r="V47" s="3386">
        <f>I47</f>
        <v>26143</v>
      </c>
      <c r="W47" s="3386"/>
      <c r="X47" s="385"/>
      <c r="Y47" s="673"/>
      <c r="Z47" s="385"/>
      <c r="AA47" s="385"/>
      <c r="AB47" s="385"/>
      <c r="AC47" s="385"/>
    </row>
    <row r="48" spans="1:29" ht="14.5" thickBot="1">
      <c r="A48" s="423" t="s">
        <v>1793</v>
      </c>
      <c r="B48" s="424"/>
      <c r="C48" s="1082">
        <f>R49</f>
        <v>32199</v>
      </c>
      <c r="D48" s="2140" t="s">
        <v>2135</v>
      </c>
      <c r="E48" s="1083">
        <f>R48</f>
        <v>31098</v>
      </c>
      <c r="F48" s="2141"/>
      <c r="G48" s="1082">
        <f>T48</f>
        <v>32367</v>
      </c>
      <c r="H48" s="2141"/>
      <c r="I48" s="1083">
        <f>V48</f>
        <v>33132</v>
      </c>
      <c r="J48" s="2141"/>
      <c r="K48" s="2143">
        <f>F48+H48+J48</f>
        <v>0</v>
      </c>
      <c r="L48" s="2492"/>
      <c r="M48" s="2485"/>
      <c r="N48" s="2485"/>
      <c r="O48" s="2485"/>
      <c r="P48" s="3385" t="str">
        <f>A48</f>
        <v>比较价值（元/平方米）</v>
      </c>
      <c r="Q48" s="3385"/>
      <c r="R48" s="3386">
        <f>IF(F1="售价",ROUND(PRODUCT(R47,AA7:AA46),0),ROUND(PRODUCT(R47,AA7:AA46),1))</f>
        <v>31098</v>
      </c>
      <c r="S48" s="3386"/>
      <c r="T48" s="3386">
        <f>IF(F1="售价",ROUND(PRODUCT(T47,AB7:AB46),0),ROUND(PRODUCT(T47,AB7:AB46),1))</f>
        <v>32367</v>
      </c>
      <c r="U48" s="3386"/>
      <c r="V48" s="3386">
        <f>IF(F1="售价",ROUND(PRODUCT(V47,AC7:AC46),0),ROUND(PRODUCT(V47,AC7:AC46),1))</f>
        <v>33132</v>
      </c>
      <c r="W48" s="3386"/>
      <c r="X48" s="385"/>
      <c r="Y48" s="385"/>
      <c r="Z48" s="385"/>
      <c r="AA48" s="385"/>
      <c r="AB48" s="385"/>
      <c r="AC48" s="385"/>
    </row>
    <row r="49" spans="1:29" ht="14.5" thickBot="1">
      <c r="A49" s="427" t="s">
        <v>1794</v>
      </c>
      <c r="B49" s="428"/>
      <c r="C49" s="351">
        <f>R49</f>
        <v>32199</v>
      </c>
      <c r="D49" s="351"/>
      <c r="E49" s="351"/>
      <c r="F49" s="351"/>
      <c r="G49" s="351"/>
      <c r="H49" s="351"/>
      <c r="I49" s="351"/>
      <c r="J49" s="351"/>
      <c r="K49" s="675"/>
      <c r="L49" s="2492"/>
      <c r="M49" s="2485"/>
      <c r="N49" s="2485"/>
      <c r="O49" s="2485"/>
      <c r="P49" s="3382" t="str">
        <f>A49</f>
        <v>估价对象XX用房的比较价值（楼面单价，元/平方米）</v>
      </c>
      <c r="Q49" s="3383"/>
      <c r="R49" s="3384">
        <f>IF(F1="售价",ROUND(IF(D48="简单平均",AVERAGE(R48:V48),R48*F48+T48*H48+V48*J48),0),ROUND(IF(D48="简单平均",AVERAGE(R48:V48),R48*F48+T48*H48+V48*J48),1))</f>
        <v>32199</v>
      </c>
      <c r="S49" s="3384"/>
      <c r="T49" s="3384"/>
      <c r="U49" s="3384"/>
      <c r="V49" s="3384"/>
      <c r="W49" s="338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7.8783201492057309E-2</v>
      </c>
      <c r="F52" s="435" t="str">
        <f>IF(OR(E52&gt;=0.3,E52&lt;=-0.3),"超过30%","")</f>
        <v/>
      </c>
      <c r="G52" s="434">
        <f>IF(G47&lt;G48,G48/G47-1,G47/G48-1)</f>
        <v>7.8783946612290379E-2</v>
      </c>
      <c r="H52" s="435" t="str">
        <f>IF(OR(G52&gt;=0.3,G52&lt;=-0.3),"超过30%","")</f>
        <v/>
      </c>
      <c r="I52" s="434">
        <f>IF(I47&lt;I48,I48/I47-1,I47/I48-1)</f>
        <v>0.26733733695444295</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4.0806482732008487E-2</v>
      </c>
      <c r="F53" s="435" t="str">
        <f>IF(OR(E53&gt;=0.2,E53&lt;=-0.2),"超过20%","")</f>
        <v/>
      </c>
      <c r="G53" s="434">
        <f>IF(G48&lt;I48,I48/G48-1,G48/I48-1)</f>
        <v>2.3635183983687025E-2</v>
      </c>
      <c r="H53" s="435" t="str">
        <f>IF(OR(G53&gt;=0.2,G53&lt;=-0.2),"超过20%","")</f>
        <v/>
      </c>
      <c r="I53" s="434">
        <f>IF(I48&lt;E48,E48/I48-1,I48/E48-1)</f>
        <v>6.5406135442793722E-2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4.0807201621557265E-2</v>
      </c>
      <c r="F54" s="435" t="str">
        <f>IF(OR(E54&gt;=0.3,E54&lt;=-0.3),"超过30%","")</f>
        <v/>
      </c>
      <c r="G54" s="434">
        <f>IF(G47&lt;I47,I47/G47-1,G47/I47-1)</f>
        <v>0.33561565237348434</v>
      </c>
      <c r="H54" s="435" t="str">
        <f>IF(OR(G54&gt;=0.3,G54&lt;=-0.3),"超过30%","")</f>
        <v>超过30%</v>
      </c>
      <c r="I54" s="434">
        <f>IF(I47&lt;E47,E47/I47-1,I47/E47-1)</f>
        <v>0.2832498183070038</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511" t="s">
        <v>3460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95</v>
      </c>
      <c r="E77" s="475">
        <f>D77-$K15</f>
        <v>90</v>
      </c>
      <c r="F77" s="475">
        <f>E77-$K15</f>
        <v>85</v>
      </c>
      <c r="G77" s="475">
        <f>F77-$K15</f>
        <v>80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513" t="s">
        <v>3464</v>
      </c>
      <c r="D88" s="3513" t="s">
        <v>3462</v>
      </c>
      <c r="E88" s="3513" t="s">
        <v>3465</v>
      </c>
      <c r="F88" s="3514" t="s">
        <v>3463</v>
      </c>
      <c r="G88" s="3513" t="s">
        <v>3466</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3513" t="s">
        <v>3468</v>
      </c>
      <c r="D90" s="3513" t="s">
        <v>3465</v>
      </c>
      <c r="E90" s="3513" t="s">
        <v>3469</v>
      </c>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3470</v>
      </c>
      <c r="D92" s="3515" t="s">
        <v>3471</v>
      </c>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v>100</v>
      </c>
      <c r="D93" s="467">
        <v>80</v>
      </c>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300(含)-500</v>
      </c>
      <c r="H102" s="509" t="str">
        <f t="shared" si="24"/>
        <v>500(含)-800</v>
      </c>
      <c r="I102" s="509" t="str">
        <f t="shared" si="24"/>
        <v>800(含)-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200</v>
      </c>
      <c r="G103" s="6">
        <v>300</v>
      </c>
      <c r="H103" s="6">
        <v>500</v>
      </c>
      <c r="I103" s="6">
        <v>800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3513" t="s">
        <v>3473</v>
      </c>
      <c r="D116" s="3513" t="s">
        <v>3475</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F7:F46 H7:H46 J7:J46">
    <cfRule type="cellIs" dxfId="145" priority="1" operator="notEqual">
      <formula>100</formula>
    </cfRule>
  </conditionalFormatting>
  <conditionalFormatting sqref="F48">
    <cfRule type="expression" dxfId="144" priority="4">
      <formula>$D$48="简单平均"</formula>
    </cfRule>
  </conditionalFormatting>
  <conditionalFormatting sqref="F52:F54 H52:H54">
    <cfRule type="containsText" dxfId="143" priority="17" stopIfTrue="1" operator="containsText" text="超过">
      <formula>NOT(ISERROR(SEARCH("超过",F52)))</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G54">
    <cfRule type="expression" dxfId="140" priority="13" stopIfTrue="1">
      <formula>$H$54="超过30%"</formula>
    </cfRule>
  </conditionalFormatting>
  <conditionalFormatting sqref="H48">
    <cfRule type="expression" dxfId="139" priority="3">
      <formula>$D$48="简单平均"</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J48">
    <cfRule type="expression" dxfId="135" priority="2">
      <formula>$D$48="简单平均"</formula>
    </cfRule>
  </conditionalFormatting>
  <conditionalFormatting sqref="J52:J54">
    <cfRule type="containsText" dxfId="13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101</v>
      </c>
      <c r="D1" s="1271" t="s">
        <v>43</v>
      </c>
      <c r="E1" s="1272" t="s">
        <v>678</v>
      </c>
      <c r="F1" s="999">
        <f ca="1">J53</f>
        <v>25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623.87369999999999</v>
      </c>
      <c r="C2" s="1289" t="s">
        <v>879</v>
      </c>
      <c r="D2" s="1375">
        <f ca="1">C40+J29+L46</f>
        <v>6238737</v>
      </c>
      <c r="E2" s="1295" t="s">
        <v>880</v>
      </c>
      <c r="F2" s="1296"/>
      <c r="G2" s="2476"/>
      <c r="H2" s="2466"/>
      <c r="I2" s="2466"/>
      <c r="J2" s="2466"/>
      <c r="K2" s="2467"/>
      <c r="L2" s="2466"/>
      <c r="M2" s="2466"/>
    </row>
    <row r="3" spans="1:37" ht="18" customHeight="1" thickBot="1">
      <c r="A3" s="1297" t="s">
        <v>881</v>
      </c>
      <c r="B3" s="1298">
        <f ca="1">IF(ISERROR(D2/F43),0,ROUND(D2/F43,0))</f>
        <v>16403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432838</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432298</v>
      </c>
      <c r="D6" s="147" t="s">
        <v>2103</v>
      </c>
      <c r="E6" s="294" t="s">
        <v>696</v>
      </c>
      <c r="F6" s="295">
        <f ca="1">INDIRECT("'数据-取费表'!u"&amp;$G$1)</f>
        <v>3.46</v>
      </c>
      <c r="G6" s="1292"/>
      <c r="H6" s="1006" t="s">
        <v>398</v>
      </c>
      <c r="I6" s="3358" t="s">
        <v>694</v>
      </c>
      <c r="J6" s="293">
        <f ca="1">ROUND(M6*M8*M7*(1-M9),0)</f>
        <v>0</v>
      </c>
      <c r="K6" s="1284" t="s">
        <v>2104</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380.34</v>
      </c>
      <c r="G7" s="1292"/>
      <c r="H7" s="296"/>
      <c r="I7" s="3359"/>
      <c r="J7" s="298"/>
      <c r="K7" s="299"/>
      <c r="L7" s="294" t="s">
        <v>697</v>
      </c>
      <c r="M7" s="295">
        <f ca="1">F7</f>
        <v>380.34</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540</v>
      </c>
      <c r="D10" s="150" t="s">
        <v>2113</v>
      </c>
      <c r="E10" s="305" t="s">
        <v>701</v>
      </c>
      <c r="F10" s="1053" t="s">
        <v>3430</v>
      </c>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1810217</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1521360</v>
      </c>
      <c r="D14" s="1257" t="s">
        <v>708</v>
      </c>
      <c r="E14" s="1255"/>
      <c r="F14" s="311"/>
      <c r="G14" s="1292"/>
      <c r="H14" s="928" t="s">
        <v>398</v>
      </c>
      <c r="I14" s="294" t="s">
        <v>709</v>
      </c>
      <c r="J14" s="21">
        <f ca="1">C29</f>
        <v>2320791</v>
      </c>
      <c r="K14" s="12"/>
      <c r="L14" s="759"/>
      <c r="M14" s="760"/>
    </row>
    <row r="15" spans="1:37" s="1304" customFormat="1" ht="18" customHeight="1" thickBot="1">
      <c r="A15" s="928" t="s">
        <v>399</v>
      </c>
      <c r="B15" s="294" t="s">
        <v>710</v>
      </c>
      <c r="C15" s="21">
        <f ca="1">ROUND(C14*F15,0)</f>
        <v>76068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11604</v>
      </c>
      <c r="K16" s="1024" t="s">
        <v>715</v>
      </c>
      <c r="L16" s="1025"/>
      <c r="M16" s="1009"/>
    </row>
    <row r="17" spans="1:37" s="1304" customFormat="1" ht="18" customHeight="1">
      <c r="A17" s="928" t="s">
        <v>681</v>
      </c>
      <c r="B17" s="294" t="s">
        <v>716</v>
      </c>
      <c r="C17" s="21">
        <f ca="1">ROUND(F17*(F43+INDIRECT("'数据-取费表'!S"&amp;$G$1)),0)</f>
        <v>76068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30427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1703923</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34078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11604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54400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0.01</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-11604</v>
      </c>
      <c r="K25" s="1032" t="s">
        <v>753</v>
      </c>
      <c r="L25" s="1033"/>
      <c r="M25" s="1034"/>
    </row>
    <row r="26" spans="1:37" ht="18" customHeight="1">
      <c r="A26" s="928" t="s">
        <v>397</v>
      </c>
      <c r="B26" s="294" t="s">
        <v>754</v>
      </c>
      <c r="C26" s="21">
        <f ca="1">ROUND((C19+C20)*F26,0)</f>
        <v>347600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2320791</v>
      </c>
      <c r="D29" s="1029"/>
      <c r="E29" s="1027"/>
      <c r="F29" s="1030"/>
      <c r="G29" s="1303"/>
      <c r="H29" s="325" t="s">
        <v>396</v>
      </c>
      <c r="I29" s="326" t="s">
        <v>768</v>
      </c>
      <c r="J29" s="327">
        <f ca="1">ROUND(J26/(1+F40)^F41,0)</f>
        <v>0</v>
      </c>
      <c r="K29" s="328" t="s">
        <v>769</v>
      </c>
      <c r="L29" s="329"/>
      <c r="M29" s="330">
        <f ca="1">INDIRECT("'数据-取费表'!k"&amp;$G$1)</f>
        <v>380.34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58959</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28820</v>
      </c>
      <c r="D31" s="1257" t="s">
        <v>720</v>
      </c>
      <c r="E31" s="1256" t="s">
        <v>770</v>
      </c>
      <c r="F31" s="2138">
        <f ca="1">IF(项目基本情况!B11="企业","——",IF(M47="住宅",IF(F6*F7*F8/12/(1+'数据-取费表'!F30)&gt;100000,4%,2.5%),IF(F6*F7*F8/12/(1+'数据-取费表'!F30)&gt;100000,12%,7%)))</f>
        <v>7.0000000000000007E-2</v>
      </c>
      <c r="G31" s="1292"/>
      <c r="H31" s="2567" t="s">
        <v>2303</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11604</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18102</v>
      </c>
      <c r="D37" s="1256" t="s">
        <v>743</v>
      </c>
      <c r="E37" s="294" t="s">
        <v>744</v>
      </c>
      <c r="F37" s="321">
        <f ca="1">INDIRECT("'数据-取费表'!Al"&amp;$G$1)</f>
        <v>0.01</v>
      </c>
      <c r="G37" s="1292"/>
      <c r="H37" s="2471"/>
      <c r="I37" s="1305"/>
      <c r="J37" s="1306"/>
      <c r="K37" s="2329"/>
      <c r="L37" s="2471"/>
      <c r="M37" s="2471"/>
    </row>
    <row r="38" spans="1:18" ht="18" customHeight="1" thickBot="1">
      <c r="A38" s="1026" t="s">
        <v>684</v>
      </c>
      <c r="B38" s="1027" t="s">
        <v>728</v>
      </c>
      <c r="C38" s="1028">
        <f ca="1">ROUND(C5*F38,0)</f>
        <v>433</v>
      </c>
      <c r="D38" s="1029" t="s">
        <v>748</v>
      </c>
      <c r="E38" s="1027" t="s">
        <v>744</v>
      </c>
      <c r="F38" s="1023">
        <f ca="1">INDIRECT("'数据-取费表'!Am"&amp;$G$1)</f>
        <v>1E-3</v>
      </c>
      <c r="G38" s="1292"/>
      <c r="H38" s="2471"/>
      <c r="I38" s="1305"/>
      <c r="J38" s="1306"/>
      <c r="K38" s="2469"/>
      <c r="L38" s="2471"/>
      <c r="M38" s="2471"/>
    </row>
    <row r="39" spans="1:18" ht="24.65" customHeight="1" thickTop="1">
      <c r="A39" s="1016" t="s">
        <v>394</v>
      </c>
      <c r="B39" s="1031" t="s">
        <v>772</v>
      </c>
      <c r="C39" s="302">
        <f ca="1">C5-C30</f>
        <v>373879</v>
      </c>
      <c r="D39" s="1032" t="s">
        <v>773</v>
      </c>
      <c r="E39" s="1033"/>
      <c r="F39" s="1034"/>
      <c r="G39" s="1292"/>
      <c r="H39" s="2471"/>
      <c r="I39" s="1305"/>
      <c r="J39" s="1306"/>
      <c r="K39" s="2469"/>
      <c r="L39" s="2471"/>
      <c r="M39" s="2471"/>
    </row>
    <row r="40" spans="1:18" ht="18" customHeight="1">
      <c r="A40" s="291" t="s">
        <v>395</v>
      </c>
      <c r="B40" s="292" t="s">
        <v>774</v>
      </c>
      <c r="C40" s="293">
        <f ca="1">ROUND(C39*(1-((1+F42)/(1+F40))^F41)/(F40-F42),0)</f>
        <v>6086513</v>
      </c>
      <c r="D40" s="316" t="s">
        <v>758</v>
      </c>
      <c r="E40" s="294" t="s">
        <v>759</v>
      </c>
      <c r="F40" s="304">
        <f ca="1">INDIRECT("'数据-取费表'!I"&amp;$G$1)</f>
        <v>5.5E-2</v>
      </c>
      <c r="G40" s="1292"/>
      <c r="H40" s="1366">
        <f ca="1">C39/C5</f>
        <v>0.86378506508208619</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25</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16003</v>
      </c>
      <c r="D43" s="328" t="s">
        <v>777</v>
      </c>
      <c r="E43" s="329" t="s">
        <v>778</v>
      </c>
      <c r="F43" s="330">
        <f ca="1">INDIRECT("'数据-取费表'!k"&amp;$G$1)</f>
        <v>380.34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3346</v>
      </c>
      <c r="B45" s="1307"/>
      <c r="C45" s="1376">
        <f ca="1">ROUND((C68-C40)/10000,4)</f>
        <v>-648.49869999999999</v>
      </c>
      <c r="D45" s="3128" t="s">
        <v>3347</v>
      </c>
      <c r="E45" s="1307"/>
      <c r="F45" s="1307"/>
      <c r="O45" s="1310" t="s">
        <v>808</v>
      </c>
      <c r="P45" s="1366"/>
      <c r="Q45" s="1366"/>
      <c r="R45" s="1366"/>
    </row>
    <row r="46" spans="1:18" s="1292" customFormat="1" ht="14" thickBot="1">
      <c r="A46" s="1311" t="s">
        <v>809</v>
      </c>
      <c r="C46" s="1312">
        <f ca="1">ROUND(C45,0)</f>
        <v>-648</v>
      </c>
      <c r="D46" s="1313" t="str">
        <f>C2</f>
        <v>万元</v>
      </c>
      <c r="I46" s="1314" t="s">
        <v>810</v>
      </c>
      <c r="J46" s="1315"/>
      <c r="K46" s="1316"/>
      <c r="L46" s="1317">
        <f ca="1">IF(M47="住宅",0,IF(L48&gt;J51,L60,J60))</f>
        <v>152224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6086513</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25</v>
      </c>
      <c r="O48" s="1325" t="s">
        <v>404</v>
      </c>
      <c r="P48" s="1326" t="s">
        <v>821</v>
      </c>
      <c r="Q48" s="1327">
        <f ca="1">J60</f>
        <v>152224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2320791</v>
      </c>
      <c r="R49" s="1327" t="s">
        <v>818</v>
      </c>
    </row>
    <row r="50" spans="1:18" s="1292" customFormat="1" ht="13.5" thickBot="1">
      <c r="A50" s="922"/>
      <c r="B50" s="925"/>
      <c r="C50" s="926"/>
      <c r="D50" s="899"/>
      <c r="E50" s="993" t="s">
        <v>697</v>
      </c>
      <c r="F50" s="994">
        <f ca="1">F7</f>
        <v>380.34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4444256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25</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25</v>
      </c>
      <c r="K53" s="3356" t="s">
        <v>837</v>
      </c>
      <c r="L53" s="3357"/>
      <c r="O53" s="1325" t="s">
        <v>409</v>
      </c>
      <c r="P53" s="1326" t="s">
        <v>838</v>
      </c>
      <c r="Q53" s="1327">
        <f ca="1">Q47+Q48</f>
        <v>6238737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1810217</v>
      </c>
      <c r="D56" s="1352"/>
      <c r="E56" s="1353"/>
      <c r="F56" s="1345"/>
      <c r="I56" s="1354" t="s">
        <v>842</v>
      </c>
      <c r="J56" s="1355" t="s">
        <v>3433</v>
      </c>
      <c r="K56" s="1328" t="s">
        <v>843</v>
      </c>
      <c r="L56" s="1331" t="str">
        <f ca="1">IF(L48&lt;J51,"——",L48-J51)</f>
        <v>——</v>
      </c>
      <c r="O56" s="1325" t="s">
        <v>403</v>
      </c>
      <c r="P56" s="1326" t="s">
        <v>817</v>
      </c>
      <c r="Q56" s="1327">
        <f ca="1">C40+J29</f>
        <v>6086513</v>
      </c>
      <c r="R56" s="1327" t="s">
        <v>818</v>
      </c>
    </row>
    <row r="57" spans="1:18" s="1292" customFormat="1" ht="26.5" thickBot="1">
      <c r="A57" s="1356"/>
      <c r="B57" s="896" t="s">
        <v>767</v>
      </c>
      <c r="C57" s="230">
        <f ca="1">C29</f>
        <v>2320791</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29706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928316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152224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6086513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11604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18102</v>
      </c>
      <c r="D65" s="910" t="s">
        <v>743</v>
      </c>
      <c r="E65" s="896" t="s">
        <v>744</v>
      </c>
      <c r="F65" s="321">
        <f t="shared" ca="1" si="0"/>
        <v>0.01</v>
      </c>
      <c r="I65" s="1367" t="s">
        <v>867</v>
      </c>
      <c r="J65" s="610">
        <v>40</v>
      </c>
      <c r="K65" s="610">
        <v>30</v>
      </c>
      <c r="L65" s="610">
        <v>50</v>
      </c>
      <c r="M65" s="1369">
        <v>0.02</v>
      </c>
      <c r="O65" s="1325" t="s">
        <v>403</v>
      </c>
      <c r="P65" s="1326" t="s">
        <v>868</v>
      </c>
      <c r="Q65" s="1327">
        <f ca="1">C40+J29</f>
        <v>6086513</v>
      </c>
      <c r="R65" s="1327" t="s">
        <v>818</v>
      </c>
    </row>
    <row r="66" spans="1:18" s="1292" customFormat="1" ht="16" thickBot="1">
      <c r="A66" s="928" t="s">
        <v>793</v>
      </c>
      <c r="B66" s="896" t="s">
        <v>728</v>
      </c>
      <c r="C66" s="21">
        <f ca="1">ROUND(C48*F66,0)</f>
        <v>0</v>
      </c>
      <c r="D66" s="910" t="s">
        <v>794</v>
      </c>
      <c r="E66" s="896" t="s">
        <v>712</v>
      </c>
      <c r="F66" s="304">
        <f t="shared" ca="1" si="0"/>
        <v>1E-3</v>
      </c>
      <c r="O66" s="1325" t="s">
        <v>404</v>
      </c>
      <c r="P66" s="1326" t="s">
        <v>846</v>
      </c>
      <c r="Q66" s="1327">
        <f ca="1">L60</f>
        <v>0</v>
      </c>
      <c r="R66" s="1327" t="s">
        <v>869</v>
      </c>
    </row>
    <row r="67" spans="1:18" s="1292" customFormat="1" ht="26.5" thickBot="1">
      <c r="A67" s="903" t="s">
        <v>394</v>
      </c>
      <c r="B67" s="913" t="s">
        <v>752</v>
      </c>
      <c r="C67" s="308">
        <f ca="1">C48-C58</f>
        <v>-29706</v>
      </c>
      <c r="D67" s="909" t="s">
        <v>753</v>
      </c>
      <c r="E67" s="914"/>
      <c r="F67" s="915"/>
      <c r="O67" s="1334" t="s">
        <v>405</v>
      </c>
      <c r="P67" s="1326" t="s">
        <v>850</v>
      </c>
      <c r="Q67" s="1370">
        <f ca="1">L51</f>
        <v>4444256</v>
      </c>
      <c r="R67" s="1327" t="s">
        <v>870</v>
      </c>
    </row>
    <row r="68" spans="1:18" s="1292" customFormat="1" ht="16" thickBot="1">
      <c r="A68" s="893" t="s">
        <v>395</v>
      </c>
      <c r="B68" s="894" t="s">
        <v>774</v>
      </c>
      <c r="C68" s="293">
        <f ca="1">ROUND(C67*(1-((1+F70)/(1+F68))^F69)/(F68-F70),0)</f>
        <v>-398474</v>
      </c>
      <c r="D68" s="911" t="s">
        <v>758</v>
      </c>
      <c r="E68" s="896" t="s">
        <v>759</v>
      </c>
      <c r="F68" s="304">
        <f ca="1">F40</f>
        <v>5.5E-2</v>
      </c>
      <c r="O68" s="1334" t="s">
        <v>406</v>
      </c>
      <c r="P68" s="1371" t="s">
        <v>871</v>
      </c>
      <c r="Q68" s="1327">
        <f ca="1">ROUND(Q69-Q70*Q71,0)</f>
        <v>247164</v>
      </c>
      <c r="R68" s="1327" t="s">
        <v>414</v>
      </c>
    </row>
    <row r="69" spans="1:18" s="1292" customFormat="1" ht="13.5" thickBot="1">
      <c r="A69" s="897"/>
      <c r="B69" s="898"/>
      <c r="C69" s="298"/>
      <c r="D69" s="916" t="s">
        <v>762</v>
      </c>
      <c r="E69" s="896" t="s">
        <v>763</v>
      </c>
      <c r="F69" s="324">
        <f ca="1">F41</f>
        <v>25</v>
      </c>
      <c r="O69" s="1334" t="s">
        <v>411</v>
      </c>
      <c r="P69" s="1371" t="s">
        <v>872</v>
      </c>
      <c r="Q69" s="1327">
        <f ca="1">C39</f>
        <v>373879</v>
      </c>
      <c r="R69" s="1327" t="s">
        <v>818</v>
      </c>
    </row>
    <row r="70" spans="1:18" s="1292" customFormat="1" ht="13.5" thickBot="1">
      <c r="A70" s="900"/>
      <c r="B70" s="901"/>
      <c r="C70" s="302"/>
      <c r="D70" s="912"/>
      <c r="E70" s="896" t="s">
        <v>766</v>
      </c>
      <c r="F70" s="991"/>
      <c r="O70" s="1334" t="s">
        <v>412</v>
      </c>
      <c r="P70" s="1371" t="s">
        <v>873</v>
      </c>
      <c r="Q70" s="1327">
        <f ca="1">C13</f>
        <v>1810217</v>
      </c>
      <c r="R70" s="1327" t="s">
        <v>818</v>
      </c>
    </row>
    <row r="71" spans="1:18" s="1292" customFormat="1" ht="13.5" thickBot="1">
      <c r="A71" s="917" t="s">
        <v>396</v>
      </c>
      <c r="B71" s="918" t="s">
        <v>776</v>
      </c>
      <c r="C71" s="327">
        <f ca="1">ROUND(C68/F71,0)</f>
        <v>-1048</v>
      </c>
      <c r="D71" s="919" t="s">
        <v>777</v>
      </c>
      <c r="E71" s="920" t="s">
        <v>778</v>
      </c>
      <c r="F71" s="330">
        <f ca="1">F43</f>
        <v>380.34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126715</v>
      </c>
      <c r="D75" s="1292"/>
      <c r="E75" s="1292"/>
      <c r="F75" s="1292"/>
      <c r="K75" s="1309"/>
      <c r="L75" s="1292"/>
      <c r="O75" s="1325" t="s">
        <v>409</v>
      </c>
      <c r="P75" s="1326" t="s">
        <v>838</v>
      </c>
      <c r="Q75" s="1327">
        <f ca="1">Q65+Q66</f>
        <v>6086513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0.66100000000000003</v>
      </c>
    </row>
    <row r="80" spans="1:18" ht="13">
      <c r="B80" s="331" t="s">
        <v>800</v>
      </c>
      <c r="C80" s="266">
        <f ca="1">ROUND(C75/C39,3)</f>
        <v>0.33900000000000002</v>
      </c>
    </row>
    <row r="81" spans="2:3" ht="13.5">
      <c r="B81" s="262" t="s">
        <v>801</v>
      </c>
      <c r="C81" s="230"/>
    </row>
    <row r="82" spans="2:3" ht="13">
      <c r="B82" s="265" t="s">
        <v>802</v>
      </c>
      <c r="C82" s="267">
        <f ca="1">1-C83</f>
        <v>0.70300000000000007</v>
      </c>
    </row>
    <row r="83" spans="2:3" ht="13">
      <c r="B83" s="265" t="s">
        <v>803</v>
      </c>
      <c r="C83" s="266">
        <f ca="1">ROUND(C13/C40,3)</f>
        <v>0.29699999999999999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1" sqref="C1:S1"/>
      <selection pane="bottomLeft" activeCell="U32" sqref="U3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ht="13">
      <c r="A2" s="930"/>
      <c r="B2" s="622" t="s">
        <v>2086</v>
      </c>
      <c r="C2" s="14" t="str">
        <f t="shared" ref="C2:L2" si="0">C3&amp;"(含)"&amp;"-"&amp;D3</f>
        <v>0(含)-50</v>
      </c>
      <c r="D2" s="623" t="str">
        <f t="shared" si="0"/>
        <v>50(含)-100</v>
      </c>
      <c r="E2" s="623" t="str">
        <f t="shared" si="0"/>
        <v>100(含)-200</v>
      </c>
      <c r="F2" s="623" t="str">
        <f t="shared" si="0"/>
        <v>200(含)-300</v>
      </c>
      <c r="G2" s="623" t="str">
        <f t="shared" si="0"/>
        <v>300(含)-500</v>
      </c>
      <c r="H2" s="623" t="str">
        <f t="shared" si="0"/>
        <v>500(含)-800</v>
      </c>
      <c r="I2" s="623" t="str">
        <f t="shared" si="0"/>
        <v>800(含)-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50</v>
      </c>
      <c r="E3" s="627">
        <f>'比较法-商业'!E103</f>
        <v>100</v>
      </c>
      <c r="F3" s="627">
        <f>'比较法-商业'!F103</f>
        <v>200</v>
      </c>
      <c r="G3" s="627">
        <f>'比较法-商业'!G103</f>
        <v>300</v>
      </c>
      <c r="H3" s="627">
        <f>'比较法-商业'!H103</f>
        <v>500</v>
      </c>
      <c r="I3" s="627">
        <f>'比较法-商业'!I103</f>
        <v>800</v>
      </c>
      <c r="J3" s="627"/>
      <c r="K3" s="627"/>
      <c r="L3" s="627"/>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'比较法-商业'!C104</f>
        <v>100</v>
      </c>
      <c r="D4" s="627">
        <f>'比较法-商业'!D104</f>
        <v>99</v>
      </c>
      <c r="E4" s="627">
        <f>'比较法-商业'!E104</f>
        <v>98</v>
      </c>
      <c r="F4" s="627">
        <f>'比较法-商业'!F104</f>
        <v>97</v>
      </c>
      <c r="G4" s="627">
        <f>'比较法-商业'!G104</f>
        <v>96</v>
      </c>
      <c r="H4" s="627">
        <f>'比较法-商业'!H104</f>
        <v>95</v>
      </c>
      <c r="I4" s="627">
        <f>'比较法-商业'!I104</f>
        <v>94</v>
      </c>
      <c r="J4" s="627"/>
      <c r="K4" s="627"/>
      <c r="L4" s="627"/>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3521"/>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3521" t="s">
        <v>3482</v>
      </c>
      <c r="C13" s="940" t="s">
        <v>3483</v>
      </c>
      <c r="D13" s="941" t="s">
        <v>3484</v>
      </c>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v>100</v>
      </c>
      <c r="D14" s="847">
        <v>60</v>
      </c>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2093</v>
      </c>
      <c r="E19" s="1253"/>
      <c r="F19" s="1253"/>
      <c r="G19" s="1253"/>
      <c r="H19" s="996"/>
      <c r="I19" s="151"/>
      <c r="J19" s="151"/>
      <c r="K19" s="151"/>
      <c r="L19" s="151"/>
      <c r="M19" s="151"/>
      <c r="N19" s="151"/>
      <c r="O19" s="151"/>
      <c r="P19" s="151"/>
      <c r="Q19" s="151"/>
      <c r="R19" s="151"/>
      <c r="S19" s="121"/>
    </row>
    <row r="20" spans="1:45" ht="16"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2097</v>
      </c>
      <c r="B22" s="21">
        <f>SUM(B24:B10000)</f>
        <v>785.23</v>
      </c>
      <c r="C22" s="3451" t="s">
        <v>27</v>
      </c>
      <c r="D22" s="3452"/>
      <c r="E22" s="3452"/>
      <c r="F22" s="3452"/>
      <c r="G22" s="3452"/>
      <c r="H22" s="3452"/>
      <c r="I22" s="3452"/>
      <c r="J22" s="3452"/>
      <c r="K22" s="3452"/>
      <c r="L22" s="3452"/>
      <c r="M22" s="3452"/>
      <c r="N22" s="3452"/>
      <c r="O22" s="3452"/>
      <c r="P22" s="3452"/>
      <c r="Q22" s="3453"/>
      <c r="R22" s="21">
        <f ca="1">ROUND(S22*10000/B22,0)</f>
        <v>20542</v>
      </c>
      <c r="S22" s="21">
        <f ca="1">SUM(S24:S10000)</f>
        <v>1613</v>
      </c>
    </row>
    <row r="23" spans="1:45" s="9" customFormat="1" ht="26">
      <c r="A23" s="8" t="s">
        <v>2098</v>
      </c>
      <c r="B23" s="8" t="s">
        <v>2099</v>
      </c>
      <c r="C23" s="8" t="s">
        <v>2100</v>
      </c>
      <c r="D23" s="8">
        <f>B5</f>
        <v>0</v>
      </c>
      <c r="E23" s="8" t="s">
        <v>2100</v>
      </c>
      <c r="F23" s="8" t="str">
        <f>B7</f>
        <v>修正项3</v>
      </c>
      <c r="G23" s="8" t="s">
        <v>2100</v>
      </c>
      <c r="H23" s="8" t="str">
        <f>B9</f>
        <v>修正项4</v>
      </c>
      <c r="I23" s="8" t="s">
        <v>2100</v>
      </c>
      <c r="J23" s="8" t="str">
        <f>B11</f>
        <v>修正项5</v>
      </c>
      <c r="K23" s="8" t="s">
        <v>2100</v>
      </c>
      <c r="L23" s="8" t="str">
        <f>B13</f>
        <v>楼层</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v>101</v>
      </c>
      <c r="B24" s="633">
        <f>'数据-汇总表'!E19</f>
        <v>380.34</v>
      </c>
      <c r="C24" s="2568">
        <v>1</v>
      </c>
      <c r="D24" s="2569"/>
      <c r="E24" s="2568">
        <v>1</v>
      </c>
      <c r="F24" s="2569"/>
      <c r="G24" s="2568">
        <v>1</v>
      </c>
      <c r="H24" s="2569"/>
      <c r="I24" s="2568">
        <v>1</v>
      </c>
      <c r="J24" s="2569"/>
      <c r="K24" s="2568">
        <v>1</v>
      </c>
      <c r="L24" s="2569" t="s">
        <v>3454</v>
      </c>
      <c r="M24" s="2568">
        <v>1</v>
      </c>
      <c r="N24" s="2569"/>
      <c r="O24" s="2568">
        <v>1</v>
      </c>
      <c r="P24" s="2569"/>
      <c r="Q24" s="2568">
        <v>1</v>
      </c>
      <c r="R24" s="633">
        <f ca="1">结果表101!I118</f>
        <v>25881</v>
      </c>
      <c r="S24" s="634">
        <f t="shared" ref="S24:S54" ca="1" si="11">ROUND(R24*B24/10000,0)</f>
        <v>984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v>501</v>
      </c>
      <c r="B25" s="52">
        <f>'数据-汇总表'!E20</f>
        <v>404.89</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t="s">
        <v>3485</v>
      </c>
      <c r="M25" s="21">
        <f>(SUMIF($13:$13,L25,$14:$14)-SUMIF($13:$13,$L$24,$14:$14)+100)/100</f>
        <v>0.6</v>
      </c>
      <c r="N25" s="635"/>
      <c r="O25" s="21">
        <f>(SUMIF($15:$15,N25,$16:$16)-SUMIF($15:$15,$N$24,$16:$16)+100)/100</f>
        <v>1</v>
      </c>
      <c r="P25" s="635"/>
      <c r="Q25" s="21">
        <f>(SUMIF($17:$17,P25,$18:$18)-SUMIF($17:$17,$P$24,$18:$18)+100)/100</f>
        <v>1</v>
      </c>
      <c r="R25" s="21">
        <f ca="1">IF(B25="",0,ROUND($R$24*C25*E25*G25*I25*K25*M25*O25*Q25,0))</f>
        <v>15529</v>
      </c>
      <c r="S25" s="308">
        <f t="shared" ca="1" si="11"/>
        <v>629</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0</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0</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0</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60B96-8C3A-4FFF-B10D-310E64088C1A}">
  <sheetPr>
    <tabColor rgb="FF7030A0"/>
  </sheetPr>
  <dimension ref="N4:R10"/>
  <sheetViews>
    <sheetView workbookViewId="0">
      <selection activeCell="P11" sqref="P11"/>
    </sheetView>
  </sheetViews>
  <sheetFormatPr defaultRowHeight="14"/>
  <cols>
    <col min="15" max="15" width="13.54296875" customWidth="1"/>
  </cols>
  <sheetData>
    <row r="4" spans="14:18">
      <c r="N4" s="1405" t="s">
        <v>3453</v>
      </c>
    </row>
    <row r="5" spans="14:18">
      <c r="N5" s="1405" t="s">
        <v>3478</v>
      </c>
      <c r="R5" s="1405"/>
    </row>
    <row r="6" spans="14:18">
      <c r="N6" s="1405" t="s">
        <v>3479</v>
      </c>
    </row>
    <row r="8" spans="14:18">
      <c r="N8" s="1405" t="s">
        <v>3452</v>
      </c>
    </row>
    <row r="9" spans="14:18">
      <c r="N9" s="1405" t="s">
        <v>3477</v>
      </c>
      <c r="O9" s="1405"/>
    </row>
    <row r="10" spans="14:18">
      <c r="O10" s="1405"/>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71703-7E77-4CD9-B6E0-D96F7E2C9C64}">
  <sheetPr>
    <tabColor rgb="FFFFFF00"/>
  </sheetPr>
  <dimension ref="A1"/>
  <sheetViews>
    <sheetView workbookViewId="0"/>
  </sheetViews>
  <sheetFormatPr defaultRowHeight="1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284-9904-44B5-8F9A-D82607B9AAC6}">
  <sheetPr>
    <tabColor rgb="FFFF0000"/>
  </sheetPr>
  <dimension ref="A1:AJ512"/>
  <sheetViews>
    <sheetView view="pageBreakPreview" zoomScaleNormal="100" zoomScaleSheetLayoutView="100" zoomScalePageLayoutView="80" workbookViewId="0">
      <selection activeCell="E14" sqref="E1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101</v>
      </c>
      <c r="D1" s="646"/>
      <c r="E1" s="646"/>
      <c r="F1" s="1621" t="s">
        <v>1263</v>
      </c>
      <c r="G1" s="1453" t="s">
        <v>3426</v>
      </c>
      <c r="H1" s="1621" t="str">
        <f>IF(G1="现房","——","估价对象范围")</f>
        <v>——</v>
      </c>
      <c r="I1" s="1622"/>
    </row>
    <row r="2" spans="1:12" ht="21.75" customHeight="1" thickBot="1">
      <c r="A2" s="3293" t="str">
        <f>项目基本情况!S2</f>
        <v>北京市通州区新海东路15号楼1层101、4层501房地产</v>
      </c>
      <c r="B2" s="3294"/>
      <c r="C2" s="3294"/>
      <c r="D2" s="3294"/>
      <c r="E2" s="3294"/>
      <c r="F2" s="3294"/>
      <c r="G2" s="3294"/>
      <c r="H2" s="3294"/>
      <c r="I2" s="3295"/>
    </row>
    <row r="3" spans="1:12" ht="13">
      <c r="A3" s="3297" t="s">
        <v>1264</v>
      </c>
      <c r="B3" s="3298"/>
      <c r="C3" s="3298"/>
      <c r="D3" s="3298"/>
      <c r="E3" s="3298"/>
      <c r="F3" s="3298"/>
      <c r="G3" s="3298"/>
      <c r="H3" s="3298"/>
      <c r="I3" s="3298"/>
    </row>
    <row r="4" spans="1:12" ht="14">
      <c r="A4" s="1624" t="s">
        <v>1265</v>
      </c>
      <c r="B4" s="1625" t="s">
        <v>1266</v>
      </c>
      <c r="C4" s="1626" t="s">
        <v>3448</v>
      </c>
      <c r="D4" s="1626" t="s">
        <v>3444</v>
      </c>
      <c r="E4" s="3299" t="s">
        <v>1267</v>
      </c>
      <c r="F4" s="3300"/>
      <c r="G4" s="3300"/>
      <c r="H4" s="3300"/>
      <c r="I4" s="3301"/>
      <c r="K4" s="138" t="str">
        <f>IF(ISNUMBER(FIND("比较法",'结果表101成本法、收益法'!C4)),"比较法",IF(ISNUMBER(FIND("成本法",'结果表101成本法、收益法'!C4)),"成本法",IF(ISNUMBER(FIND("假设开发法",'结果表101成本法、收益法'!C4)),"假设开发法",IF(ISNUMBER(FIND("收益法",'结果表101成本法、收益法'!C4)),"收益法","基准地价系数修正法"))))</f>
        <v>成本法</v>
      </c>
      <c r="L4" s="138" t="str">
        <f>IF(ISNUMBER(FIND("比较法",'结果表101成本法、收益法'!D4)),"比较法",IF(ISNUMBER(FIND("成本法",'结果表101成本法、收益法'!D4)),"成本法",IF(ISNUMBER(FIND("假设开发法",'结果表101成本法、收益法'!D4)),"假设开发法",IF(ISNUMBER(FIND("收益法",'结果表101成本法、收益法'!D4)),"收益法","基准地价系数修正法"))))</f>
        <v>收益法</v>
      </c>
    </row>
    <row r="5" spans="1:12" ht="13">
      <c r="A5" s="3273" t="s">
        <v>1268</v>
      </c>
      <c r="B5" s="3260">
        <v>25</v>
      </c>
      <c r="C5" s="3276"/>
      <c r="D5" s="3296"/>
      <c r="E5" s="123" t="s">
        <v>1269</v>
      </c>
      <c r="F5" s="1627"/>
      <c r="G5" s="1627"/>
      <c r="H5" s="1627"/>
      <c r="I5" s="1281"/>
    </row>
    <row r="6" spans="1:12" ht="13">
      <c r="A6" s="3273"/>
      <c r="B6" s="3260"/>
      <c r="C6" s="3277"/>
      <c r="D6" s="3296"/>
      <c r="E6" s="123" t="s">
        <v>1270</v>
      </c>
      <c r="F6" s="1627"/>
      <c r="G6" s="1627"/>
      <c r="H6" s="1627"/>
      <c r="I6" s="1281"/>
    </row>
    <row r="7" spans="1:12" ht="13">
      <c r="A7" s="3273"/>
      <c r="B7" s="3260"/>
      <c r="C7" s="3278"/>
      <c r="D7" s="3296"/>
      <c r="E7" s="123" t="s">
        <v>1271</v>
      </c>
      <c r="F7" s="1627"/>
      <c r="G7" s="1627"/>
      <c r="H7" s="1627"/>
      <c r="I7" s="1281"/>
    </row>
    <row r="8" spans="1:12" ht="13">
      <c r="A8" s="3273" t="s">
        <v>1272</v>
      </c>
      <c r="B8" s="3260">
        <v>15</v>
      </c>
      <c r="C8" s="3276"/>
      <c r="D8" s="3296"/>
      <c r="E8" s="123" t="s">
        <v>1273</v>
      </c>
      <c r="F8" s="1627"/>
      <c r="G8" s="1627"/>
      <c r="H8" s="1627"/>
      <c r="I8" s="1281"/>
    </row>
    <row r="9" spans="1:12" ht="13">
      <c r="A9" s="3273"/>
      <c r="B9" s="3260"/>
      <c r="C9" s="3278"/>
      <c r="D9" s="3296"/>
      <c r="E9" s="123" t="s">
        <v>1274</v>
      </c>
      <c r="F9" s="1627"/>
      <c r="G9" s="1627"/>
      <c r="H9" s="1627"/>
      <c r="I9" s="1281"/>
    </row>
    <row r="10" spans="1:12" ht="13">
      <c r="A10" s="3273" t="s">
        <v>1275</v>
      </c>
      <c r="B10" s="3260">
        <v>15</v>
      </c>
      <c r="C10" s="3276"/>
      <c r="D10" s="3296"/>
      <c r="E10" s="123" t="s">
        <v>1276</v>
      </c>
      <c r="F10" s="1627"/>
      <c r="G10" s="1627"/>
      <c r="H10" s="1627"/>
      <c r="I10" s="1281"/>
    </row>
    <row r="11" spans="1:12" ht="13">
      <c r="A11" s="3273"/>
      <c r="B11" s="3260"/>
      <c r="C11" s="3278"/>
      <c r="D11" s="3296"/>
      <c r="E11" s="123" t="s">
        <v>1277</v>
      </c>
      <c r="F11" s="1627"/>
      <c r="G11" s="1627"/>
      <c r="H11" s="1627"/>
      <c r="I11" s="1281"/>
    </row>
    <row r="12" spans="1:12" ht="13">
      <c r="A12" s="3273" t="s">
        <v>1278</v>
      </c>
      <c r="B12" s="3260">
        <v>15</v>
      </c>
      <c r="C12" s="3276"/>
      <c r="D12" s="3296"/>
      <c r="E12" s="123" t="s">
        <v>1279</v>
      </c>
      <c r="F12" s="1627"/>
      <c r="G12" s="1627"/>
      <c r="H12" s="1627"/>
      <c r="I12" s="1281"/>
    </row>
    <row r="13" spans="1:12" ht="13">
      <c r="A13" s="3273"/>
      <c r="B13" s="3260"/>
      <c r="C13" s="3278"/>
      <c r="D13" s="3296"/>
      <c r="E13" s="123" t="s">
        <v>1280</v>
      </c>
      <c r="F13" s="1627"/>
      <c r="G13" s="1627"/>
      <c r="H13" s="1627"/>
      <c r="I13" s="1281"/>
    </row>
    <row r="14" spans="1:12" ht="13">
      <c r="A14" s="3273" t="s">
        <v>1281</v>
      </c>
      <c r="B14" s="3260">
        <v>30</v>
      </c>
      <c r="C14" s="3276">
        <v>5</v>
      </c>
      <c r="D14" s="3296">
        <v>5</v>
      </c>
      <c r="E14" s="123" t="s">
        <v>1282</v>
      </c>
      <c r="F14" s="1627"/>
      <c r="G14" s="1627"/>
      <c r="H14" s="1627"/>
      <c r="I14" s="1281"/>
    </row>
    <row r="15" spans="1:12" ht="13">
      <c r="A15" s="3273"/>
      <c r="B15" s="3260"/>
      <c r="C15" s="3277"/>
      <c r="D15" s="3296"/>
      <c r="E15" s="123" t="s">
        <v>1283</v>
      </c>
      <c r="F15" s="1627"/>
      <c r="G15" s="1627"/>
      <c r="H15" s="1627"/>
      <c r="I15" s="1281"/>
    </row>
    <row r="16" spans="1:12" ht="13">
      <c r="A16" s="3273"/>
      <c r="B16" s="3260"/>
      <c r="C16" s="3278"/>
      <c r="D16" s="3296"/>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3" t="s">
        <v>2128</v>
      </c>
      <c r="F18" s="3284"/>
      <c r="G18" s="3284"/>
      <c r="H18" s="3284"/>
      <c r="I18" s="3284"/>
      <c r="K18" s="294" t="s">
        <v>1289</v>
      </c>
      <c r="L18" s="294">
        <f>IF(C1="",'数据-汇总表'!E3,SUMIF(项目类型,C1,'数据-汇总表'!E17:E26)+SUMIF(项目类型,C1,'数据-汇总表'!I17:I26))</f>
        <v>380.34</v>
      </c>
      <c r="M18" s="294">
        <f>IF(C1="",'数据-汇总表'!E3,SUMIF(项目类型,C1,'数据-汇总表'!E17:E26))</f>
        <v>380.34</v>
      </c>
    </row>
    <row r="19" spans="1:36" ht="14">
      <c r="A19" s="1630" t="s">
        <v>1290</v>
      </c>
      <c r="B19" s="1631" t="s">
        <v>1291</v>
      </c>
      <c r="C19" s="126">
        <f ca="1">SUMIF(INDIRECT("'"&amp;C4&amp;"'"&amp;"!A:A"),'结果表101成本法、收益法'!B19,INDIRECT("'"&amp;C4&amp;"'"&amp;"!B:B"))</f>
        <v>801.51459999999997</v>
      </c>
      <c r="D19" s="127">
        <f ca="1">SUMIF(INDIRECT("'"&amp;D4&amp;"'"&amp;"!A:A"),'结果表101成本法、收益法'!B19,INDIRECT("'"&amp;D4&amp;"'"&amp;"!B:B"))</f>
        <v>623.87369999999999</v>
      </c>
      <c r="E19" s="1630" t="s">
        <v>1292</v>
      </c>
      <c r="F19" s="1631" t="s">
        <v>1291</v>
      </c>
      <c r="G19" s="128">
        <f ca="1">ROUND(C19*$C$18+D19*$D$18,0)</f>
        <v>713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SUMIF(INDIRECT("'"&amp;C4&amp;"'"&amp;"!A:A"),'结果表101成本法、收益法'!B20,INDIRECT("'"&amp;C4&amp;"'"&amp;"!B:B"))</f>
        <v>21074</v>
      </c>
      <c r="D20" s="130">
        <f ca="1">SUMIF(INDIRECT("'"&amp;D4&amp;"'"&amp;"!A:A"),'结果表101成本法、收益法'!B20,INDIRECT("'"&amp;D4&amp;"'"&amp;"!B:B"))</f>
        <v>16403</v>
      </c>
      <c r="E20" s="1633"/>
      <c r="F20" s="43" t="s">
        <v>1295</v>
      </c>
      <c r="G20" s="131">
        <f ca="1">ROUND(C20*$C$18+D20*$D$18,0)</f>
        <v>18739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0.28473856166720912</v>
      </c>
      <c r="E22" s="121"/>
      <c r="F22" s="121"/>
      <c r="G22" s="121"/>
      <c r="H22" s="121"/>
      <c r="I22" s="121"/>
    </row>
    <row r="23" spans="1:36" ht="13" thickBot="1">
      <c r="A23" s="646"/>
      <c r="B23" s="646"/>
      <c r="C23" s="646"/>
      <c r="D23" s="646"/>
      <c r="E23" s="121"/>
      <c r="F23" s="121"/>
      <c r="G23" s="121"/>
      <c r="H23" s="121"/>
      <c r="I23" s="121"/>
    </row>
    <row r="24" spans="1:36" ht="14">
      <c r="A24" s="3267" t="s">
        <v>1299</v>
      </c>
      <c r="B24" s="1631" t="s">
        <v>1291</v>
      </c>
      <c r="C24" s="128">
        <f>IF(B30=0,0,D30)</f>
        <v>0</v>
      </c>
      <c r="D24" s="1637"/>
      <c r="E24" s="121"/>
      <c r="F24" s="121"/>
      <c r="G24" s="121"/>
      <c r="H24" s="121"/>
      <c r="I24" s="121"/>
    </row>
    <row r="25" spans="1:36" ht="14">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2129</v>
      </c>
      <c r="F30" s="121"/>
      <c r="G30" s="121"/>
      <c r="H30" s="121"/>
      <c r="I30" s="121"/>
    </row>
    <row r="31" spans="1:36" s="2132" customFormat="1" ht="26.5"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18739</v>
      </c>
      <c r="D32" s="1641" t="s">
        <v>3480</v>
      </c>
      <c r="E32" s="121"/>
      <c r="F32" s="121"/>
      <c r="G32" s="121"/>
      <c r="H32" s="121"/>
      <c r="I32" s="121"/>
    </row>
    <row r="33" spans="1:15" ht="14">
      <c r="A33" s="740" t="s">
        <v>1306</v>
      </c>
      <c r="B33" s="123"/>
      <c r="C33" s="1642" t="s">
        <v>3481</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7" t="s">
        <v>1312</v>
      </c>
      <c r="B36" s="1652" t="s">
        <v>1313</v>
      </c>
      <c r="C36" s="137"/>
      <c r="D36" s="1653"/>
      <c r="E36" s="1567"/>
      <c r="F36" s="1654"/>
      <c r="G36" s="121"/>
      <c r="H36" s="121"/>
      <c r="I36" s="121"/>
    </row>
    <row r="37" spans="1:15" ht="14.5" thickBot="1">
      <c r="A37" s="3288"/>
      <c r="B37" s="1555" t="s">
        <v>1314</v>
      </c>
      <c r="C37" s="139"/>
      <c r="D37" s="1071"/>
      <c r="E37" s="1071"/>
      <c r="F37" s="1654"/>
      <c r="G37" s="121"/>
      <c r="H37" s="121"/>
      <c r="I37" s="121"/>
    </row>
    <row r="38" spans="1:15" ht="14.5" thickBot="1">
      <c r="A38" s="3289"/>
      <c r="B38" s="1655" t="s">
        <v>1315</v>
      </c>
      <c r="C38" s="641"/>
      <c r="D38" s="1656" t="s">
        <v>1316</v>
      </c>
      <c r="E38" s="1071"/>
      <c r="F38" s="1654"/>
      <c r="G38" s="121"/>
      <c r="H38" s="121"/>
      <c r="I38" s="121"/>
    </row>
    <row r="39" spans="1:15" ht="14">
      <c r="A39" s="1633" t="s">
        <v>1317</v>
      </c>
      <c r="B39" s="1657" t="s">
        <v>1301</v>
      </c>
      <c r="C39" s="1658" t="s">
        <v>1302</v>
      </c>
      <c r="D39" s="1658" t="s">
        <v>1320</v>
      </c>
      <c r="E39" s="1659" t="s">
        <v>1303</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713</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08">
        <v>1</v>
      </c>
      <c r="K46" s="3323" t="s">
        <v>1331</v>
      </c>
      <c r="L46" s="3323"/>
      <c r="M46" s="3343"/>
      <c r="N46" s="3343"/>
      <c r="O46" s="3343"/>
    </row>
    <row r="47" spans="1:15" ht="12" customHeight="1">
      <c r="A47" s="152" t="s">
        <v>1332</v>
      </c>
      <c r="B47" s="153"/>
      <c r="C47" s="154"/>
      <c r="D47" s="1024" t="s">
        <v>1333</v>
      </c>
      <c r="E47" s="294" t="s">
        <v>1334</v>
      </c>
      <c r="F47" s="155" t="s">
        <v>1335</v>
      </c>
      <c r="G47" s="2331" t="s">
        <v>1336</v>
      </c>
      <c r="H47" s="2332"/>
      <c r="I47" s="151"/>
      <c r="J47" s="2308">
        <v>2</v>
      </c>
      <c r="K47" s="3323" t="s">
        <v>1337</v>
      </c>
      <c r="L47" s="3323"/>
      <c r="M47" s="3344">
        <f>'数据-取费表'!B2</f>
        <v>45910</v>
      </c>
      <c r="N47" s="3344"/>
      <c r="O47" s="3344"/>
    </row>
    <row r="48" spans="1:15" ht="26">
      <c r="A48" s="3292" t="s">
        <v>1338</v>
      </c>
      <c r="B48" s="3275"/>
      <c r="C48" s="327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3" t="s">
        <v>1340</v>
      </c>
      <c r="L48" s="3323"/>
      <c r="M48" s="3345">
        <f ca="1">H101</f>
        <v>713</v>
      </c>
      <c r="N48" s="3345"/>
      <c r="O48" s="3345"/>
    </row>
    <row r="49" spans="1:35" ht="25.5" customHeight="1">
      <c r="A49" s="2151" t="s">
        <v>1341</v>
      </c>
      <c r="B49" s="3259" t="s">
        <v>1342</v>
      </c>
      <c r="C49" s="3259"/>
      <c r="D49" s="1478">
        <v>0</v>
      </c>
      <c r="E49" s="316" t="s">
        <v>1343</v>
      </c>
      <c r="F49" s="2231" t="s">
        <v>28</v>
      </c>
      <c r="G49" s="3329"/>
      <c r="H49" s="2133" t="s">
        <v>2131</v>
      </c>
      <c r="I49" s="2134"/>
      <c r="J49" s="2308">
        <v>4</v>
      </c>
      <c r="K49" s="3323" t="str">
        <f>IF(项目基本情况!E8="房地产抵押价值","房地产抵押价值","抵押担保权已注销时的房地产抵押价值")</f>
        <v>房地产抵押价值</v>
      </c>
      <c r="L49" s="3323"/>
      <c r="M49" s="3345">
        <f ca="1">IF(项目基本情况!E8="房地产抵押价值",H107,H109)</f>
        <v>713</v>
      </c>
      <c r="N49" s="3345"/>
      <c r="O49" s="3345"/>
    </row>
    <row r="50" spans="1:35" ht="25.5" customHeight="1">
      <c r="A50" s="2336"/>
      <c r="B50" s="3259" t="s">
        <v>1344</v>
      </c>
      <c r="C50" s="3259"/>
      <c r="D50" s="2188"/>
      <c r="E50" s="323"/>
      <c r="F50" s="2231"/>
      <c r="G50" s="3330"/>
      <c r="H50" s="2135" t="s">
        <v>2132</v>
      </c>
      <c r="I50" s="2134"/>
      <c r="J50" s="3342" t="s">
        <v>1345</v>
      </c>
      <c r="K50" s="3342"/>
      <c r="L50" s="3342"/>
      <c r="M50" s="3342"/>
      <c r="N50" s="3342"/>
      <c r="O50" s="3342"/>
    </row>
    <row r="51" spans="1:35" ht="20.5" customHeight="1">
      <c r="A51" s="2337"/>
      <c r="B51" s="3259" t="s">
        <v>1346</v>
      </c>
      <c r="C51" s="3259"/>
      <c r="D51" s="1024"/>
      <c r="E51" s="319"/>
      <c r="F51" s="2231"/>
      <c r="G51" s="3331"/>
      <c r="H51" s="2135" t="s">
        <v>2133</v>
      </c>
      <c r="I51" s="2134"/>
      <c r="J51" s="2309" t="s">
        <v>1347</v>
      </c>
      <c r="K51" s="3323" t="s">
        <v>1348</v>
      </c>
      <c r="L51" s="3323"/>
      <c r="M51" s="2309" t="s">
        <v>1349</v>
      </c>
      <c r="N51" s="2309" t="s">
        <v>1350</v>
      </c>
      <c r="O51" s="2309" t="s">
        <v>1351</v>
      </c>
    </row>
    <row r="52" spans="1:35" ht="24" customHeight="1">
      <c r="A52" s="2152" t="s">
        <v>1352</v>
      </c>
      <c r="B52" s="3259" t="s">
        <v>1353</v>
      </c>
      <c r="C52" s="3259"/>
      <c r="D52" s="1024">
        <f ca="1">ROUND(D45*'数据-取费表'!B41/(1+'数据-取费表'!C42),0)</f>
        <v>38</v>
      </c>
      <c r="E52" s="1256" t="s">
        <v>1354</v>
      </c>
      <c r="F52" s="2338">
        <f>'数据-取费表'!B41</f>
        <v>5.6000000000000001E-2</v>
      </c>
      <c r="G52" s="2339"/>
      <c r="H52" s="2329"/>
      <c r="I52" s="1669"/>
      <c r="J52" s="2308">
        <v>1</v>
      </c>
      <c r="K52" s="3324" t="s">
        <v>1355</v>
      </c>
      <c r="L52" s="3324"/>
      <c r="M52" s="2310" t="b">
        <f>D48</f>
        <v>0</v>
      </c>
      <c r="N52" s="2308" t="str">
        <f>E48</f>
        <v>销售额×税（费）率</v>
      </c>
      <c r="O52" s="2311">
        <f>F48</f>
        <v>5.6000000000000001E-2</v>
      </c>
    </row>
    <row r="53" spans="1:35" ht="12" customHeight="1">
      <c r="A53" s="2152" t="s">
        <v>1356</v>
      </c>
      <c r="B53" s="3285" t="s">
        <v>2288</v>
      </c>
      <c r="C53" s="3286"/>
      <c r="D53" s="1024">
        <f ca="1">ROUND(D45*'数据-取费表'!B41/(1+'数据-取费表'!C42),0)</f>
        <v>38</v>
      </c>
      <c r="E53" s="1256" t="s">
        <v>1354</v>
      </c>
      <c r="F53" s="2338">
        <f>'数据-取费表'!B41</f>
        <v>5.6000000000000001E-2</v>
      </c>
      <c r="G53" s="2339"/>
      <c r="H53" s="2329"/>
      <c r="I53" s="1669"/>
      <c r="J53" s="2308">
        <v>2</v>
      </c>
      <c r="K53" s="3324" t="s">
        <v>1357</v>
      </c>
      <c r="L53" s="3324"/>
      <c r="M53" s="2310">
        <f t="shared" ref="M53:O54" ca="1" si="0">D55</f>
        <v>0</v>
      </c>
      <c r="N53" s="2308" t="str">
        <f t="shared" si="0"/>
        <v>销售额×税（费）率</v>
      </c>
      <c r="O53" s="2311" t="str">
        <f t="shared" si="0"/>
        <v>免征</v>
      </c>
    </row>
    <row r="54" spans="1:35" ht="12" customHeight="1">
      <c r="A54" s="2152" t="s">
        <v>1358</v>
      </c>
      <c r="B54" s="3285" t="s">
        <v>2289</v>
      </c>
      <c r="C54" s="3286"/>
      <c r="D54" s="1024">
        <f ca="1">C68</f>
        <v>38</v>
      </c>
      <c r="E54" s="319" t="s">
        <v>1359</v>
      </c>
      <c r="F54" s="2338">
        <f>'数据-取费表'!B41</f>
        <v>5.6000000000000001E-2</v>
      </c>
      <c r="G54" s="2339"/>
      <c r="H54" s="2340"/>
      <c r="I54" s="1669"/>
      <c r="J54" s="2308">
        <v>3</v>
      </c>
      <c r="K54" s="3324" t="s">
        <v>1360</v>
      </c>
      <c r="L54" s="3324"/>
      <c r="M54" s="2310">
        <f t="shared" ca="1" si="0"/>
        <v>404</v>
      </c>
      <c r="N54" s="2308" t="str">
        <f t="shared" si="0"/>
        <v>增值额×税（费）率</v>
      </c>
      <c r="O54" s="2312" t="str">
        <f t="shared" si="0"/>
        <v>免征</v>
      </c>
    </row>
    <row r="55" spans="1:35" ht="24" customHeight="1">
      <c r="A55" s="3274" t="s">
        <v>1361</v>
      </c>
      <c r="B55" s="3275"/>
      <c r="C55" s="3275"/>
      <c r="D55" s="12">
        <f ca="1">IF(H55="个人住宅",0,ROUND(D45*I55,0))</f>
        <v>0</v>
      </c>
      <c r="E55" s="1256" t="s">
        <v>1362</v>
      </c>
      <c r="F55" s="2338" t="str">
        <f>IF(H55="正常",I55,"免征")</f>
        <v>免征</v>
      </c>
      <c r="G55" s="2339"/>
      <c r="H55" s="2335"/>
      <c r="I55" s="157">
        <f>'数据-取费表'!B49</f>
        <v>5.0000000000000001E-4</v>
      </c>
      <c r="J55" s="2308">
        <f>IF(H59="非个人房产","",4)</f>
        <v>4</v>
      </c>
      <c r="K55" s="3324" t="str">
        <f>IF(H59="非个人房产","——","个人所得税")</f>
        <v>个人所得税</v>
      </c>
      <c r="L55" s="3324"/>
      <c r="M55" s="2313">
        <f ca="1">D59</f>
        <v>7</v>
      </c>
      <c r="N55" s="1883" t="str">
        <f>E59</f>
        <v>差额计税</v>
      </c>
      <c r="O55" s="2314">
        <f>F59</f>
        <v>0.01</v>
      </c>
    </row>
    <row r="56" spans="1:35" ht="26">
      <c r="A56" s="3274" t="s">
        <v>1363</v>
      </c>
      <c r="B56" s="3275"/>
      <c r="C56" s="3275"/>
      <c r="D56" s="12">
        <f ca="1">IF(H56="个人住宅",D57,D58)</f>
        <v>404</v>
      </c>
      <c r="E56" s="1256" t="s">
        <v>1364</v>
      </c>
      <c r="F56" s="2338" t="str">
        <f>IF(H56="正常",F58,"免征")</f>
        <v>免征</v>
      </c>
      <c r="G56" s="2341" t="s">
        <v>1365</v>
      </c>
      <c r="H56" s="2342"/>
      <c r="I56" s="1670"/>
      <c r="J56" s="2308" t="str">
        <f>IF(项目基本情况!K6="上海银行",IF(J55="",4,J55+1),"")</f>
        <v/>
      </c>
      <c r="K56" s="3347" t="str">
        <f>IF(项目基本情况!K6="上海银行","其他处置费用","")</f>
        <v/>
      </c>
      <c r="L56" s="3348"/>
      <c r="M56" s="2310" t="str">
        <f>IF(项目基本情况!K6="上海银行",M69,"")</f>
        <v/>
      </c>
      <c r="N56" s="3347" t="str">
        <f>IF(项目基本情况!K6="上海银行","包含处置中涉及的律师、诉讼、拍卖、评估等费用","")</f>
        <v/>
      </c>
      <c r="O56" s="3350"/>
    </row>
    <row r="57" spans="1:35" ht="13">
      <c r="A57" s="2152" t="s">
        <v>1341</v>
      </c>
      <c r="B57" s="3285" t="s">
        <v>1366</v>
      </c>
      <c r="C57" s="3286"/>
      <c r="D57" s="1478">
        <v>0</v>
      </c>
      <c r="E57" s="316" t="s">
        <v>1343</v>
      </c>
      <c r="F57" s="294"/>
      <c r="G57" s="2339"/>
      <c r="H57" s="2343"/>
      <c r="I57" s="1670"/>
      <c r="J57" s="3324">
        <f>IF(AND(J55="",J56=""),4,IF(项目基本情况!K6="上海银行",'结果表101成本法、收益法'!J56+1,'结果表101成本法、收益法'!J55+1))</f>
        <v>5</v>
      </c>
      <c r="K57" s="3324" t="s">
        <v>1367</v>
      </c>
      <c r="L57" s="2315" t="s">
        <v>1368</v>
      </c>
      <c r="M57" s="2316"/>
      <c r="N57" s="2317">
        <f ca="1">SUMIF(M52:M56,"&lt;9e307")</f>
        <v>411</v>
      </c>
      <c r="O57" s="2318"/>
      <c r="P57" s="2462">
        <f ca="1">N57/M49</f>
        <v>0.57643758765778397</v>
      </c>
    </row>
    <row r="58" spans="1:35" ht="26">
      <c r="A58" s="2152" t="s">
        <v>1352</v>
      </c>
      <c r="B58" s="3285" t="s">
        <v>1369</v>
      </c>
      <c r="C58" s="3259"/>
      <c r="D58" s="12">
        <f ca="1">IF(H58="转让取得",C81,C97)</f>
        <v>404</v>
      </c>
      <c r="E58" s="1256" t="s">
        <v>1364</v>
      </c>
      <c r="F58" s="294" t="s">
        <v>28</v>
      </c>
      <c r="G58" s="2339"/>
      <c r="H58" s="2342"/>
      <c r="I58" s="1670"/>
      <c r="J58" s="3324"/>
      <c r="K58" s="3324"/>
      <c r="L58" s="2315" t="s">
        <v>1370</v>
      </c>
      <c r="M58" s="2319"/>
      <c r="N58" s="2320" t="str">
        <f ca="1">NUMBERSTRING(INT(N57*10000),2)&amp;"元整"</f>
        <v>肆佰壹拾壹万元整</v>
      </c>
      <c r="O58" s="2321"/>
    </row>
    <row r="59" spans="1:35" ht="26.5" thickBot="1">
      <c r="A59" s="3327" t="s">
        <v>1371</v>
      </c>
      <c r="B59" s="3328"/>
      <c r="C59" s="3328"/>
      <c r="D59" s="2344">
        <f ca="1">IF(H59="非个人房产","——",IF(H59="个人住宅（满五唯一有凭证）",0,IF(H59="个人其他（无凭证）",ROUND(D45/(1+'数据-取费表'!C42)*F59,0),ROUND(C67*F59,0))))</f>
        <v>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2134</v>
      </c>
      <c r="J59" s="3325">
        <f>J57+1</f>
        <v>6</v>
      </c>
      <c r="K59" s="3324" t="s">
        <v>1372</v>
      </c>
      <c r="L59" s="2308" t="s">
        <v>1368</v>
      </c>
      <c r="M59" s="2322"/>
      <c r="N59" s="2323">
        <f ca="1">M49-N57</f>
        <v>302</v>
      </c>
      <c r="O59" s="2324"/>
    </row>
    <row r="60" spans="1:35" ht="12" customHeight="1">
      <c r="A60" s="1671"/>
      <c r="B60" s="646"/>
      <c r="C60" s="646"/>
      <c r="D60" s="646"/>
      <c r="E60" s="1466"/>
      <c r="F60" s="1670"/>
      <c r="G60" s="1670"/>
      <c r="H60" s="151"/>
      <c r="I60" s="121"/>
      <c r="J60" s="3326"/>
      <c r="K60" s="3324"/>
      <c r="L60" s="2315" t="s">
        <v>1370</v>
      </c>
      <c r="M60" s="2319"/>
      <c r="N60" s="2320" t="str">
        <f ca="1">NUMBERSTRING(INT(N59*10000),2)&amp;"元整"</f>
        <v>叁佰零贰万元整</v>
      </c>
      <c r="O60" s="2321"/>
    </row>
    <row r="61" spans="1:35" ht="13.5" thickBot="1">
      <c r="A61" s="3272" t="s">
        <v>1373</v>
      </c>
      <c r="B61" s="3272"/>
      <c r="C61" s="3272"/>
      <c r="D61" s="3272"/>
      <c r="E61" s="3272"/>
      <c r="F61" s="1670"/>
      <c r="G61" s="1670"/>
      <c r="H61" s="151"/>
      <c r="I61" s="121"/>
      <c r="J61" s="2308">
        <f>J59+1</f>
        <v>7</v>
      </c>
      <c r="K61" s="3324" t="s">
        <v>1374</v>
      </c>
      <c r="L61" s="3324"/>
      <c r="M61" s="2325"/>
      <c r="N61" s="2326">
        <f ca="1">ROUND(N59*10000/'数据-汇总表'!E3,0)</f>
        <v>3846</v>
      </c>
      <c r="O61" s="2327"/>
    </row>
    <row r="62" spans="1:35" ht="13">
      <c r="A62" s="3290" t="s">
        <v>1375</v>
      </c>
      <c r="B62" s="3291"/>
      <c r="C62" s="1865"/>
      <c r="D62" s="1865" t="s">
        <v>1376</v>
      </c>
      <c r="E62" s="158" t="s">
        <v>1377</v>
      </c>
      <c r="F62" s="1670"/>
      <c r="G62" s="1670"/>
      <c r="H62" s="151"/>
      <c r="I62" s="121"/>
    </row>
    <row r="63" spans="1:35" ht="13">
      <c r="A63" s="165" t="s">
        <v>330</v>
      </c>
      <c r="B63" s="159" t="s">
        <v>1378</v>
      </c>
      <c r="C63" s="2348">
        <f ca="1">ROUND((C64+C65)/(1+'数据-取费表'!C42),0)</f>
        <v>679</v>
      </c>
      <c r="D63" s="159"/>
      <c r="E63" s="160"/>
      <c r="F63" s="1670"/>
      <c r="G63" s="1670"/>
      <c r="H63" s="151"/>
      <c r="I63" s="121"/>
      <c r="J63" s="3349" t="s">
        <v>1379</v>
      </c>
      <c r="K63" s="1245" t="s">
        <v>1380</v>
      </c>
      <c r="L63" s="1245">
        <f ca="1">IF(M49&gt;10000,M49*0.5%,IF(AND(M49&gt;1000,M49&lt;=10000),M49*1%,IF(AND(M49&gt;100,M49&lt;=1000),M49*3%,IF(AND(M49&gt;10,M49&lt;=100),M49*5%,M49*8%))))</f>
        <v>21.39</v>
      </c>
      <c r="M63" s="294">
        <f ca="1">ROUND(L63,1)</f>
        <v>21.4</v>
      </c>
      <c r="N63" s="2328"/>
      <c r="Z63" s="1623"/>
      <c r="AI63" s="1561"/>
    </row>
    <row r="64" spans="1:35" ht="14.25" customHeight="1">
      <c r="A64" s="161" t="s">
        <v>325</v>
      </c>
      <c r="B64" s="162" t="s">
        <v>1381</v>
      </c>
      <c r="C64" s="2349">
        <f ca="1">D45</f>
        <v>713</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4.9909999999999997</v>
      </c>
      <c r="M64" s="294">
        <f t="shared" ref="M64:M65" ca="1" si="1">ROUND(L64,1)</f>
        <v>5</v>
      </c>
      <c r="N64" s="2329" t="s">
        <v>1383</v>
      </c>
      <c r="Z64" s="1623"/>
      <c r="AI64" s="1561"/>
    </row>
    <row r="65" spans="1:35" ht="14.25" customHeight="1">
      <c r="A65" s="161" t="s">
        <v>326</v>
      </c>
      <c r="B65" s="162" t="s">
        <v>1384</v>
      </c>
      <c r="C65" s="2350"/>
      <c r="D65" s="162"/>
      <c r="E65" s="164"/>
      <c r="F65" s="1670"/>
      <c r="G65" s="1670"/>
      <c r="H65" s="151"/>
      <c r="I65" s="121"/>
      <c r="J65" s="3349"/>
      <c r="K65" s="1245" t="s">
        <v>1385</v>
      </c>
      <c r="L65" s="1245">
        <f ca="1">IF(M49&gt;1000,M49*0.1%,IF(AND(M49&gt;500,M49&lt;=1000),M49*0.5%,IF(AND(M49&gt;50,M49&lt;=500),M49*1%,IF(AND(M49&gt;1,M49&lt;=50),M49*1.5%))))</f>
        <v>3.5649999999999999</v>
      </c>
      <c r="M65" s="294">
        <f t="shared" ca="1" si="1"/>
        <v>3.6</v>
      </c>
      <c r="N65" s="2329" t="s">
        <v>1383</v>
      </c>
      <c r="Z65" s="1623"/>
      <c r="AI65" s="1561"/>
    </row>
    <row r="66" spans="1:35" ht="14.25" customHeight="1">
      <c r="A66" s="165" t="s">
        <v>327</v>
      </c>
      <c r="B66" s="166" t="s">
        <v>1386</v>
      </c>
      <c r="C66" s="2351"/>
      <c r="D66" s="166" t="s">
        <v>26</v>
      </c>
      <c r="E66" s="1251" t="s">
        <v>671</v>
      </c>
      <c r="F66" s="1670"/>
      <c r="G66" s="1670"/>
      <c r="H66" s="151"/>
      <c r="I66" s="121"/>
      <c r="J66" s="3349"/>
      <c r="K66" s="1245" t="s">
        <v>1387</v>
      </c>
      <c r="L66" s="1245">
        <f ca="1">M49*0.5%</f>
        <v>3.5649999999999999</v>
      </c>
      <c r="M66" s="294">
        <f ca="1">IF(L66&gt;0.5,0.5,ROUND(L66,0))</f>
        <v>0.5</v>
      </c>
      <c r="N66" s="2329" t="s">
        <v>1388</v>
      </c>
      <c r="Z66" s="1623"/>
      <c r="AI66" s="1561"/>
    </row>
    <row r="67" spans="1:35" ht="14.25" customHeight="1">
      <c r="A67" s="165" t="s">
        <v>328</v>
      </c>
      <c r="B67" s="166" t="s">
        <v>1389</v>
      </c>
      <c r="C67" s="2352">
        <f ca="1">C63-C66</f>
        <v>679</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2.0324999999999998</v>
      </c>
      <c r="M67" s="294">
        <f ca="1">ROUND(L67*0.9,1)</f>
        <v>1.8</v>
      </c>
      <c r="N67" s="2328"/>
      <c r="Z67" s="1623"/>
      <c r="AI67" s="1561"/>
    </row>
    <row r="68" spans="1:35" ht="14.25" customHeight="1" thickBot="1">
      <c r="A68" s="168" t="s">
        <v>329</v>
      </c>
      <c r="B68" s="169" t="s">
        <v>1391</v>
      </c>
      <c r="C68" s="2353">
        <f ca="1">IF(C67&lt;=0,0,ROUND(C67*D68,0))</f>
        <v>38</v>
      </c>
      <c r="D68" s="2354">
        <f>'数据-取费表'!B41</f>
        <v>5.6000000000000001E-2</v>
      </c>
      <c r="E68" s="170"/>
      <c r="F68" s="1670"/>
      <c r="G68" s="1670"/>
      <c r="H68" s="151"/>
      <c r="I68" s="121"/>
      <c r="J68" s="3349"/>
      <c r="K68" s="1245" t="s">
        <v>1392</v>
      </c>
      <c r="L68" s="1245">
        <f ca="1">IF(M49&gt;10000,M49*0.5%,IF(AND(M49&gt;5000,M49&lt;=10000),M49*1%,IF(AND(M49&gt;1000,M49&lt;=5000),M49*2%,IF(AND(M49&gt;200,M49&lt;=1000),M49*3%,M49*5%))))</f>
        <v>21.39</v>
      </c>
      <c r="M68" s="294">
        <f ca="1">ROUND(L68,1)</f>
        <v>21.4</v>
      </c>
      <c r="N68" s="2328"/>
      <c r="Z68" s="1623"/>
      <c r="AI68" s="1561"/>
    </row>
    <row r="69" spans="1:35" ht="16.5" customHeight="1">
      <c r="A69" s="1672"/>
      <c r="B69" s="1673"/>
      <c r="C69" s="1674"/>
      <c r="D69" s="1675"/>
      <c r="E69" s="1676"/>
      <c r="F69" s="1466"/>
      <c r="G69" s="1466"/>
      <c r="H69" s="1467"/>
      <c r="I69" s="646"/>
      <c r="J69" s="3349"/>
      <c r="K69" s="1245" t="s">
        <v>1393</v>
      </c>
      <c r="L69" s="1245"/>
      <c r="M69" s="294">
        <f ca="1">ROUND(SUM(M63:M68),0)</f>
        <v>54</v>
      </c>
      <c r="N69" s="2330">
        <f ca="1">M69/M49</f>
        <v>7.5736325385694248E-2</v>
      </c>
      <c r="Z69" s="1623"/>
      <c r="AI69" s="1561"/>
    </row>
    <row r="70" spans="1:35" s="642" customFormat="1" ht="14.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679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4</v>
      </c>
      <c r="D78" s="2361">
        <f>'数据-取费表'!B43</f>
        <v>6.000000000000001E-3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328</v>
      </c>
      <c r="B79" s="166" t="s">
        <v>1407</v>
      </c>
      <c r="C79" s="2352">
        <f ca="1">C72-C73</f>
        <v>675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168.75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404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679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351" t="s">
        <v>2126</v>
      </c>
      <c r="H90" s="3352"/>
      <c r="I90" s="1681"/>
      <c r="J90" s="2306"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9" t="s">
        <v>1422</v>
      </c>
      <c r="F92" s="3270"/>
      <c r="G92" s="3270"/>
      <c r="H92" s="3279"/>
      <c r="I92" s="1681"/>
      <c r="J92" s="2307"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4</v>
      </c>
      <c r="D93" s="2361">
        <f>'数据-取费表'!B43</f>
        <v>6.000000000000001E-3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328</v>
      </c>
      <c r="B95" s="166" t="s">
        <v>1407</v>
      </c>
      <c r="C95" s="2352">
        <f ca="1">ROUND(C85-C86,0)</f>
        <v>675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168.75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404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69" t="str">
        <f>C4</f>
        <v>成本法 (元)101</v>
      </c>
      <c r="D101" s="2370" t="str">
        <f>D4</f>
        <v>收益法 (元)101</v>
      </c>
      <c r="E101" s="3346" t="s">
        <v>1431</v>
      </c>
      <c r="F101" s="3303"/>
      <c r="G101" s="1687" t="s">
        <v>1432</v>
      </c>
      <c r="H101" s="2379">
        <f ca="1">H118</f>
        <v>713</v>
      </c>
      <c r="I101" s="121"/>
    </row>
    <row r="102" spans="1:35" ht="18.75" customHeight="1">
      <c r="A102" s="3305" t="s">
        <v>1433</v>
      </c>
      <c r="B102" s="2368" t="s">
        <v>1432</v>
      </c>
      <c r="C102" s="2369">
        <f ca="1">IF(D32="楼面单价",ROUND(C19,0),C19)</f>
        <v>802</v>
      </c>
      <c r="D102" s="2370">
        <f ca="1">IF(D32="楼面单价",ROUND(D19,0),D19)</f>
        <v>624</v>
      </c>
      <c r="E102" s="3346"/>
      <c r="F102" s="3303"/>
      <c r="G102" s="1687" t="s">
        <v>1434</v>
      </c>
      <c r="H102" s="2339">
        <f ca="1">I118</f>
        <v>18739</v>
      </c>
      <c r="I102" s="121"/>
    </row>
    <row r="103" spans="1:35" ht="42.75" customHeight="1">
      <c r="A103" s="3305"/>
      <c r="B103" s="2368" t="s">
        <v>1434</v>
      </c>
      <c r="C103" s="2371">
        <f ca="1">C20</f>
        <v>21074</v>
      </c>
      <c r="D103" s="2372">
        <f ca="1">D20</f>
        <v>16403</v>
      </c>
      <c r="E103" s="3340" t="s">
        <v>1435</v>
      </c>
      <c r="F103" s="3341"/>
      <c r="G103" s="1688" t="s">
        <v>1436</v>
      </c>
      <c r="H103" s="2379">
        <f>IF(D36="正常操作",H104+H105+H106,H105+H106)</f>
        <v>0</v>
      </c>
      <c r="I103" s="121"/>
    </row>
    <row r="104" spans="1:35" ht="18.75" customHeight="1">
      <c r="A104" s="3305" t="s">
        <v>1437</v>
      </c>
      <c r="B104" s="2373" t="s">
        <v>1432</v>
      </c>
      <c r="C104" s="2374">
        <f ca="1">H118</f>
        <v>713</v>
      </c>
      <c r="D104" s="2375"/>
      <c r="E104" s="1555" t="s">
        <v>1438</v>
      </c>
      <c r="F104" s="1548"/>
      <c r="G104" s="1688" t="s">
        <v>1436</v>
      </c>
      <c r="H104" s="2380">
        <f>IF(D36="同一抵押权人同一抵押物续贷",C36&amp;"（续贷，未扣减，详见特别提示）",C36)</f>
        <v>0</v>
      </c>
      <c r="I104" s="121"/>
    </row>
    <row r="105" spans="1:35" ht="18.75" customHeight="1" thickBot="1">
      <c r="A105" s="3306"/>
      <c r="B105" s="2376" t="s">
        <v>1434</v>
      </c>
      <c r="C105" s="2377">
        <f ca="1">I118</f>
        <v>18739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2" t="str">
        <f>IF(项目基本情况!E8="已注销","——","3.房地产抵押价值")</f>
        <v>3.房地产抵押价值</v>
      </c>
      <c r="F107" s="3303"/>
      <c r="G107" s="1687" t="s">
        <v>1432</v>
      </c>
      <c r="H107" s="2379">
        <f ca="1">IF(E107="——","——",H101-H103)</f>
        <v>713</v>
      </c>
      <c r="I107" s="121"/>
    </row>
    <row r="108" spans="1:35" ht="18.75" customHeight="1">
      <c r="A108" s="121"/>
      <c r="B108" s="121"/>
      <c r="C108" s="121"/>
      <c r="D108" s="121"/>
      <c r="E108" s="3302"/>
      <c r="F108" s="3303"/>
      <c r="G108" s="1687" t="s">
        <v>1434</v>
      </c>
      <c r="H108" s="2339">
        <f ca="1">IF(H107=H101,H102,ROUND(H107*10000/'数据-汇总表'!E3,0))</f>
        <v>18739</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2" t="str">
        <f>IF(E109="——","——",H101-H105-H106)</f>
        <v>——</v>
      </c>
      <c r="I109" s="121"/>
    </row>
    <row r="110" spans="1:35" ht="18.75" customHeight="1">
      <c r="A110" s="121"/>
      <c r="B110" s="121"/>
      <c r="C110" s="121"/>
      <c r="D110" s="121"/>
      <c r="E110" s="3302"/>
      <c r="F110" s="3303"/>
      <c r="G110" s="1687" t="s">
        <v>1434</v>
      </c>
      <c r="H110" s="2339"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79" t="str">
        <f>IF(E111="——","——",N59)</f>
        <v>——</v>
      </c>
      <c r="I111" s="121"/>
    </row>
    <row r="112" spans="1:35" ht="18.75" customHeight="1" thickBot="1">
      <c r="A112" s="121"/>
      <c r="B112" s="121"/>
      <c r="C112" s="121"/>
      <c r="D112" s="121"/>
      <c r="E112" s="3335"/>
      <c r="F112" s="3336"/>
      <c r="G112" s="1690" t="s">
        <v>1434</v>
      </c>
      <c r="H112" s="2383"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49" t="s">
        <v>1449</v>
      </c>
      <c r="E117" s="2149" t="s">
        <v>1450</v>
      </c>
      <c r="F117" s="2149" t="s">
        <v>1449</v>
      </c>
      <c r="G117" s="2149" t="s">
        <v>1451</v>
      </c>
      <c r="H117" s="2149" t="s">
        <v>1449</v>
      </c>
      <c r="I117" s="2149" t="s">
        <v>1451</v>
      </c>
    </row>
    <row r="118" spans="1:27" ht="24.75" customHeight="1">
      <c r="A118" s="2384" t="str">
        <f>项目基本情况!S2</f>
        <v>北京市通州区新海东路15号楼1层101、4层501房地产</v>
      </c>
      <c r="B118" s="2149">
        <f>M18</f>
        <v>380.34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713</v>
      </c>
      <c r="I118" s="2149">
        <f ca="1">ROUND(IF(D32="楼面单价",C32,H118*10000/B118),0)</f>
        <v>18739</v>
      </c>
    </row>
    <row r="119" spans="1:27" ht="18.75" customHeight="1">
      <c r="A119" s="3273" t="s">
        <v>1452</v>
      </c>
      <c r="B119" s="3273"/>
      <c r="C119" s="3273"/>
      <c r="D119" s="3313" t="str">
        <f>NUMBERSTRING(INT(D118*10000),2)&amp;"元整"</f>
        <v>零元整</v>
      </c>
      <c r="E119" s="3315"/>
      <c r="F119" s="3313" t="str">
        <f>NUMBERSTRING(INT(F118*10000),2)&amp;"元整"</f>
        <v>零元整</v>
      </c>
      <c r="G119" s="3315"/>
      <c r="H119" s="3313" t="str">
        <f ca="1">NUMBERSTRING(INT(H118*10000),2)&amp;"元整"</f>
        <v>柒佰壹拾叁万元整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713</v>
      </c>
      <c r="E122" s="3338"/>
      <c r="F122" s="3338"/>
      <c r="G122" s="3338"/>
      <c r="H122" s="3338"/>
      <c r="I122" s="3339"/>
      <c r="AA122" s="684"/>
    </row>
    <row r="123" spans="1:27" ht="18.75" customHeight="1">
      <c r="A123" s="3273" t="s">
        <v>1452</v>
      </c>
      <c r="B123" s="3273"/>
      <c r="C123" s="3273"/>
      <c r="D123" s="3313" t="str">
        <f ca="1">NUMBERSTRING(INT(D122*10000),2)&amp;"元整"</f>
        <v>柒佰壹拾叁万元整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9" priority="6" stopIfTrue="1" operator="equal">
      <formula>25</formula>
    </cfRule>
  </conditionalFormatting>
  <conditionalFormatting sqref="C8:D13">
    <cfRule type="cellIs" dxfId="8" priority="5" stopIfTrue="1" operator="equal">
      <formula>15</formula>
    </cfRule>
  </conditionalFormatting>
  <conditionalFormatting sqref="C14:D16">
    <cfRule type="cellIs" dxfId="7" priority="4" stopIfTrue="1" operator="equal">
      <formula>30</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D92" xr:uid="{9C2B439F-C823-4743-A792-520DE97EA007}">
      <formula1>"0,5%,10%"</formula1>
    </dataValidation>
    <dataValidation type="list" allowBlank="1" showInputMessage="1" showErrorMessage="1" sqref="H59" xr:uid="{13936CFF-774C-42FC-A56E-DEBE1FA6EAEC}">
      <formula1>"非个人房产,个人住宅（满五唯一有凭证）,个人其他（有凭证）,个人其他（无凭证）"</formula1>
    </dataValidation>
    <dataValidation type="list" allowBlank="1" showInputMessage="1" showErrorMessage="1" sqref="E103" xr:uid="{83EEBA10-3185-40E4-8398-484A33D41559}">
      <formula1>"2.估价师知悉的法定优先受偿款,2.估价师知悉的除抵押担保权以外的法定优先受偿款"</formula1>
    </dataValidation>
    <dataValidation type="list" allowBlank="1" showInputMessage="1" showErrorMessage="1" sqref="G77" xr:uid="{B8F0A433-A025-4E16-83BA-2D7848791D9A}">
      <formula1>"个人住宅,2016年5月1日前购买,2016年5月1日后购买"</formula1>
    </dataValidation>
    <dataValidation type="list" allowBlank="1" showInputMessage="1" showErrorMessage="1" sqref="C1" xr:uid="{BF9E0C74-B60D-467A-B107-675BDA427FBA}">
      <formula1>项目类型</formula1>
    </dataValidation>
    <dataValidation type="list" allowBlank="1" showInputMessage="1" showErrorMessage="1" sqref="I1" xr:uid="{7AD3D399-1320-4231-88B9-A01B592B7D3E}">
      <formula1>"项目局部,项目全部,——"</formula1>
    </dataValidation>
    <dataValidation type="list" showInputMessage="1" showErrorMessage="1" sqref="G1" xr:uid="{DA1B1233-CEAC-4C8C-941D-862EDDCBED16}">
      <formula1>"现房,在建,土地,-"</formula1>
    </dataValidation>
    <dataValidation type="list" allowBlank="1" showInputMessage="1" showErrorMessage="1" sqref="C129" xr:uid="{06D54D07-613B-44D3-94F8-07EAB4AC5804}">
      <formula1>"无,有"</formula1>
    </dataValidation>
    <dataValidation type="list" allowBlank="1" showInputMessage="1" showErrorMessage="1" sqref="F116:G116" xr:uid="{2B9F400B-3D0D-4864-B9B0-41F527A2A598}">
      <formula1>"建筑物价值,在建建筑物价值,建筑物/在建建筑物价值"</formula1>
    </dataValidation>
    <dataValidation type="list" allowBlank="1" showInputMessage="1" showErrorMessage="1" sqref="D116:E116" xr:uid="{9521D310-AE8B-402C-BCCB-197F87248BC0}">
      <formula1>"出让国有建设用地使用权价值,划拨国有建设用地使用权价值"</formula1>
    </dataValidation>
    <dataValidation type="list" allowBlank="1" showInputMessage="1" showErrorMessage="1" sqref="C116:C117" xr:uid="{2D87D22D-A88B-4C73-BDC0-F687C244F1D1}">
      <formula1>"土地面积,分摊土地面积,（分摊）土地面积"</formula1>
    </dataValidation>
    <dataValidation type="list" allowBlank="1" showInputMessage="1" showErrorMessage="1" sqref="B116:B117" xr:uid="{ECCAE01D-7858-496C-B9AA-2E61D2D0CC0A}">
      <formula1>"建筑面积,规划建筑面积,（规划）建筑面积"</formula1>
    </dataValidation>
    <dataValidation type="list" allowBlank="1" showInputMessage="1" showErrorMessage="1" sqref="D36" xr:uid="{EADCF371-6276-4882-BE27-99AD32164F2F}">
      <formula1>"同一抵押权人同一抵押物续贷,注销后放款,正常操作"</formula1>
    </dataValidation>
    <dataValidation type="list" allowBlank="1" showInputMessage="1" showErrorMessage="1" sqref="F75" xr:uid="{47690D9D-4469-402D-8C8D-8D19729C30C6}">
      <formula1>"买卖合同,购房发票"</formula1>
    </dataValidation>
    <dataValidation type="list" allowBlank="1" showInputMessage="1" showErrorMessage="1" sqref="H88" xr:uid="{82C4B929-3155-425F-895A-0434D15354AC}">
      <formula1>"仅含出让金,出让金+开发费"</formula1>
    </dataValidation>
    <dataValidation type="list" allowBlank="1" showInputMessage="1" showErrorMessage="1" sqref="H91" xr:uid="{3287D5BE-34F5-4068-8A3B-56DD2794CEC9}">
      <formula1>"企业提供（在右侧录入）,——"</formula1>
    </dataValidation>
    <dataValidation type="list" allowBlank="1" showInputMessage="1" showErrorMessage="1" sqref="C33" xr:uid="{C2B0A3C3-3305-491F-A735-6E7D6742A1C2}">
      <formula1>"成本比率,收益比率,自定义"</formula1>
    </dataValidation>
    <dataValidation type="list" allowBlank="1" showInputMessage="1" showErrorMessage="1" sqref="F45" xr:uid="{AB8BFC5E-C86C-483D-94C6-D35CAB85B2B7}">
      <formula1>"100%,70%,56%"</formula1>
    </dataValidation>
    <dataValidation type="list" allowBlank="1" showInputMessage="1" showErrorMessage="1" sqref="D32" xr:uid="{A39F6284-B4DA-45E3-8F68-2FE2FC43BE6B}">
      <formula1>"总价,楼面单价"</formula1>
    </dataValidation>
    <dataValidation type="list" allowBlank="1" showInputMessage="1" showErrorMessage="1" sqref="H58" xr:uid="{836FFE7A-BE2A-470A-A669-F1FCA2EBC027}">
      <formula1>"转让取得,自行开发建设"</formula1>
    </dataValidation>
    <dataValidation type="list" allowBlank="1" showInputMessage="1" showErrorMessage="1" sqref="H48" xr:uid="{D23F5DC3-EC1D-41FC-B47B-09E5034A0C5B}">
      <formula1>"情况1,情况2,情况3,情况4"</formula1>
    </dataValidation>
    <dataValidation type="list" allowBlank="1" showInputMessage="1" showErrorMessage="1" sqref="H55:H56" xr:uid="{1281CA3F-0CFD-4915-BEC3-7377CC90F752}">
      <formula1>"个人住宅,正常"</formula1>
    </dataValidation>
    <dataValidation type="list" allowBlank="1" showInputMessage="1" showErrorMessage="1" sqref="C4:D4 D33" xr:uid="{AAC92E01-28F0-4B27-AB3F-68CA6ED1599A}">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1A33-B40F-4279-AAC1-4DFB81C599A0}">
  <sheetPr>
    <tabColor rgb="FFFF0000"/>
  </sheetPr>
  <dimension ref="A1:AJ512"/>
  <sheetViews>
    <sheetView tabSelected="1" view="pageBreakPreview" zoomScaleNormal="100" zoomScaleSheetLayoutView="100" zoomScalePageLayoutView="80" workbookViewId="0">
      <selection activeCell="C4" sqref="C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501</v>
      </c>
      <c r="D1" s="646"/>
      <c r="E1" s="646"/>
      <c r="F1" s="1621" t="s">
        <v>1263</v>
      </c>
      <c r="G1" s="1453" t="s">
        <v>3426</v>
      </c>
      <c r="H1" s="1621" t="str">
        <f>IF(G1="现房","——","估价对象范围")</f>
        <v>——</v>
      </c>
      <c r="I1" s="1622"/>
    </row>
    <row r="2" spans="1:12" ht="21.75" customHeight="1" thickBot="1">
      <c r="A2" s="3293" t="str">
        <f>项目基本情况!S2</f>
        <v>北京市通州区新海东路15号楼1层101、4层501房地产</v>
      </c>
      <c r="B2" s="3294"/>
      <c r="C2" s="3294"/>
      <c r="D2" s="3294"/>
      <c r="E2" s="3294"/>
      <c r="F2" s="3294"/>
      <c r="G2" s="3294"/>
      <c r="H2" s="3294"/>
      <c r="I2" s="3295"/>
    </row>
    <row r="3" spans="1:12" ht="13">
      <c r="A3" s="3297" t="s">
        <v>1264</v>
      </c>
      <c r="B3" s="3298"/>
      <c r="C3" s="3298"/>
      <c r="D3" s="3298"/>
      <c r="E3" s="3298"/>
      <c r="F3" s="3298"/>
      <c r="G3" s="3298"/>
      <c r="H3" s="3298"/>
      <c r="I3" s="3298"/>
    </row>
    <row r="4" spans="1:12" ht="14">
      <c r="A4" s="1624" t="s">
        <v>1265</v>
      </c>
      <c r="B4" s="1625" t="s">
        <v>1266</v>
      </c>
      <c r="C4" s="1626" t="s">
        <v>3450</v>
      </c>
      <c r="D4" s="1626" t="s">
        <v>3444</v>
      </c>
      <c r="E4" s="3299" t="s">
        <v>1267</v>
      </c>
      <c r="F4" s="3300"/>
      <c r="G4" s="3300"/>
      <c r="H4" s="3300"/>
      <c r="I4" s="3301"/>
      <c r="K4" s="138" t="str">
        <f>IF(ISNUMBER(FIND("比较法",'结果表501成本法、收益法 '!C4)),"比较法",IF(ISNUMBER(FIND("成本法",'结果表501成本法、收益法 '!C4)),"成本法",IF(ISNUMBER(FIND("假设开发法",'结果表501成本法、收益法 '!C4)),"假设开发法",IF(ISNUMBER(FIND("收益法",'结果表501成本法、收益法 '!C4)),"收益法","基准地价系数修正法"))))</f>
        <v>成本法</v>
      </c>
      <c r="L4" s="138" t="str">
        <f>IF(ISNUMBER(FIND("比较法",'结果表501成本法、收益法 '!D4)),"比较法",IF(ISNUMBER(FIND("成本法",'结果表501成本法、收益法 '!D4)),"成本法",IF(ISNUMBER(FIND("假设开发法",'结果表501成本法、收益法 '!D4)),"假设开发法",IF(ISNUMBER(FIND("收益法",'结果表501成本法、收益法 '!D4)),"收益法","基准地价系数修正法"))))</f>
        <v>收益法</v>
      </c>
    </row>
    <row r="5" spans="1:12" ht="13">
      <c r="A5" s="3273" t="s">
        <v>1268</v>
      </c>
      <c r="B5" s="3260">
        <v>25</v>
      </c>
      <c r="C5" s="3276"/>
      <c r="D5" s="3296"/>
      <c r="E5" s="123" t="s">
        <v>1269</v>
      </c>
      <c r="F5" s="1627"/>
      <c r="G5" s="1627"/>
      <c r="H5" s="1627"/>
      <c r="I5" s="1281"/>
    </row>
    <row r="6" spans="1:12" ht="13">
      <c r="A6" s="3273"/>
      <c r="B6" s="3260"/>
      <c r="C6" s="3277"/>
      <c r="D6" s="3296"/>
      <c r="E6" s="123" t="s">
        <v>1270</v>
      </c>
      <c r="F6" s="1627"/>
      <c r="G6" s="1627"/>
      <c r="H6" s="1627"/>
      <c r="I6" s="1281"/>
    </row>
    <row r="7" spans="1:12" ht="13">
      <c r="A7" s="3273"/>
      <c r="B7" s="3260"/>
      <c r="C7" s="3278"/>
      <c r="D7" s="3296"/>
      <c r="E7" s="123" t="s">
        <v>1271</v>
      </c>
      <c r="F7" s="1627"/>
      <c r="G7" s="1627"/>
      <c r="H7" s="1627"/>
      <c r="I7" s="1281"/>
    </row>
    <row r="8" spans="1:12" ht="13">
      <c r="A8" s="3273" t="s">
        <v>1272</v>
      </c>
      <c r="B8" s="3260">
        <v>15</v>
      </c>
      <c r="C8" s="3276"/>
      <c r="D8" s="3296"/>
      <c r="E8" s="123" t="s">
        <v>1273</v>
      </c>
      <c r="F8" s="1627"/>
      <c r="G8" s="1627"/>
      <c r="H8" s="1627"/>
      <c r="I8" s="1281"/>
    </row>
    <row r="9" spans="1:12" ht="13">
      <c r="A9" s="3273"/>
      <c r="B9" s="3260"/>
      <c r="C9" s="3278"/>
      <c r="D9" s="3296"/>
      <c r="E9" s="123" t="s">
        <v>1274</v>
      </c>
      <c r="F9" s="1627"/>
      <c r="G9" s="1627"/>
      <c r="H9" s="1627"/>
      <c r="I9" s="1281"/>
    </row>
    <row r="10" spans="1:12" ht="13">
      <c r="A10" s="3273" t="s">
        <v>1275</v>
      </c>
      <c r="B10" s="3260">
        <v>15</v>
      </c>
      <c r="C10" s="3276"/>
      <c r="D10" s="3296"/>
      <c r="E10" s="123" t="s">
        <v>1276</v>
      </c>
      <c r="F10" s="1627"/>
      <c r="G10" s="1627"/>
      <c r="H10" s="1627"/>
      <c r="I10" s="1281"/>
    </row>
    <row r="11" spans="1:12" ht="13">
      <c r="A11" s="3273"/>
      <c r="B11" s="3260"/>
      <c r="C11" s="3278"/>
      <c r="D11" s="3296"/>
      <c r="E11" s="123" t="s">
        <v>1277</v>
      </c>
      <c r="F11" s="1627"/>
      <c r="G11" s="1627"/>
      <c r="H11" s="1627"/>
      <c r="I11" s="1281"/>
    </row>
    <row r="12" spans="1:12" ht="13">
      <c r="A12" s="3273" t="s">
        <v>1278</v>
      </c>
      <c r="B12" s="3260">
        <v>15</v>
      </c>
      <c r="C12" s="3276"/>
      <c r="D12" s="3296"/>
      <c r="E12" s="123" t="s">
        <v>1279</v>
      </c>
      <c r="F12" s="1627"/>
      <c r="G12" s="1627"/>
      <c r="H12" s="1627"/>
      <c r="I12" s="1281"/>
    </row>
    <row r="13" spans="1:12" ht="13">
      <c r="A13" s="3273"/>
      <c r="B13" s="3260"/>
      <c r="C13" s="3278"/>
      <c r="D13" s="3296"/>
      <c r="E13" s="123" t="s">
        <v>1280</v>
      </c>
      <c r="F13" s="1627"/>
      <c r="G13" s="1627"/>
      <c r="H13" s="1627"/>
      <c r="I13" s="1281"/>
    </row>
    <row r="14" spans="1:12" ht="13">
      <c r="A14" s="3273" t="s">
        <v>1281</v>
      </c>
      <c r="B14" s="3260">
        <v>30</v>
      </c>
      <c r="C14" s="3276">
        <v>5</v>
      </c>
      <c r="D14" s="3296">
        <v>5</v>
      </c>
      <c r="E14" s="123" t="s">
        <v>1282</v>
      </c>
      <c r="F14" s="1627"/>
      <c r="G14" s="1627"/>
      <c r="H14" s="1627"/>
      <c r="I14" s="1281"/>
    </row>
    <row r="15" spans="1:12" ht="13">
      <c r="A15" s="3273"/>
      <c r="B15" s="3260"/>
      <c r="C15" s="3277"/>
      <c r="D15" s="3296"/>
      <c r="E15" s="123" t="s">
        <v>1283</v>
      </c>
      <c r="F15" s="1627"/>
      <c r="G15" s="1627"/>
      <c r="H15" s="1627"/>
      <c r="I15" s="1281"/>
    </row>
    <row r="16" spans="1:12" ht="13">
      <c r="A16" s="3273"/>
      <c r="B16" s="3260"/>
      <c r="C16" s="3278"/>
      <c r="D16" s="3296"/>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3" t="s">
        <v>2128</v>
      </c>
      <c r="F18" s="3284"/>
      <c r="G18" s="3284"/>
      <c r="H18" s="3284"/>
      <c r="I18" s="3284"/>
      <c r="K18" s="294" t="s">
        <v>1289</v>
      </c>
      <c r="L18" s="294">
        <f>IF(C1="",'数据-汇总表'!E3,SUMIF(项目类型,C1,'数据-汇总表'!E17:E26)+SUMIF(项目类型,C1,'数据-汇总表'!I17:I26))</f>
        <v>404.89</v>
      </c>
      <c r="M18" s="294">
        <f>IF(C1="",'数据-汇总表'!E3,SUMIF(项目类型,C1,'数据-汇总表'!E17:E26))</f>
        <v>404.89</v>
      </c>
    </row>
    <row r="19" spans="1:36" ht="14">
      <c r="A19" s="1630" t="s">
        <v>1290</v>
      </c>
      <c r="B19" s="1631" t="s">
        <v>1291</v>
      </c>
      <c r="C19" s="126">
        <f ca="1">SUMIF(INDIRECT("'"&amp;C4&amp;"'"&amp;"!A:A"),'结果表501成本法、收益法 '!B19,INDIRECT("'"&amp;C4&amp;"'"&amp;"!B:B"))</f>
        <v>585.46730000000002</v>
      </c>
      <c r="D19" s="127">
        <f ca="1">SUMIF(INDIRECT("'"&amp;D4&amp;"'"&amp;"!A:A"),'结果表501成本法、收益法 '!B19,INDIRECT("'"&amp;D4&amp;"'"&amp;"!B:B"))</f>
        <v>623.87369999999999</v>
      </c>
      <c r="E19" s="1630" t="s">
        <v>1292</v>
      </c>
      <c r="F19" s="1631" t="s">
        <v>1291</v>
      </c>
      <c r="G19" s="128">
        <f ca="1">ROUND(C19*$C$18+D19*$D$18,0)</f>
        <v>605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SUMIF(INDIRECT("'"&amp;C4&amp;"'"&amp;"!A:A"),'结果表501成本法、收益法 '!B20,INDIRECT("'"&amp;C4&amp;"'"&amp;"!B:B"))</f>
        <v>14460</v>
      </c>
      <c r="D20" s="130">
        <f ca="1">SUMIF(INDIRECT("'"&amp;D4&amp;"'"&amp;"!A:A"),'结果表501成本法、收益法 '!B20,INDIRECT("'"&amp;D4&amp;"'"&amp;"!B:B"))</f>
        <v>16403</v>
      </c>
      <c r="E20" s="1633"/>
      <c r="F20" s="43" t="s">
        <v>1295</v>
      </c>
      <c r="G20" s="131">
        <f ca="1">ROUND(C20*$C$18+D20*$D$18,0)</f>
        <v>15432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6.5599564655447029E-2</v>
      </c>
      <c r="E22" s="121"/>
      <c r="F22" s="121"/>
      <c r="G22" s="121"/>
      <c r="H22" s="121"/>
      <c r="I22" s="121"/>
    </row>
    <row r="23" spans="1:36" ht="13" thickBot="1">
      <c r="A23" s="646"/>
      <c r="B23" s="646"/>
      <c r="C23" s="646"/>
      <c r="D23" s="646"/>
      <c r="E23" s="121"/>
      <c r="F23" s="121"/>
      <c r="G23" s="121"/>
      <c r="H23" s="121"/>
      <c r="I23" s="121"/>
    </row>
    <row r="24" spans="1:36" ht="14">
      <c r="A24" s="3267" t="s">
        <v>1299</v>
      </c>
      <c r="B24" s="1631" t="s">
        <v>1291</v>
      </c>
      <c r="C24" s="128">
        <f>IF(B30=0,0,D30)</f>
        <v>0</v>
      </c>
      <c r="D24" s="1637"/>
      <c r="E24" s="121"/>
      <c r="F24" s="121"/>
      <c r="G24" s="121"/>
      <c r="H24" s="121"/>
      <c r="I24" s="121"/>
    </row>
    <row r="25" spans="1:36" ht="14">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2129</v>
      </c>
      <c r="F30" s="121"/>
      <c r="G30" s="121"/>
      <c r="H30" s="121"/>
      <c r="I30" s="121"/>
    </row>
    <row r="31" spans="1:36" s="2132" customFormat="1" ht="26.5"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15432</v>
      </c>
      <c r="D32" s="1641" t="s">
        <v>3480</v>
      </c>
      <c r="E32" s="121"/>
      <c r="F32" s="121"/>
      <c r="G32" s="121"/>
      <c r="H32" s="121"/>
      <c r="I32" s="121"/>
    </row>
    <row r="33" spans="1:15" ht="14">
      <c r="A33" s="740" t="s">
        <v>1306</v>
      </c>
      <c r="B33" s="123"/>
      <c r="C33" s="1642" t="s">
        <v>3481</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7" t="s">
        <v>1312</v>
      </c>
      <c r="B36" s="1652" t="s">
        <v>1313</v>
      </c>
      <c r="C36" s="137"/>
      <c r="D36" s="1653"/>
      <c r="E36" s="1567"/>
      <c r="F36" s="1654"/>
      <c r="G36" s="121"/>
      <c r="H36" s="121"/>
      <c r="I36" s="121"/>
    </row>
    <row r="37" spans="1:15" ht="14.5" thickBot="1">
      <c r="A37" s="3288"/>
      <c r="B37" s="1555" t="s">
        <v>1314</v>
      </c>
      <c r="C37" s="139"/>
      <c r="D37" s="1071"/>
      <c r="E37" s="1071"/>
      <c r="F37" s="1654"/>
      <c r="G37" s="121"/>
      <c r="H37" s="121"/>
      <c r="I37" s="121"/>
    </row>
    <row r="38" spans="1:15" ht="14.5" thickBot="1">
      <c r="A38" s="3289"/>
      <c r="B38" s="1655" t="s">
        <v>1315</v>
      </c>
      <c r="C38" s="641"/>
      <c r="D38" s="1656" t="s">
        <v>1316</v>
      </c>
      <c r="E38" s="1071"/>
      <c r="F38" s="1654"/>
      <c r="G38" s="121"/>
      <c r="H38" s="121"/>
      <c r="I38" s="121"/>
    </row>
    <row r="39" spans="1:15" ht="14">
      <c r="A39" s="1633" t="s">
        <v>1317</v>
      </c>
      <c r="B39" s="1657" t="s">
        <v>1301</v>
      </c>
      <c r="C39" s="1658" t="s">
        <v>1302</v>
      </c>
      <c r="D39" s="1658" t="s">
        <v>1320</v>
      </c>
      <c r="E39" s="1659" t="s">
        <v>1303</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625</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08">
        <v>1</v>
      </c>
      <c r="K46" s="3323" t="s">
        <v>1331</v>
      </c>
      <c r="L46" s="3323"/>
      <c r="M46" s="3343"/>
      <c r="N46" s="3343"/>
      <c r="O46" s="3343"/>
    </row>
    <row r="47" spans="1:15" ht="12" customHeight="1">
      <c r="A47" s="152" t="s">
        <v>1332</v>
      </c>
      <c r="B47" s="153"/>
      <c r="C47" s="154"/>
      <c r="D47" s="1024" t="s">
        <v>1333</v>
      </c>
      <c r="E47" s="294" t="s">
        <v>1334</v>
      </c>
      <c r="F47" s="155" t="s">
        <v>1335</v>
      </c>
      <c r="G47" s="2331" t="s">
        <v>1336</v>
      </c>
      <c r="H47" s="2332"/>
      <c r="I47" s="151"/>
      <c r="J47" s="2308">
        <v>2</v>
      </c>
      <c r="K47" s="3323" t="s">
        <v>1337</v>
      </c>
      <c r="L47" s="3323"/>
      <c r="M47" s="3344">
        <f>'数据-取费表'!B2</f>
        <v>45910</v>
      </c>
      <c r="N47" s="3344"/>
      <c r="O47" s="3344"/>
    </row>
    <row r="48" spans="1:15" ht="26">
      <c r="A48" s="3292" t="s">
        <v>1338</v>
      </c>
      <c r="B48" s="3275"/>
      <c r="C48" s="327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3" t="s">
        <v>1340</v>
      </c>
      <c r="L48" s="3323"/>
      <c r="M48" s="3345">
        <f ca="1">H101</f>
        <v>625</v>
      </c>
      <c r="N48" s="3345"/>
      <c r="O48" s="3345"/>
    </row>
    <row r="49" spans="1:35" ht="25.5" customHeight="1">
      <c r="A49" s="2151" t="s">
        <v>1341</v>
      </c>
      <c r="B49" s="3259" t="s">
        <v>1342</v>
      </c>
      <c r="C49" s="3259"/>
      <c r="D49" s="1478">
        <v>0</v>
      </c>
      <c r="E49" s="316" t="s">
        <v>1343</v>
      </c>
      <c r="F49" s="2231" t="s">
        <v>28</v>
      </c>
      <c r="G49" s="3329"/>
      <c r="H49" s="2133" t="s">
        <v>2131</v>
      </c>
      <c r="I49" s="2134"/>
      <c r="J49" s="2308">
        <v>4</v>
      </c>
      <c r="K49" s="3323" t="str">
        <f>IF(项目基本情况!E8="房地产抵押价值","房地产抵押价值","抵押担保权已注销时的房地产抵押价值")</f>
        <v>房地产抵押价值</v>
      </c>
      <c r="L49" s="3323"/>
      <c r="M49" s="3345">
        <f ca="1">IF(项目基本情况!E8="房地产抵押价值",H107,H109)</f>
        <v>625</v>
      </c>
      <c r="N49" s="3345"/>
      <c r="O49" s="3345"/>
    </row>
    <row r="50" spans="1:35" ht="25.5" customHeight="1">
      <c r="A50" s="2336"/>
      <c r="B50" s="3259" t="s">
        <v>1344</v>
      </c>
      <c r="C50" s="3259"/>
      <c r="D50" s="2188"/>
      <c r="E50" s="323"/>
      <c r="F50" s="2231"/>
      <c r="G50" s="3330"/>
      <c r="H50" s="2135" t="s">
        <v>2132</v>
      </c>
      <c r="I50" s="2134"/>
      <c r="J50" s="3342" t="s">
        <v>1345</v>
      </c>
      <c r="K50" s="3342"/>
      <c r="L50" s="3342"/>
      <c r="M50" s="3342"/>
      <c r="N50" s="3342"/>
      <c r="O50" s="3342"/>
    </row>
    <row r="51" spans="1:35" ht="20.5" customHeight="1">
      <c r="A51" s="2337"/>
      <c r="B51" s="3259" t="s">
        <v>1346</v>
      </c>
      <c r="C51" s="3259"/>
      <c r="D51" s="1024"/>
      <c r="E51" s="319"/>
      <c r="F51" s="2231"/>
      <c r="G51" s="3331"/>
      <c r="H51" s="2135" t="s">
        <v>2133</v>
      </c>
      <c r="I51" s="2134"/>
      <c r="J51" s="2309" t="s">
        <v>1347</v>
      </c>
      <c r="K51" s="3323" t="s">
        <v>1348</v>
      </c>
      <c r="L51" s="3323"/>
      <c r="M51" s="2309" t="s">
        <v>1349</v>
      </c>
      <c r="N51" s="2309" t="s">
        <v>1350</v>
      </c>
      <c r="O51" s="2309" t="s">
        <v>1351</v>
      </c>
    </row>
    <row r="52" spans="1:35" ht="24" customHeight="1">
      <c r="A52" s="2152" t="s">
        <v>1352</v>
      </c>
      <c r="B52" s="3259" t="s">
        <v>1353</v>
      </c>
      <c r="C52" s="3259"/>
      <c r="D52" s="1024">
        <f ca="1">ROUND(D45*'数据-取费表'!B41/(1+'数据-取费表'!C42),0)</f>
        <v>33</v>
      </c>
      <c r="E52" s="1256" t="s">
        <v>1354</v>
      </c>
      <c r="F52" s="2338">
        <f>'数据-取费表'!B41</f>
        <v>5.6000000000000001E-2</v>
      </c>
      <c r="G52" s="2339"/>
      <c r="H52" s="2329"/>
      <c r="I52" s="1669"/>
      <c r="J52" s="2308">
        <v>1</v>
      </c>
      <c r="K52" s="3324" t="s">
        <v>1355</v>
      </c>
      <c r="L52" s="3324"/>
      <c r="M52" s="2310" t="b">
        <f>D48</f>
        <v>0</v>
      </c>
      <c r="N52" s="2308" t="str">
        <f>E48</f>
        <v>销售额×税（费）率</v>
      </c>
      <c r="O52" s="2311">
        <f>F48</f>
        <v>5.6000000000000001E-2</v>
      </c>
    </row>
    <row r="53" spans="1:35" ht="12" customHeight="1">
      <c r="A53" s="2152" t="s">
        <v>1356</v>
      </c>
      <c r="B53" s="3285" t="s">
        <v>2288</v>
      </c>
      <c r="C53" s="3286"/>
      <c r="D53" s="1024">
        <f ca="1">ROUND(D45*'数据-取费表'!B41/(1+'数据-取费表'!C42),0)</f>
        <v>33</v>
      </c>
      <c r="E53" s="1256" t="s">
        <v>1354</v>
      </c>
      <c r="F53" s="2338">
        <f>'数据-取费表'!B41</f>
        <v>5.6000000000000001E-2</v>
      </c>
      <c r="G53" s="2339"/>
      <c r="H53" s="2329"/>
      <c r="I53" s="1669"/>
      <c r="J53" s="2308">
        <v>2</v>
      </c>
      <c r="K53" s="3324" t="s">
        <v>1357</v>
      </c>
      <c r="L53" s="3324"/>
      <c r="M53" s="2310">
        <f t="shared" ref="M53:O54" ca="1" si="0">D55</f>
        <v>0</v>
      </c>
      <c r="N53" s="2308" t="str">
        <f t="shared" si="0"/>
        <v>销售额×税（费）率</v>
      </c>
      <c r="O53" s="2311" t="str">
        <f t="shared" si="0"/>
        <v>免征</v>
      </c>
    </row>
    <row r="54" spans="1:35" ht="12" customHeight="1">
      <c r="A54" s="2152" t="s">
        <v>1358</v>
      </c>
      <c r="B54" s="3285" t="s">
        <v>2289</v>
      </c>
      <c r="C54" s="3286"/>
      <c r="D54" s="1024">
        <f ca="1">C68</f>
        <v>33</v>
      </c>
      <c r="E54" s="319" t="s">
        <v>1359</v>
      </c>
      <c r="F54" s="2338">
        <f>'数据-取费表'!B41</f>
        <v>5.6000000000000001E-2</v>
      </c>
      <c r="G54" s="2339"/>
      <c r="H54" s="2340"/>
      <c r="I54" s="1669"/>
      <c r="J54" s="2308">
        <v>3</v>
      </c>
      <c r="K54" s="3324" t="s">
        <v>1360</v>
      </c>
      <c r="L54" s="3324"/>
      <c r="M54" s="2310">
        <f t="shared" ca="1" si="0"/>
        <v>353</v>
      </c>
      <c r="N54" s="2308" t="str">
        <f t="shared" si="0"/>
        <v>增值额×税（费）率</v>
      </c>
      <c r="O54" s="2312" t="str">
        <f t="shared" si="0"/>
        <v>免征</v>
      </c>
    </row>
    <row r="55" spans="1:35" ht="24" customHeight="1">
      <c r="A55" s="3274" t="s">
        <v>1361</v>
      </c>
      <c r="B55" s="3275"/>
      <c r="C55" s="3275"/>
      <c r="D55" s="12">
        <f ca="1">IF(H55="个人住宅",0,ROUND(D45*I55,0))</f>
        <v>0</v>
      </c>
      <c r="E55" s="1256" t="s">
        <v>1362</v>
      </c>
      <c r="F55" s="2338" t="str">
        <f>IF(H55="正常",I55,"免征")</f>
        <v>免征</v>
      </c>
      <c r="G55" s="2339"/>
      <c r="H55" s="2335"/>
      <c r="I55" s="157">
        <f>'数据-取费表'!B49</f>
        <v>5.0000000000000001E-4</v>
      </c>
      <c r="J55" s="2308">
        <f>IF(H59="非个人房产","",4)</f>
        <v>4</v>
      </c>
      <c r="K55" s="3324" t="str">
        <f>IF(H59="非个人房产","——","个人所得税")</f>
        <v>个人所得税</v>
      </c>
      <c r="L55" s="3324"/>
      <c r="M55" s="2313">
        <f ca="1">D59</f>
        <v>6</v>
      </c>
      <c r="N55" s="1883" t="str">
        <f>E59</f>
        <v>差额计税</v>
      </c>
      <c r="O55" s="2314">
        <f>F59</f>
        <v>0.01</v>
      </c>
    </row>
    <row r="56" spans="1:35" ht="26">
      <c r="A56" s="3274" t="s">
        <v>1363</v>
      </c>
      <c r="B56" s="3275"/>
      <c r="C56" s="3275"/>
      <c r="D56" s="12">
        <f ca="1">IF(H56="个人住宅",D57,D58)</f>
        <v>353</v>
      </c>
      <c r="E56" s="1256" t="s">
        <v>1364</v>
      </c>
      <c r="F56" s="2338" t="str">
        <f>IF(H56="正常",F58,"免征")</f>
        <v>免征</v>
      </c>
      <c r="G56" s="2341" t="s">
        <v>1365</v>
      </c>
      <c r="H56" s="2342"/>
      <c r="I56" s="1670"/>
      <c r="J56" s="2308" t="str">
        <f>IF(项目基本情况!K6="上海银行",IF(J55="",4,J55+1),"")</f>
        <v/>
      </c>
      <c r="K56" s="3347" t="str">
        <f>IF(项目基本情况!K6="上海银行","其他处置费用","")</f>
        <v/>
      </c>
      <c r="L56" s="3348"/>
      <c r="M56" s="2310" t="str">
        <f>IF(项目基本情况!K6="上海银行",M69,"")</f>
        <v/>
      </c>
      <c r="N56" s="3347" t="str">
        <f>IF(项目基本情况!K6="上海银行","包含处置中涉及的律师、诉讼、拍卖、评估等费用","")</f>
        <v/>
      </c>
      <c r="O56" s="3350"/>
    </row>
    <row r="57" spans="1:35" ht="13">
      <c r="A57" s="2152" t="s">
        <v>1341</v>
      </c>
      <c r="B57" s="3285" t="s">
        <v>1366</v>
      </c>
      <c r="C57" s="3286"/>
      <c r="D57" s="1478">
        <v>0</v>
      </c>
      <c r="E57" s="316" t="s">
        <v>1343</v>
      </c>
      <c r="F57" s="294"/>
      <c r="G57" s="2339"/>
      <c r="H57" s="2343"/>
      <c r="I57" s="1670"/>
      <c r="J57" s="3324">
        <f>IF(AND(J55="",J56=""),4,IF(项目基本情况!K6="上海银行",'结果表501成本法、收益法 '!J56+1,'结果表501成本法、收益法 '!J55+1))</f>
        <v>5</v>
      </c>
      <c r="K57" s="3324" t="s">
        <v>1367</v>
      </c>
      <c r="L57" s="2315" t="s">
        <v>1368</v>
      </c>
      <c r="M57" s="2316"/>
      <c r="N57" s="2317">
        <f ca="1">SUMIF(M52:M56,"&lt;9e307")</f>
        <v>359</v>
      </c>
      <c r="O57" s="2318"/>
      <c r="P57" s="2462">
        <f ca="1">N57/M49</f>
        <v>0.57440000000000002</v>
      </c>
    </row>
    <row r="58" spans="1:35" ht="26">
      <c r="A58" s="2152" t="s">
        <v>1352</v>
      </c>
      <c r="B58" s="3285" t="s">
        <v>1369</v>
      </c>
      <c r="C58" s="3259"/>
      <c r="D58" s="12">
        <f ca="1">IF(H58="转让取得",C81,C97)</f>
        <v>353</v>
      </c>
      <c r="E58" s="1256" t="s">
        <v>1364</v>
      </c>
      <c r="F58" s="294" t="s">
        <v>28</v>
      </c>
      <c r="G58" s="2339"/>
      <c r="H58" s="2342"/>
      <c r="I58" s="1670"/>
      <c r="J58" s="3324"/>
      <c r="K58" s="3324"/>
      <c r="L58" s="2315" t="s">
        <v>1370</v>
      </c>
      <c r="M58" s="2319"/>
      <c r="N58" s="2320" t="str">
        <f ca="1">NUMBERSTRING(INT(N57*10000),2)&amp;"元整"</f>
        <v>叁佰伍拾玖万元整</v>
      </c>
      <c r="O58" s="2321"/>
    </row>
    <row r="59" spans="1:35" ht="26.5" thickBot="1">
      <c r="A59" s="3327" t="s">
        <v>1371</v>
      </c>
      <c r="B59" s="3328"/>
      <c r="C59" s="3328"/>
      <c r="D59" s="2344">
        <f ca="1">IF(H59="非个人房产","——",IF(H59="个人住宅（满五唯一有凭证）",0,IF(H59="个人其他（无凭证）",ROUND(D45/(1+'数据-取费表'!C42)*F59,0),ROUND(C67*F59,0))))</f>
        <v>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2134</v>
      </c>
      <c r="J59" s="3325">
        <f>J57+1</f>
        <v>6</v>
      </c>
      <c r="K59" s="3324" t="s">
        <v>1372</v>
      </c>
      <c r="L59" s="2308" t="s">
        <v>1368</v>
      </c>
      <c r="M59" s="2322"/>
      <c r="N59" s="2323">
        <f ca="1">M49-N57</f>
        <v>266</v>
      </c>
      <c r="O59" s="2324"/>
    </row>
    <row r="60" spans="1:35" ht="12" customHeight="1">
      <c r="A60" s="1671"/>
      <c r="B60" s="646"/>
      <c r="C60" s="646"/>
      <c r="D60" s="646"/>
      <c r="E60" s="1466"/>
      <c r="F60" s="1670"/>
      <c r="G60" s="1670"/>
      <c r="H60" s="151"/>
      <c r="I60" s="121"/>
      <c r="J60" s="3326"/>
      <c r="K60" s="3324"/>
      <c r="L60" s="2315" t="s">
        <v>1370</v>
      </c>
      <c r="M60" s="2319"/>
      <c r="N60" s="2320" t="str">
        <f ca="1">NUMBERSTRING(INT(N59*10000),2)&amp;"元整"</f>
        <v>贰佰陆拾陆万元整</v>
      </c>
      <c r="O60" s="2321"/>
    </row>
    <row r="61" spans="1:35" ht="13.5" thickBot="1">
      <c r="A61" s="3272" t="s">
        <v>1373</v>
      </c>
      <c r="B61" s="3272"/>
      <c r="C61" s="3272"/>
      <c r="D61" s="3272"/>
      <c r="E61" s="3272"/>
      <c r="F61" s="1670"/>
      <c r="G61" s="1670"/>
      <c r="H61" s="151"/>
      <c r="I61" s="121"/>
      <c r="J61" s="2308">
        <f>J59+1</f>
        <v>7</v>
      </c>
      <c r="K61" s="3324" t="s">
        <v>1374</v>
      </c>
      <c r="L61" s="3324"/>
      <c r="M61" s="2325"/>
      <c r="N61" s="2326">
        <f ca="1">ROUND(N59*10000/'数据-汇总表'!E3,0)</f>
        <v>3388</v>
      </c>
      <c r="O61" s="2327"/>
    </row>
    <row r="62" spans="1:35" ht="13">
      <c r="A62" s="3290" t="s">
        <v>1375</v>
      </c>
      <c r="B62" s="3291"/>
      <c r="C62" s="1865"/>
      <c r="D62" s="1865" t="s">
        <v>1376</v>
      </c>
      <c r="E62" s="158" t="s">
        <v>1377</v>
      </c>
      <c r="F62" s="1670"/>
      <c r="G62" s="1670"/>
      <c r="H62" s="151"/>
      <c r="I62" s="121"/>
    </row>
    <row r="63" spans="1:35" ht="13">
      <c r="A63" s="165" t="s">
        <v>330</v>
      </c>
      <c r="B63" s="159" t="s">
        <v>1378</v>
      </c>
      <c r="C63" s="2348">
        <f ca="1">ROUND((C64+C65)/(1+'数据-取费表'!C42),0)</f>
        <v>595</v>
      </c>
      <c r="D63" s="159"/>
      <c r="E63" s="160"/>
      <c r="F63" s="1670"/>
      <c r="G63" s="1670"/>
      <c r="H63" s="151"/>
      <c r="I63" s="121"/>
      <c r="J63" s="3349" t="s">
        <v>1379</v>
      </c>
      <c r="K63" s="1245" t="s">
        <v>1380</v>
      </c>
      <c r="L63" s="1245">
        <f ca="1">IF(M49&gt;10000,M49*0.5%,IF(AND(M49&gt;1000,M49&lt;=10000),M49*1%,IF(AND(M49&gt;100,M49&lt;=1000),M49*3%,IF(AND(M49&gt;10,M49&lt;=100),M49*5%,M49*8%))))</f>
        <v>18.75</v>
      </c>
      <c r="M63" s="294">
        <f ca="1">ROUND(L63,1)</f>
        <v>18.8</v>
      </c>
      <c r="N63" s="2328"/>
      <c r="Z63" s="1623"/>
      <c r="AI63" s="1561"/>
    </row>
    <row r="64" spans="1:35" ht="14.25" customHeight="1">
      <c r="A64" s="161" t="s">
        <v>325</v>
      </c>
      <c r="B64" s="162" t="s">
        <v>1381</v>
      </c>
      <c r="C64" s="2349">
        <f ca="1">D45</f>
        <v>625</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4.3749999999999991</v>
      </c>
      <c r="M64" s="294">
        <f t="shared" ref="M64:M65" ca="1" si="1">ROUND(L64,1)</f>
        <v>4.4000000000000004</v>
      </c>
      <c r="N64" s="2329" t="s">
        <v>1383</v>
      </c>
      <c r="Z64" s="1623"/>
      <c r="AI64" s="1561"/>
    </row>
    <row r="65" spans="1:35" ht="14.25" customHeight="1">
      <c r="A65" s="161" t="s">
        <v>326</v>
      </c>
      <c r="B65" s="162" t="s">
        <v>1384</v>
      </c>
      <c r="C65" s="2350"/>
      <c r="D65" s="162"/>
      <c r="E65" s="164"/>
      <c r="F65" s="1670"/>
      <c r="G65" s="1670"/>
      <c r="H65" s="151"/>
      <c r="I65" s="121"/>
      <c r="J65" s="3349"/>
      <c r="K65" s="1245" t="s">
        <v>1385</v>
      </c>
      <c r="L65" s="1245">
        <f ca="1">IF(M49&gt;1000,M49*0.1%,IF(AND(M49&gt;500,M49&lt;=1000),M49*0.5%,IF(AND(M49&gt;50,M49&lt;=500),M49*1%,IF(AND(M49&gt;1,M49&lt;=50),M49*1.5%))))</f>
        <v>3.125</v>
      </c>
      <c r="M65" s="294">
        <f t="shared" ca="1" si="1"/>
        <v>3.1</v>
      </c>
      <c r="N65" s="2329" t="s">
        <v>1383</v>
      </c>
      <c r="Z65" s="1623"/>
      <c r="AI65" s="1561"/>
    </row>
    <row r="66" spans="1:35" ht="14.25" customHeight="1">
      <c r="A66" s="165" t="s">
        <v>327</v>
      </c>
      <c r="B66" s="166" t="s">
        <v>1386</v>
      </c>
      <c r="C66" s="2351"/>
      <c r="D66" s="166" t="s">
        <v>26</v>
      </c>
      <c r="E66" s="1251" t="s">
        <v>671</v>
      </c>
      <c r="F66" s="1670"/>
      <c r="G66" s="1670"/>
      <c r="H66" s="151"/>
      <c r="I66" s="121"/>
      <c r="J66" s="3349"/>
      <c r="K66" s="1245" t="s">
        <v>1387</v>
      </c>
      <c r="L66" s="1245">
        <f ca="1">M49*0.5%</f>
        <v>3.125</v>
      </c>
      <c r="M66" s="294">
        <f ca="1">IF(L66&gt;0.5,0.5,ROUND(L66,0))</f>
        <v>0.5</v>
      </c>
      <c r="N66" s="2329" t="s">
        <v>1388</v>
      </c>
      <c r="Z66" s="1623"/>
      <c r="AI66" s="1561"/>
    </row>
    <row r="67" spans="1:35" ht="14.25" customHeight="1">
      <c r="A67" s="165" t="s">
        <v>328</v>
      </c>
      <c r="B67" s="166" t="s">
        <v>1389</v>
      </c>
      <c r="C67" s="2352">
        <f ca="1">C63-C66</f>
        <v>595</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1.8125</v>
      </c>
      <c r="M67" s="294">
        <f ca="1">ROUND(L67*0.9,1)</f>
        <v>1.6</v>
      </c>
      <c r="N67" s="2328"/>
      <c r="Z67" s="1623"/>
      <c r="AI67" s="1561"/>
    </row>
    <row r="68" spans="1:35" ht="14.25" customHeight="1" thickBot="1">
      <c r="A68" s="168" t="s">
        <v>329</v>
      </c>
      <c r="B68" s="169" t="s">
        <v>1391</v>
      </c>
      <c r="C68" s="2353">
        <f ca="1">IF(C67&lt;=0,0,ROUND(C67*D68,0))</f>
        <v>33</v>
      </c>
      <c r="D68" s="2354">
        <f>'数据-取费表'!B41</f>
        <v>5.6000000000000001E-2</v>
      </c>
      <c r="E68" s="170"/>
      <c r="F68" s="1670"/>
      <c r="G68" s="1670"/>
      <c r="H68" s="151"/>
      <c r="I68" s="121"/>
      <c r="J68" s="3349"/>
      <c r="K68" s="1245" t="s">
        <v>1392</v>
      </c>
      <c r="L68" s="1245">
        <f ca="1">IF(M49&gt;10000,M49*0.5%,IF(AND(M49&gt;5000,M49&lt;=10000),M49*1%,IF(AND(M49&gt;1000,M49&lt;=5000),M49*2%,IF(AND(M49&gt;200,M49&lt;=1000),M49*3%,M49*5%))))</f>
        <v>18.75</v>
      </c>
      <c r="M68" s="294">
        <f ca="1">ROUND(L68,1)</f>
        <v>18.8</v>
      </c>
      <c r="N68" s="2328"/>
      <c r="Z68" s="1623"/>
      <c r="AI68" s="1561"/>
    </row>
    <row r="69" spans="1:35" ht="16.5" customHeight="1">
      <c r="A69" s="1672"/>
      <c r="B69" s="1673"/>
      <c r="C69" s="1674"/>
      <c r="D69" s="1675"/>
      <c r="E69" s="1676"/>
      <c r="F69" s="1466"/>
      <c r="G69" s="1466"/>
      <c r="H69" s="1467"/>
      <c r="I69" s="646"/>
      <c r="J69" s="3349"/>
      <c r="K69" s="1245" t="s">
        <v>1393</v>
      </c>
      <c r="L69" s="1245"/>
      <c r="M69" s="294">
        <f ca="1">ROUND(SUM(M63:M68),0)</f>
        <v>47</v>
      </c>
      <c r="N69" s="2330">
        <f ca="1">M69/M49</f>
        <v>7.5200000000000003E-2</v>
      </c>
      <c r="Z69" s="1623"/>
      <c r="AI69" s="1561"/>
    </row>
    <row r="70" spans="1:35" s="642" customFormat="1" ht="14.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595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4</v>
      </c>
      <c r="D78" s="2361">
        <f>'数据-取费表'!B43</f>
        <v>6.000000000000001E-3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328</v>
      </c>
      <c r="B79" s="166" t="s">
        <v>1407</v>
      </c>
      <c r="C79" s="2352">
        <f ca="1">C72-C73</f>
        <v>591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147.75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353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595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351" t="s">
        <v>2126</v>
      </c>
      <c r="H90" s="3352"/>
      <c r="I90" s="1681"/>
      <c r="J90" s="2306"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9" t="s">
        <v>1422</v>
      </c>
      <c r="F92" s="3270"/>
      <c r="G92" s="3270"/>
      <c r="H92" s="3279"/>
      <c r="I92" s="1681"/>
      <c r="J92" s="2307"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4</v>
      </c>
      <c r="D93" s="2361">
        <f>'数据-取费表'!B43</f>
        <v>6.000000000000001E-3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328</v>
      </c>
      <c r="B95" s="166" t="s">
        <v>1407</v>
      </c>
      <c r="C95" s="2352">
        <f ca="1">ROUND(C85-C86,0)</f>
        <v>591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147.75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353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69" t="str">
        <f>C4</f>
        <v>成本法 (元)501</v>
      </c>
      <c r="D101" s="2370" t="str">
        <f>D4</f>
        <v>收益法 (元)101</v>
      </c>
      <c r="E101" s="3346" t="s">
        <v>1431</v>
      </c>
      <c r="F101" s="3303"/>
      <c r="G101" s="1687" t="s">
        <v>1432</v>
      </c>
      <c r="H101" s="2379">
        <f ca="1">H118</f>
        <v>625</v>
      </c>
      <c r="I101" s="121"/>
    </row>
    <row r="102" spans="1:35" ht="18.75" customHeight="1">
      <c r="A102" s="3305" t="s">
        <v>1433</v>
      </c>
      <c r="B102" s="2368" t="s">
        <v>1432</v>
      </c>
      <c r="C102" s="2369">
        <f ca="1">IF(D32="楼面单价",ROUND(C19,0),C19)</f>
        <v>585</v>
      </c>
      <c r="D102" s="2370">
        <f ca="1">IF(D32="楼面单价",ROUND(D19,0),D19)</f>
        <v>624</v>
      </c>
      <c r="E102" s="3346"/>
      <c r="F102" s="3303"/>
      <c r="G102" s="1687" t="s">
        <v>1434</v>
      </c>
      <c r="H102" s="2339">
        <f ca="1">I118</f>
        <v>15432</v>
      </c>
      <c r="I102" s="121"/>
    </row>
    <row r="103" spans="1:35" ht="42.75" customHeight="1">
      <c r="A103" s="3305"/>
      <c r="B103" s="2368" t="s">
        <v>1434</v>
      </c>
      <c r="C103" s="2371">
        <f ca="1">C20</f>
        <v>14460</v>
      </c>
      <c r="D103" s="2372">
        <f ca="1">D20</f>
        <v>16403</v>
      </c>
      <c r="E103" s="3340" t="s">
        <v>1435</v>
      </c>
      <c r="F103" s="3341"/>
      <c r="G103" s="1688" t="s">
        <v>1436</v>
      </c>
      <c r="H103" s="2379">
        <f>IF(D36="正常操作",H104+H105+H106,H105+H106)</f>
        <v>0</v>
      </c>
      <c r="I103" s="121"/>
    </row>
    <row r="104" spans="1:35" ht="18.75" customHeight="1">
      <c r="A104" s="3305" t="s">
        <v>1437</v>
      </c>
      <c r="B104" s="2373" t="s">
        <v>1432</v>
      </c>
      <c r="C104" s="2374">
        <f ca="1">H118</f>
        <v>625</v>
      </c>
      <c r="D104" s="2375"/>
      <c r="E104" s="1555" t="s">
        <v>1438</v>
      </c>
      <c r="F104" s="1548"/>
      <c r="G104" s="1688" t="s">
        <v>1436</v>
      </c>
      <c r="H104" s="2380">
        <f>IF(D36="同一抵押权人同一抵押物续贷",C36&amp;"（续贷，未扣减，详见特别提示）",C36)</f>
        <v>0</v>
      </c>
      <c r="I104" s="121"/>
    </row>
    <row r="105" spans="1:35" ht="18.75" customHeight="1" thickBot="1">
      <c r="A105" s="3306"/>
      <c r="B105" s="2376" t="s">
        <v>1434</v>
      </c>
      <c r="C105" s="2377">
        <f ca="1">I118</f>
        <v>15432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2" t="str">
        <f>IF(项目基本情况!E8="已注销","——","3.房地产抵押价值")</f>
        <v>3.房地产抵押价值</v>
      </c>
      <c r="F107" s="3303"/>
      <c r="G107" s="1687" t="s">
        <v>1432</v>
      </c>
      <c r="H107" s="2379">
        <f ca="1">IF(E107="——","——",H101-H103)</f>
        <v>625</v>
      </c>
      <c r="I107" s="121"/>
    </row>
    <row r="108" spans="1:35" ht="18.75" customHeight="1">
      <c r="A108" s="121"/>
      <c r="B108" s="121"/>
      <c r="C108" s="121"/>
      <c r="D108" s="121"/>
      <c r="E108" s="3302"/>
      <c r="F108" s="3303"/>
      <c r="G108" s="1687" t="s">
        <v>1434</v>
      </c>
      <c r="H108" s="2339">
        <f ca="1">IF(H107=H101,H102,ROUND(H107*10000/'数据-汇总表'!E3,0))</f>
        <v>15432</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2" t="str">
        <f>IF(E109="——","——",H101-H105-H106)</f>
        <v>——</v>
      </c>
      <c r="I109" s="121"/>
    </row>
    <row r="110" spans="1:35" ht="18.75" customHeight="1">
      <c r="A110" s="121"/>
      <c r="B110" s="121"/>
      <c r="C110" s="121"/>
      <c r="D110" s="121"/>
      <c r="E110" s="3302"/>
      <c r="F110" s="3303"/>
      <c r="G110" s="1687" t="s">
        <v>1434</v>
      </c>
      <c r="H110" s="2339"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79" t="str">
        <f>IF(E111="——","——",N59)</f>
        <v>——</v>
      </c>
      <c r="I111" s="121"/>
    </row>
    <row r="112" spans="1:35" ht="18.75" customHeight="1" thickBot="1">
      <c r="A112" s="121"/>
      <c r="B112" s="121"/>
      <c r="C112" s="121"/>
      <c r="D112" s="121"/>
      <c r="E112" s="3335"/>
      <c r="F112" s="3336"/>
      <c r="G112" s="1690" t="s">
        <v>1434</v>
      </c>
      <c r="H112" s="2383"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49" t="s">
        <v>1449</v>
      </c>
      <c r="E117" s="2149" t="s">
        <v>1450</v>
      </c>
      <c r="F117" s="2149" t="s">
        <v>1449</v>
      </c>
      <c r="G117" s="2149" t="s">
        <v>1451</v>
      </c>
      <c r="H117" s="2149" t="s">
        <v>1449</v>
      </c>
      <c r="I117" s="2149" t="s">
        <v>1451</v>
      </c>
    </row>
    <row r="118" spans="1:27" ht="24.75" customHeight="1">
      <c r="A118" s="2384" t="str">
        <f>项目基本情况!S2</f>
        <v>北京市通州区新海东路15号楼1层101、4层501房地产</v>
      </c>
      <c r="B118" s="2149">
        <f>M18</f>
        <v>404.89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625</v>
      </c>
      <c r="I118" s="2149">
        <f ca="1">ROUND(IF(D32="楼面单价",C32,H118*10000/B118),0)</f>
        <v>15432</v>
      </c>
    </row>
    <row r="119" spans="1:27" ht="18.75" customHeight="1">
      <c r="A119" s="3273" t="s">
        <v>1452</v>
      </c>
      <c r="B119" s="3273"/>
      <c r="C119" s="3273"/>
      <c r="D119" s="3313" t="str">
        <f>NUMBERSTRING(INT(D118*10000),2)&amp;"元整"</f>
        <v>零元整</v>
      </c>
      <c r="E119" s="3315"/>
      <c r="F119" s="3313" t="str">
        <f>NUMBERSTRING(INT(F118*10000),2)&amp;"元整"</f>
        <v>零元整</v>
      </c>
      <c r="G119" s="3315"/>
      <c r="H119" s="3313" t="str">
        <f ca="1">NUMBERSTRING(INT(H118*10000),2)&amp;"元整"</f>
        <v>陆佰贰拾伍万元整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625</v>
      </c>
      <c r="E122" s="3338"/>
      <c r="F122" s="3338"/>
      <c r="G122" s="3338"/>
      <c r="H122" s="3338"/>
      <c r="I122" s="3339"/>
      <c r="AA122" s="684"/>
    </row>
    <row r="123" spans="1:27" ht="18.75" customHeight="1">
      <c r="A123" s="3273" t="s">
        <v>1452</v>
      </c>
      <c r="B123" s="3273"/>
      <c r="C123" s="3273"/>
      <c r="D123" s="3313" t="str">
        <f ca="1">NUMBERSTRING(INT(D122*10000),2)&amp;"元整"</f>
        <v>陆佰贰拾伍万元整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18F7B54B-7FAE-40A3-9032-DEF5C2F7DFBC}">
      <formula1>估价方法</formula1>
    </dataValidation>
    <dataValidation type="list" allowBlank="1" showInputMessage="1" showErrorMessage="1" sqref="H55:H56" xr:uid="{1432F518-B3BC-491B-B1EE-FE1DE527767A}">
      <formula1>"个人住宅,正常"</formula1>
    </dataValidation>
    <dataValidation type="list" allowBlank="1" showInputMessage="1" showErrorMessage="1" sqref="H48" xr:uid="{DD14DF87-1E39-4F95-89AC-268DCFDC438C}">
      <formula1>"情况1,情况2,情况3,情况4"</formula1>
    </dataValidation>
    <dataValidation type="list" allowBlank="1" showInputMessage="1" showErrorMessage="1" sqref="H58" xr:uid="{85DDB591-F1AB-478D-B282-D5CF825B6FFC}">
      <formula1>"转让取得,自行开发建设"</formula1>
    </dataValidation>
    <dataValidation type="list" allowBlank="1" showInputMessage="1" showErrorMessage="1" sqref="D32" xr:uid="{38678556-85C2-4C86-9146-C2CB3AF27489}">
      <formula1>"总价,楼面单价"</formula1>
    </dataValidation>
    <dataValidation type="list" allowBlank="1" showInputMessage="1" showErrorMessage="1" sqref="F45" xr:uid="{CECBB8C8-F60E-4267-BEB3-E9B7D81EE545}">
      <formula1>"100%,70%,56%"</formula1>
    </dataValidation>
    <dataValidation type="list" allowBlank="1" showInputMessage="1" showErrorMessage="1" sqref="C33" xr:uid="{6B72E770-9E1A-4A96-8D68-63555BA5DFCC}">
      <formula1>"成本比率,收益比率,自定义"</formula1>
    </dataValidation>
    <dataValidation type="list" allowBlank="1" showInputMessage="1" showErrorMessage="1" sqref="H91" xr:uid="{6F324305-8F47-4913-916A-4BC06E579125}">
      <formula1>"企业提供（在右侧录入）,——"</formula1>
    </dataValidation>
    <dataValidation type="list" allowBlank="1" showInputMessage="1" showErrorMessage="1" sqref="H88" xr:uid="{EA0353B8-6FF0-4299-9AA4-5377C4215070}">
      <formula1>"仅含出让金,出让金+开发费"</formula1>
    </dataValidation>
    <dataValidation type="list" allowBlank="1" showInputMessage="1" showErrorMessage="1" sqref="F75" xr:uid="{9195FE63-5F43-4C98-82AA-F8FBDA9646E7}">
      <formula1>"买卖合同,购房发票"</formula1>
    </dataValidation>
    <dataValidation type="list" allowBlank="1" showInputMessage="1" showErrorMessage="1" sqref="D36" xr:uid="{68090524-5338-45FC-88CC-986AFACBC413}">
      <formula1>"同一抵押权人同一抵押物续贷,注销后放款,正常操作"</formula1>
    </dataValidation>
    <dataValidation type="list" allowBlank="1" showInputMessage="1" showErrorMessage="1" sqref="B116:B117" xr:uid="{7B6999C2-E795-402F-BA1F-265091E8638A}">
      <formula1>"建筑面积,规划建筑面积,（规划）建筑面积"</formula1>
    </dataValidation>
    <dataValidation type="list" allowBlank="1" showInputMessage="1" showErrorMessage="1" sqref="C116:C117" xr:uid="{50F34168-AC65-4620-98DF-B669B767CA64}">
      <formula1>"土地面积,分摊土地面积,（分摊）土地面积"</formula1>
    </dataValidation>
    <dataValidation type="list" allowBlank="1" showInputMessage="1" showErrorMessage="1" sqref="D116:E116" xr:uid="{61B904B0-7683-4F40-8FE2-CB0A91424F45}">
      <formula1>"出让国有建设用地使用权价值,划拨国有建设用地使用权价值"</formula1>
    </dataValidation>
    <dataValidation type="list" allowBlank="1" showInputMessage="1" showErrorMessage="1" sqref="F116:G116" xr:uid="{53C5FB2A-CA45-4817-8DC0-FFE649FE3700}">
      <formula1>"建筑物价值,在建建筑物价值,建筑物/在建建筑物价值"</formula1>
    </dataValidation>
    <dataValidation type="list" allowBlank="1" showInputMessage="1" showErrorMessage="1" sqref="C129" xr:uid="{6F782B89-2B15-4159-8FF8-454B4C70D451}">
      <formula1>"无,有"</formula1>
    </dataValidation>
    <dataValidation type="list" showInputMessage="1" showErrorMessage="1" sqref="G1" xr:uid="{C05E4964-8529-4E74-B1D6-D083A300BA2D}">
      <formula1>"现房,在建,土地,-"</formula1>
    </dataValidation>
    <dataValidation type="list" allowBlank="1" showInputMessage="1" showErrorMessage="1" sqref="I1" xr:uid="{0C56EF02-2F34-4C79-8278-EC286575F4F7}">
      <formula1>"项目局部,项目全部,——"</formula1>
    </dataValidation>
    <dataValidation type="list" allowBlank="1" showInputMessage="1" showErrorMessage="1" sqref="C1" xr:uid="{CA0EB980-CAF6-4F26-9228-CD7BBC6044FF}">
      <formula1>项目类型</formula1>
    </dataValidation>
    <dataValidation type="list" allowBlank="1" showInputMessage="1" showErrorMessage="1" sqref="G77" xr:uid="{9245F4CA-8054-4DC9-8CC9-34D73417B55B}">
      <formula1>"个人住宅,2016年5月1日前购买,2016年5月1日后购买"</formula1>
    </dataValidation>
    <dataValidation type="list" allowBlank="1" showInputMessage="1" showErrorMessage="1" sqref="E103" xr:uid="{54299E98-BE71-4285-9C2F-0A345A988372}">
      <formula1>"2.估价师知悉的法定优先受偿款,2.估价师知悉的除抵押担保权以外的法定优先受偿款"</formula1>
    </dataValidation>
    <dataValidation type="list" allowBlank="1" showInputMessage="1" showErrorMessage="1" sqref="H59" xr:uid="{E5C957F6-4D9B-4EE7-AABA-A82DE45CD572}">
      <formula1>"非个人房产,个人住宅（满五唯一有凭证）,个人其他（有凭证）,个人其他（无凭证）"</formula1>
    </dataValidation>
    <dataValidation type="list" allowBlank="1" showInputMessage="1" showErrorMessage="1" sqref="D92" xr:uid="{417052D4-338D-44EB-A50A-501F94B1F76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8</v>
      </c>
    </row>
    <row r="2" spans="1:33" ht="18" customHeight="1">
      <c r="A2" s="193" t="s">
        <v>1462</v>
      </c>
      <c r="B2" s="196">
        <f ca="1">C32</f>
        <v>-18</v>
      </c>
      <c r="C2" s="268" t="s">
        <v>1595</v>
      </c>
      <c r="D2" s="268"/>
      <c r="E2" s="2565"/>
      <c r="F2" s="2565"/>
      <c r="G2" s="2565"/>
      <c r="H2" s="2565"/>
      <c r="I2" s="2565"/>
      <c r="J2" s="2565"/>
      <c r="K2" s="2565"/>
    </row>
    <row r="3" spans="1:33" ht="18" customHeight="1" thickBot="1">
      <c r="A3" s="195" t="s">
        <v>1464</v>
      </c>
      <c r="B3" s="196">
        <f ca="1">ROUND(B2*10000/IF(C1="",'数据-汇总表'!E3,INDIRECT("'数据-取费表'!K"&amp;$K$1)),0)</f>
        <v>-229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785.23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785.23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16</v>
      </c>
      <c r="D20" s="796">
        <f ca="1">IF(C1="",'数据-汇总表'!E6,IF(INDIRECT("'数据-取费表'!c"&amp;$K$1)="住宅",INDIRECT("'数据-取费表'!s"&amp;$K$1),INDIRECT("'数据-取费表'!k"&amp;$K$1)+INDIRECT("'数据-取费表'!s"&amp;$K$1)))</f>
        <v>785.23</v>
      </c>
      <c r="E20" s="21">
        <f>'数据-取费表'!B28</f>
        <v>200</v>
      </c>
      <c r="F20" s="756"/>
      <c r="G20" s="12"/>
      <c r="H20" s="761"/>
      <c r="I20" s="761"/>
      <c r="J20" s="761"/>
      <c r="K20" s="762"/>
    </row>
    <row r="21" spans="1:33" s="755" customFormat="1" ht="13.5" customHeight="1">
      <c r="A21" s="744" t="s">
        <v>357</v>
      </c>
      <c r="B21" s="765" t="s">
        <v>1628</v>
      </c>
      <c r="C21" s="766">
        <f ca="1">C16+C17+C18</f>
        <v>16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2106</v>
      </c>
      <c r="E6" s="294" t="s">
        <v>696</v>
      </c>
      <c r="F6" s="295">
        <f ca="1">INDIRECT("'数据-取费表'!u"&amp;$G$1)</f>
        <v>0</v>
      </c>
      <c r="G6" s="1292"/>
      <c r="H6" s="1006" t="s">
        <v>398</v>
      </c>
      <c r="I6" s="3358" t="s">
        <v>694</v>
      </c>
      <c r="J6" s="293">
        <f ca="1">ROUND(M6*M8*M7*(1-M9)/10000,0)</f>
        <v>0</v>
      </c>
      <c r="K6" s="147" t="s">
        <v>2105</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2303</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2113</v>
      </c>
      <c r="E53" s="305" t="s">
        <v>701</v>
      </c>
      <c r="F53" s="1053"/>
      <c r="I53" s="1344" t="s">
        <v>836</v>
      </c>
      <c r="J53" s="2005">
        <f ca="1">IF(M47="住宅",IF(D1="——",MAX(J51,L48),MAX(J51,L48-'数据-取费表'!B24)),IF(D1="——",MIN(J51,L48),MIN(J51,L48-'数据-取费表'!B24)))</f>
        <v>0</v>
      </c>
      <c r="K53" s="3356" t="s">
        <v>837</v>
      </c>
      <c r="L53" s="3357"/>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J11">
    <cfRule type="expression" dxfId="125" priority="2">
      <formula>$M$10="自定义"</formula>
    </cfRule>
  </conditionalFormatting>
  <conditionalFormatting sqref="K55 K60">
    <cfRule type="expression" dxfId="124"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15" customHeight="1">
      <c r="A2" s="1293" t="s">
        <v>2312</v>
      </c>
      <c r="B2" s="2592" t="e">
        <f>IF(D2="——",C40,C40+E2)</f>
        <v>#DIV/0!</v>
      </c>
      <c r="C2" s="2593" t="s">
        <v>2313</v>
      </c>
      <c r="D2" s="3136" t="s">
        <v>3353</v>
      </c>
      <c r="E2" s="3137"/>
      <c r="F2" s="2595"/>
      <c r="G2" s="2596"/>
      <c r="H2" s="2597"/>
      <c r="I2" s="2598"/>
      <c r="J2" s="3367" t="s">
        <v>2314</v>
      </c>
      <c r="K2" s="3368"/>
      <c r="L2" s="2599" t="s">
        <v>2315</v>
      </c>
      <c r="M2" s="2599" t="s">
        <v>2316</v>
      </c>
      <c r="N2" s="2599" t="s">
        <v>2317</v>
      </c>
      <c r="O2" s="2599" t="s">
        <v>2318</v>
      </c>
      <c r="P2" s="2599" t="s">
        <v>2319</v>
      </c>
      <c r="Q2" s="2600" t="s">
        <v>2320</v>
      </c>
      <c r="R2" s="2601" t="s">
        <v>2321</v>
      </c>
      <c r="S2" s="2590"/>
      <c r="T2" s="2590"/>
      <c r="U2" s="2590"/>
      <c r="V2" s="2598"/>
    </row>
    <row r="3" spans="1:22" s="2602" customFormat="1" ht="13.15" customHeight="1">
      <c r="A3" s="2603" t="s">
        <v>2322</v>
      </c>
      <c r="B3" s="2604" t="e">
        <f>ROUND(B2*10000/B4,0)</f>
        <v>#DIV/0!</v>
      </c>
      <c r="C3" s="2593" t="s">
        <v>2323</v>
      </c>
      <c r="D3" s="2593"/>
      <c r="E3" s="2594"/>
      <c r="F3" s="2595"/>
      <c r="G3" s="2596"/>
      <c r="H3" s="2597"/>
      <c r="I3" s="2598"/>
      <c r="J3" s="3369" t="s">
        <v>2324</v>
      </c>
      <c r="K3" s="3370"/>
      <c r="L3" s="2605"/>
      <c r="M3" s="2605"/>
      <c r="N3" s="2605"/>
      <c r="O3" s="2605"/>
      <c r="P3" s="2605"/>
      <c r="Q3" s="2606"/>
      <c r="R3" s="2607">
        <f>SUM(L3:Q3)</f>
        <v>0</v>
      </c>
      <c r="S3" s="2590"/>
      <c r="T3" s="2590"/>
      <c r="U3" s="2590"/>
      <c r="V3" s="2598"/>
    </row>
    <row r="4" spans="1:22" s="2602" customFormat="1" ht="13.15" customHeight="1">
      <c r="A4" s="2608" t="s">
        <v>2325</v>
      </c>
      <c r="B4" s="2609"/>
      <c r="C4" s="2593"/>
      <c r="D4" s="2593"/>
      <c r="E4" s="2594"/>
      <c r="F4" s="2595"/>
      <c r="G4" s="2596"/>
      <c r="H4" s="2597"/>
      <c r="I4" s="2598"/>
      <c r="J4" s="3369" t="s">
        <v>2326</v>
      </c>
      <c r="K4" s="3370"/>
      <c r="L4" s="2610"/>
      <c r="M4" s="2610"/>
      <c r="N4" s="2610"/>
      <c r="O4" s="2610"/>
      <c r="P4" s="2610"/>
      <c r="Q4" s="2611"/>
      <c r="R4" s="2612">
        <f>SUM(L4:Q4)</f>
        <v>0</v>
      </c>
      <c r="S4" s="2590"/>
      <c r="T4" s="2590"/>
      <c r="U4" s="2590"/>
      <c r="V4" s="2598"/>
    </row>
    <row r="5" spans="1:22" s="2602" customFormat="1" ht="13.1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15" customHeight="1" thickBot="1">
      <c r="A6" s="3375" t="s">
        <v>2330</v>
      </c>
      <c r="B6" s="3376"/>
      <c r="C6" s="3377"/>
      <c r="D6" s="2619"/>
      <c r="E6" s="2620"/>
      <c r="F6" s="2621"/>
      <c r="G6" s="2622"/>
      <c r="H6" s="2597"/>
      <c r="I6" s="2598"/>
      <c r="J6" s="3361">
        <v>1</v>
      </c>
      <c r="K6" s="3362"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15" customHeight="1">
      <c r="A7" s="2625" t="s">
        <v>2340</v>
      </c>
      <c r="B7" s="2626"/>
      <c r="C7" s="2627"/>
      <c r="D7" s="2628">
        <f>SUM(D9,D10,D11,D17,0)</f>
        <v>0</v>
      </c>
      <c r="E7" s="2629" t="e">
        <f>E9+E10+E11+E17</f>
        <v>#DIV/0!</v>
      </c>
      <c r="F7" s="2630"/>
      <c r="G7" s="2631"/>
      <c r="H7" s="2597"/>
      <c r="I7" s="2598"/>
      <c r="J7" s="3361"/>
      <c r="K7" s="3363"/>
      <c r="L7" s="2632" t="s">
        <v>2341</v>
      </c>
      <c r="M7" s="2633"/>
      <c r="N7" s="2609"/>
      <c r="O7" s="2634"/>
      <c r="P7" s="2634"/>
      <c r="Q7" s="2635">
        <v>365</v>
      </c>
      <c r="R7" s="2636">
        <f>ROUND(M7*N7*O7*P7*Q7/10000,0)</f>
        <v>0</v>
      </c>
      <c r="S7" s="2590"/>
      <c r="T7" s="2590" t="s">
        <v>2342</v>
      </c>
      <c r="U7" s="2590"/>
      <c r="V7" s="2598"/>
    </row>
    <row r="8" spans="1:22" s="2602" customFormat="1" ht="13.15" customHeight="1">
      <c r="A8" s="2637" t="s">
        <v>2343</v>
      </c>
      <c r="B8" s="3378" t="s">
        <v>2344</v>
      </c>
      <c r="C8" s="3379"/>
      <c r="D8" s="2638" t="s">
        <v>2345</v>
      </c>
      <c r="E8" s="2639" t="s">
        <v>2346</v>
      </c>
      <c r="F8" s="2640" t="s">
        <v>2347</v>
      </c>
      <c r="G8" s="2641"/>
      <c r="H8" s="2597"/>
      <c r="I8" s="2598"/>
      <c r="J8" s="3361"/>
      <c r="K8" s="3363"/>
      <c r="L8" s="2632" t="s">
        <v>2348</v>
      </c>
      <c r="M8" s="2633"/>
      <c r="N8" s="2609"/>
      <c r="O8" s="2634"/>
      <c r="P8" s="2634"/>
      <c r="Q8" s="2635">
        <v>365</v>
      </c>
      <c r="R8" s="2636">
        <f t="shared" ref="R8:R13" si="0">ROUND(M8*N8*O8*P8*Q8/10000,0)</f>
        <v>0</v>
      </c>
      <c r="S8" s="2590"/>
      <c r="T8" s="2590" t="s">
        <v>2349</v>
      </c>
      <c r="U8" s="2590"/>
      <c r="V8" s="2598"/>
    </row>
    <row r="9" spans="1:22" s="2602" customFormat="1" ht="13.15" customHeight="1">
      <c r="A9" s="2637">
        <v>1</v>
      </c>
      <c r="B9" s="3378" t="s">
        <v>2350</v>
      </c>
      <c r="C9" s="3379"/>
      <c r="D9" s="2638">
        <f>ROUND(D6*E9,0)</f>
        <v>0</v>
      </c>
      <c r="E9" s="2642"/>
      <c r="F9" s="2643" t="s">
        <v>2351</v>
      </c>
      <c r="G9" s="2622"/>
      <c r="H9" s="2597"/>
      <c r="I9" s="2598"/>
      <c r="J9" s="3361"/>
      <c r="K9" s="3363"/>
      <c r="L9" s="2632" t="s">
        <v>2352</v>
      </c>
      <c r="M9" s="2633"/>
      <c r="N9" s="2609"/>
      <c r="O9" s="2634"/>
      <c r="P9" s="2634"/>
      <c r="Q9" s="2635">
        <v>365</v>
      </c>
      <c r="R9" s="2636">
        <f t="shared" si="0"/>
        <v>0</v>
      </c>
      <c r="S9" s="2590"/>
      <c r="T9" s="2590"/>
      <c r="U9" s="2590"/>
      <c r="V9" s="2598"/>
    </row>
    <row r="10" spans="1:22" s="2602" customFormat="1" ht="13.15" customHeight="1">
      <c r="A10" s="2637">
        <v>2</v>
      </c>
      <c r="B10" s="3378" t="s">
        <v>2353</v>
      </c>
      <c r="C10" s="3379"/>
      <c r="D10" s="2638">
        <f>ROUND(D6*E10,0)</f>
        <v>0</v>
      </c>
      <c r="E10" s="2642"/>
      <c r="F10" s="2643" t="s">
        <v>2354</v>
      </c>
      <c r="G10" s="2622"/>
      <c r="H10" s="2597"/>
      <c r="I10" s="2598"/>
      <c r="J10" s="3361"/>
      <c r="K10" s="3363"/>
      <c r="L10" s="2632" t="s">
        <v>2355</v>
      </c>
      <c r="M10" s="2633"/>
      <c r="N10" s="2609"/>
      <c r="O10" s="2634"/>
      <c r="P10" s="2634"/>
      <c r="Q10" s="2635">
        <v>365</v>
      </c>
      <c r="R10" s="2636">
        <f t="shared" si="0"/>
        <v>0</v>
      </c>
      <c r="S10" s="2590"/>
      <c r="T10" s="2590"/>
      <c r="U10" s="2590"/>
      <c r="V10" s="2598"/>
    </row>
    <row r="11" spans="1:22" s="2602" customFormat="1" ht="13.15" customHeight="1">
      <c r="A11" s="2637">
        <v>3</v>
      </c>
      <c r="B11" s="3378" t="s">
        <v>2356</v>
      </c>
      <c r="C11" s="3379"/>
      <c r="D11" s="2638">
        <f>D12+D14+D15+D16</f>
        <v>0</v>
      </c>
      <c r="E11" s="2644" t="e">
        <f>D11/D6</f>
        <v>#DIV/0!</v>
      </c>
      <c r="F11" s="2640"/>
      <c r="G11" s="2641"/>
      <c r="H11" s="2597"/>
      <c r="I11" s="2598"/>
      <c r="J11" s="3361"/>
      <c r="K11" s="3363"/>
      <c r="L11" s="2632" t="s">
        <v>2357</v>
      </c>
      <c r="M11" s="2633"/>
      <c r="N11" s="2609"/>
      <c r="O11" s="2634"/>
      <c r="P11" s="2634"/>
      <c r="Q11" s="2635">
        <v>365</v>
      </c>
      <c r="R11" s="2636">
        <f t="shared" si="0"/>
        <v>0</v>
      </c>
      <c r="S11" s="2590"/>
      <c r="T11" s="2590"/>
      <c r="U11" s="2590"/>
      <c r="V11" s="2598"/>
    </row>
    <row r="12" spans="1:22" s="2602" customFormat="1" ht="13.15" customHeight="1">
      <c r="A12" s="2645" t="s">
        <v>2358</v>
      </c>
      <c r="B12" s="3371" t="s">
        <v>2359</v>
      </c>
      <c r="C12" s="3372"/>
      <c r="D12" s="2646">
        <f>ROUND(D13*1.2%*(1-30%),0)</f>
        <v>0</v>
      </c>
      <c r="E12" s="2647">
        <v>1.2E-2</v>
      </c>
      <c r="F12" s="2640" t="s">
        <v>2360</v>
      </c>
      <c r="G12" s="2641"/>
      <c r="H12" s="2597"/>
      <c r="I12" s="2598"/>
      <c r="J12" s="3361"/>
      <c r="K12" s="3363"/>
      <c r="L12" s="2632" t="s">
        <v>2361</v>
      </c>
      <c r="M12" s="2633"/>
      <c r="N12" s="2609"/>
      <c r="O12" s="2634"/>
      <c r="P12" s="2634"/>
      <c r="Q12" s="2635">
        <v>365</v>
      </c>
      <c r="R12" s="2636">
        <f t="shared" si="0"/>
        <v>0</v>
      </c>
      <c r="S12" s="2590"/>
      <c r="T12" s="2590"/>
      <c r="U12" s="2590"/>
      <c r="V12" s="2598"/>
    </row>
    <row r="13" spans="1:22" s="2602" customFormat="1" ht="13.15" customHeight="1">
      <c r="A13" s="2645"/>
      <c r="B13" s="2648"/>
      <c r="C13" s="2649" t="s">
        <v>2362</v>
      </c>
      <c r="D13" s="2650"/>
      <c r="E13" s="2651"/>
      <c r="F13" s="2640"/>
      <c r="G13" s="2641"/>
      <c r="H13" s="2597"/>
      <c r="I13" s="2598"/>
      <c r="J13" s="3361"/>
      <c r="K13" s="3363"/>
      <c r="L13" s="2632" t="s">
        <v>2363</v>
      </c>
      <c r="M13" s="2633"/>
      <c r="N13" s="2609"/>
      <c r="O13" s="2634"/>
      <c r="P13" s="2634"/>
      <c r="Q13" s="2635">
        <v>365</v>
      </c>
      <c r="R13" s="2636">
        <f t="shared" si="0"/>
        <v>0</v>
      </c>
      <c r="S13" s="2590"/>
      <c r="T13" s="2590"/>
      <c r="U13" s="2590"/>
      <c r="V13" s="2598"/>
    </row>
    <row r="14" spans="1:22" s="2602" customFormat="1" ht="13.15" customHeight="1">
      <c r="A14" s="2645" t="s">
        <v>2364</v>
      </c>
      <c r="B14" s="3371" t="s">
        <v>2365</v>
      </c>
      <c r="C14" s="3372"/>
      <c r="D14" s="2646">
        <f>ROUND(E14*B5/10000,0)</f>
        <v>0</v>
      </c>
      <c r="E14" s="2635"/>
      <c r="F14" s="2640" t="s">
        <v>2366</v>
      </c>
      <c r="G14" s="2641"/>
      <c r="H14" s="2597"/>
      <c r="I14" s="2598"/>
      <c r="J14" s="3361"/>
      <c r="K14" s="3364"/>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2368</v>
      </c>
      <c r="B15" s="3371" t="s">
        <v>2369</v>
      </c>
      <c r="C15" s="3372"/>
      <c r="D15" s="2646">
        <f>ROUND(D6*E15,0)</f>
        <v>0</v>
      </c>
      <c r="E15" s="2647">
        <v>5.5E-2</v>
      </c>
      <c r="F15" s="2640" t="s">
        <v>2370</v>
      </c>
      <c r="G15" s="2622"/>
      <c r="H15" s="2597"/>
      <c r="I15" s="2598"/>
      <c r="J15" s="3361">
        <v>2</v>
      </c>
      <c r="K15" s="3362"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15" customHeight="1">
      <c r="A16" s="2645" t="s">
        <v>2377</v>
      </c>
      <c r="B16" s="3371" t="s">
        <v>2378</v>
      </c>
      <c r="C16" s="3372"/>
      <c r="D16" s="2657">
        <f>D6*E16</f>
        <v>0</v>
      </c>
      <c r="E16" s="2658"/>
      <c r="F16" s="2643" t="s">
        <v>2379</v>
      </c>
      <c r="G16" s="2622"/>
      <c r="H16" s="2597"/>
      <c r="I16" s="2598"/>
      <c r="J16" s="3361"/>
      <c r="K16" s="3363"/>
      <c r="L16" s="2632" t="s">
        <v>2380</v>
      </c>
      <c r="M16" s="2633"/>
      <c r="N16" s="2633"/>
      <c r="O16" s="2634"/>
      <c r="P16" s="2635">
        <v>365</v>
      </c>
      <c r="Q16" s="2609"/>
      <c r="R16" s="2656">
        <f>ROUND(M16*N16*O16*P16/10000,0)</f>
        <v>0</v>
      </c>
      <c r="S16" s="2590"/>
      <c r="T16" s="2590"/>
      <c r="U16" s="2590"/>
      <c r="V16" s="2598"/>
    </row>
    <row r="17" spans="1:22" s="2602" customFormat="1" ht="13.15" customHeight="1" thickBot="1">
      <c r="A17" s="2659">
        <v>4</v>
      </c>
      <c r="B17" s="3373" t="s">
        <v>2381</v>
      </c>
      <c r="C17" s="3374"/>
      <c r="D17" s="2660">
        <f>ROUND(D6*E17,0)</f>
        <v>0</v>
      </c>
      <c r="E17" s="2661"/>
      <c r="F17" s="2662" t="s">
        <v>2382</v>
      </c>
      <c r="G17" s="2622"/>
      <c r="H17" s="2597"/>
      <c r="I17" s="2598"/>
      <c r="J17" s="3361"/>
      <c r="K17" s="3363"/>
      <c r="L17" s="2632" t="s">
        <v>2383</v>
      </c>
      <c r="M17" s="2633"/>
      <c r="N17" s="2633"/>
      <c r="O17" s="2634"/>
      <c r="P17" s="2635">
        <v>365</v>
      </c>
      <c r="Q17" s="2609"/>
      <c r="R17" s="2656">
        <f>ROUND(M17*N17*O17*P17/10000,0)</f>
        <v>0</v>
      </c>
      <c r="S17" s="2590"/>
      <c r="T17" s="2590"/>
      <c r="U17" s="2590"/>
      <c r="V17" s="2598"/>
    </row>
    <row r="18" spans="1:22" s="2602" customFormat="1" ht="13.15" customHeight="1" thickBot="1">
      <c r="A18" s="2625" t="s">
        <v>2384</v>
      </c>
      <c r="B18" s="2626"/>
      <c r="C18" s="2626"/>
      <c r="D18" s="2663">
        <f>ROUND(D6*E18,0)</f>
        <v>0</v>
      </c>
      <c r="E18" s="2664"/>
      <c r="F18" s="2665" t="s">
        <v>2385</v>
      </c>
      <c r="G18" s="2622"/>
      <c r="H18" s="2597"/>
      <c r="I18" s="2598"/>
      <c r="J18" s="3361"/>
      <c r="K18" s="3363"/>
      <c r="L18" s="2632" t="s">
        <v>2386</v>
      </c>
      <c r="M18" s="2633"/>
      <c r="N18" s="2633"/>
      <c r="O18" s="2634"/>
      <c r="P18" s="2635">
        <v>365</v>
      </c>
      <c r="Q18" s="2609"/>
      <c r="R18" s="2656">
        <f>ROUND(M18*N18*O18*P18/10000,0)</f>
        <v>0</v>
      </c>
      <c r="S18" s="2590"/>
      <c r="T18" s="2590"/>
      <c r="U18" s="2590"/>
      <c r="V18" s="2598"/>
    </row>
    <row r="19" spans="1:22" s="2602" customFormat="1" ht="13.15" customHeight="1" thickBot="1">
      <c r="A19" s="2666" t="s">
        <v>2387</v>
      </c>
      <c r="B19" s="2620"/>
      <c r="C19" s="2620"/>
      <c r="D19" s="2620"/>
      <c r="E19" s="2620"/>
      <c r="F19" s="2621"/>
      <c r="G19" s="2641"/>
      <c r="H19" s="2597"/>
      <c r="I19" s="2598"/>
      <c r="J19" s="3361"/>
      <c r="K19" s="3364"/>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61">
        <v>3</v>
      </c>
      <c r="K20" s="3362"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15" customHeight="1">
      <c r="A21" s="2625"/>
      <c r="B21" s="2626"/>
      <c r="C21" s="2671" t="s">
        <v>2396</v>
      </c>
      <c r="D21" s="2672" t="s">
        <v>2397</v>
      </c>
      <c r="E21" s="2673" t="s">
        <v>2398</v>
      </c>
      <c r="F21" s="2669"/>
      <c r="G21" s="2641"/>
      <c r="H21" s="2597"/>
      <c r="I21" s="2598"/>
      <c r="J21" s="3361"/>
      <c r="K21" s="3363"/>
      <c r="L21" s="2632" t="s">
        <v>2399</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2400</v>
      </c>
      <c r="D22" s="2676" t="s">
        <v>2401</v>
      </c>
      <c r="E22" s="2677" t="s">
        <v>2402</v>
      </c>
      <c r="F22" s="2669"/>
      <c r="G22" s="2590"/>
      <c r="H22" s="2597"/>
      <c r="I22" s="2598"/>
      <c r="J22" s="3361"/>
      <c r="K22" s="3363"/>
      <c r="L22" s="2632" t="s">
        <v>2403</v>
      </c>
      <c r="M22" s="2633"/>
      <c r="N22" s="2633"/>
      <c r="O22" s="2634"/>
      <c r="P22" s="2635">
        <v>365</v>
      </c>
      <c r="Q22" s="2609"/>
      <c r="R22" s="2674">
        <f>ROUND(M22*N22*O22*P22/10000,0)</f>
        <v>0</v>
      </c>
      <c r="S22" s="2590"/>
      <c r="T22" s="2590"/>
      <c r="U22" s="2590"/>
      <c r="V22" s="2598"/>
    </row>
    <row r="23" spans="1:22" s="2602" customFormat="1" ht="13.15" customHeight="1">
      <c r="A23" s="2678">
        <v>1</v>
      </c>
      <c r="B23" s="2679" t="s">
        <v>2404</v>
      </c>
      <c r="C23" s="2680">
        <f>D6</f>
        <v>0</v>
      </c>
      <c r="D23" s="2681">
        <f>C23*(1+D24)</f>
        <v>0</v>
      </c>
      <c r="E23" s="2682">
        <f>D23*(1+E24)</f>
        <v>0</v>
      </c>
      <c r="F23" s="2683"/>
      <c r="G23" s="2684"/>
      <c r="H23" s="2597"/>
      <c r="I23" s="2598"/>
      <c r="J23" s="3361"/>
      <c r="K23" s="3363"/>
      <c r="L23" s="2632" t="s">
        <v>2405</v>
      </c>
      <c r="M23" s="2633"/>
      <c r="N23" s="2633"/>
      <c r="O23" s="2634"/>
      <c r="P23" s="2635">
        <v>365</v>
      </c>
      <c r="Q23" s="2609"/>
      <c r="R23" s="2674">
        <f>ROUND(M23*N23*O23*P23/10000,0)</f>
        <v>0</v>
      </c>
      <c r="S23" s="2590"/>
      <c r="T23" s="2590"/>
      <c r="U23" s="2590"/>
      <c r="V23" s="2598"/>
    </row>
    <row r="24" spans="1:22" s="2602" customFormat="1" ht="13.15" customHeight="1">
      <c r="A24" s="2685"/>
      <c r="B24" s="2686" t="s">
        <v>2406</v>
      </c>
      <c r="C24" s="2687"/>
      <c r="D24" s="2688"/>
      <c r="E24" s="2689"/>
      <c r="F24" s="2690"/>
      <c r="G24" s="2684"/>
      <c r="H24" s="2597"/>
      <c r="I24" s="2598"/>
      <c r="J24" s="3361"/>
      <c r="K24" s="3364"/>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15" customHeight="1">
      <c r="A26" s="2678">
        <v>2</v>
      </c>
      <c r="B26" s="2679" t="s">
        <v>2408</v>
      </c>
      <c r="C26" s="2680">
        <f>D7</f>
        <v>0</v>
      </c>
      <c r="D26" s="2681">
        <f>D23*D27</f>
        <v>0</v>
      </c>
      <c r="E26" s="2682">
        <f>E23*E27</f>
        <v>0</v>
      </c>
      <c r="F26" s="2683"/>
      <c r="G26" s="2684"/>
      <c r="H26" s="2597"/>
      <c r="I26" s="2598"/>
      <c r="J26" s="3365">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15" customHeight="1">
      <c r="A27" s="2685"/>
      <c r="B27" s="2686" t="s">
        <v>2414</v>
      </c>
      <c r="C27" s="2703" t="e">
        <f>E7</f>
        <v>#DIV/0!</v>
      </c>
      <c r="D27" s="2688"/>
      <c r="E27" s="2689"/>
      <c r="F27" s="2690"/>
      <c r="G27" s="2684"/>
      <c r="H27" s="2704"/>
      <c r="I27" s="2696"/>
      <c r="J27" s="336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1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15" customHeight="1">
      <c r="A32" s="2678">
        <v>4</v>
      </c>
      <c r="B32" s="2679" t="s">
        <v>2422</v>
      </c>
      <c r="C32" s="2680">
        <f>C23-C26-C29</f>
        <v>0</v>
      </c>
      <c r="D32" s="2681">
        <f>D23-D26-D29</f>
        <v>0</v>
      </c>
      <c r="E32" s="2682">
        <f>E23-E26-E29</f>
        <v>0</v>
      </c>
      <c r="F32" s="2683"/>
      <c r="G32" s="2590"/>
      <c r="H32" s="2597"/>
      <c r="I32" s="2598"/>
      <c r="J32" s="3367" t="s">
        <v>2314</v>
      </c>
      <c r="K32" s="3368"/>
      <c r="L32" s="2599" t="s">
        <v>2315</v>
      </c>
      <c r="M32" s="2599" t="s">
        <v>2316</v>
      </c>
      <c r="N32" s="2599" t="s">
        <v>2317</v>
      </c>
      <c r="O32" s="2599" t="s">
        <v>2318</v>
      </c>
      <c r="P32" s="2599" t="s">
        <v>2319</v>
      </c>
      <c r="Q32" s="2600" t="s">
        <v>2320</v>
      </c>
      <c r="R32" s="2719" t="s">
        <v>2321</v>
      </c>
      <c r="S32" s="2590"/>
      <c r="T32" s="2590"/>
      <c r="U32" s="2590"/>
      <c r="V32" s="2696"/>
    </row>
    <row r="33" spans="1:23" s="2602" customFormat="1" ht="13.15" customHeight="1">
      <c r="A33" s="2678"/>
      <c r="B33" s="2679"/>
      <c r="C33" s="2680"/>
      <c r="D33" s="2720"/>
      <c r="E33" s="2721"/>
      <c r="F33" s="2683"/>
      <c r="G33" s="2590"/>
      <c r="H33" s="2704"/>
      <c r="I33" s="2696"/>
      <c r="J33" s="3369" t="s">
        <v>2324</v>
      </c>
      <c r="K33" s="3370"/>
      <c r="L33" s="2605"/>
      <c r="M33" s="2605"/>
      <c r="N33" s="2605"/>
      <c r="O33" s="2605"/>
      <c r="P33" s="2605"/>
      <c r="Q33" s="2606"/>
      <c r="R33" s="2722">
        <f>SUM(L33:Q33)</f>
        <v>0</v>
      </c>
      <c r="S33" s="2590"/>
      <c r="T33" s="2590"/>
      <c r="U33" s="2590"/>
      <c r="V33" s="2598"/>
    </row>
    <row r="34" spans="1:23" s="2602" customFormat="1" ht="13.15" customHeight="1">
      <c r="A34" s="2678">
        <v>5</v>
      </c>
      <c r="B34" s="2679" t="s">
        <v>2423</v>
      </c>
      <c r="C34" s="2723"/>
      <c r="D34" s="2724"/>
      <c r="E34" s="2725"/>
      <c r="F34" s="2683"/>
      <c r="G34" s="2590"/>
      <c r="H34" s="2704"/>
      <c r="I34" s="2696"/>
      <c r="J34" s="3369" t="s">
        <v>2326</v>
      </c>
      <c r="K34" s="3370"/>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15" customHeight="1" thickBot="1">
      <c r="A36" s="2678">
        <v>7</v>
      </c>
      <c r="B36" s="2732" t="s">
        <v>2425</v>
      </c>
      <c r="C36" s="2733"/>
      <c r="D36" s="2734"/>
      <c r="E36" s="2735"/>
      <c r="F36" s="2736">
        <f>C36+D36+E36</f>
        <v>0</v>
      </c>
      <c r="G36" s="2590"/>
      <c r="H36" s="2597"/>
      <c r="I36" s="2598"/>
      <c r="J36" s="3361">
        <v>1</v>
      </c>
      <c r="K36" s="3362" t="s">
        <v>2426</v>
      </c>
      <c r="L36" s="2623"/>
      <c r="M36" s="2624"/>
      <c r="N36" s="2624"/>
      <c r="O36" s="2624"/>
      <c r="P36" s="2624"/>
      <c r="Q36" s="2624"/>
      <c r="R36" s="2607" t="s">
        <v>2338</v>
      </c>
      <c r="S36" s="2590"/>
      <c r="T36" s="2590" t="s">
        <v>2339</v>
      </c>
      <c r="U36" s="2590"/>
      <c r="V36" s="2598"/>
    </row>
    <row r="37" spans="1:23" s="2602" customFormat="1" ht="13.15" customHeight="1">
      <c r="A37" s="2678"/>
      <c r="B37" s="2679"/>
      <c r="C37" s="2679"/>
      <c r="D37" s="2679"/>
      <c r="E37" s="2679"/>
      <c r="F37" s="2683"/>
      <c r="G37" s="2590"/>
      <c r="H37" s="2597"/>
      <c r="I37" s="2598"/>
      <c r="J37" s="3361"/>
      <c r="K37" s="3363"/>
      <c r="L37" s="2632"/>
      <c r="M37" s="2633"/>
      <c r="N37" s="2609"/>
      <c r="O37" s="2634"/>
      <c r="P37" s="2634"/>
      <c r="Q37" s="2635"/>
      <c r="R37" s="2636"/>
      <c r="S37" s="2590"/>
      <c r="T37" s="2590" t="s">
        <v>2342</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61"/>
      <c r="K38" s="3363"/>
      <c r="L38" s="2632"/>
      <c r="M38" s="2633"/>
      <c r="N38" s="2609"/>
      <c r="O38" s="2634"/>
      <c r="P38" s="2634"/>
      <c r="Q38" s="2635"/>
      <c r="R38" s="2636"/>
      <c r="S38" s="2590"/>
      <c r="T38" s="2590" t="s">
        <v>2349</v>
      </c>
      <c r="U38" s="2590"/>
      <c r="V38" s="2598"/>
    </row>
    <row r="39" spans="1:23" s="2602" customFormat="1" ht="13.15" customHeight="1">
      <c r="A39" s="2678">
        <v>9</v>
      </c>
      <c r="B39" s="2679" t="s">
        <v>2427</v>
      </c>
      <c r="C39" s="2646" t="e">
        <f>C38</f>
        <v>#DIV/0!</v>
      </c>
      <c r="D39" s="2679">
        <f>D38/(1+D34)^C36</f>
        <v>0</v>
      </c>
      <c r="E39" s="2679">
        <f>E38/(1+E34)^(C36+D36)</f>
        <v>0</v>
      </c>
      <c r="F39" s="2683"/>
      <c r="G39" s="2598"/>
      <c r="H39" s="2597"/>
      <c r="I39" s="2598"/>
      <c r="J39" s="3361"/>
      <c r="K39" s="3363"/>
      <c r="L39" s="2632"/>
      <c r="M39" s="2633"/>
      <c r="N39" s="2609"/>
      <c r="O39" s="2634"/>
      <c r="P39" s="2634"/>
      <c r="Q39" s="2635"/>
      <c r="R39" s="2636"/>
      <c r="S39" s="2590"/>
      <c r="T39" s="2590"/>
      <c r="U39" s="2590"/>
      <c r="V39" s="2598"/>
    </row>
    <row r="40" spans="1:23" s="2602" customFormat="1" ht="13.15" customHeight="1">
      <c r="A40" s="2737">
        <v>10</v>
      </c>
      <c r="B40" s="2679" t="s">
        <v>2428</v>
      </c>
      <c r="C40" s="2738" t="e">
        <f>C39+D39+E39</f>
        <v>#DIV/0!</v>
      </c>
      <c r="D40" s="2739"/>
      <c r="E40" s="2739"/>
      <c r="F40" s="2740"/>
      <c r="G40" s="2590"/>
      <c r="H40" s="2597"/>
      <c r="I40" s="2598"/>
      <c r="J40" s="3361"/>
      <c r="K40" s="3364"/>
      <c r="L40" s="2652" t="s">
        <v>2367</v>
      </c>
      <c r="M40" s="2653"/>
      <c r="N40" s="2653"/>
      <c r="O40" s="2654"/>
      <c r="P40" s="2654"/>
      <c r="Q40" s="2655"/>
      <c r="R40" s="2601">
        <f>SUM(R37:R39)</f>
        <v>0</v>
      </c>
      <c r="S40" s="2590"/>
      <c r="T40" s="2590"/>
      <c r="U40" s="2590"/>
      <c r="V40" s="2598"/>
    </row>
    <row r="41" spans="1:23" s="2602" customFormat="1" ht="13.1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5">
        <v>3</v>
      </c>
      <c r="K42" s="2698" t="s">
        <v>2409</v>
      </c>
      <c r="L42" s="2699"/>
      <c r="M42" s="2700"/>
      <c r="N42" s="2701" t="s">
        <v>2410</v>
      </c>
      <c r="O42" s="2701" t="s">
        <v>2411</v>
      </c>
      <c r="P42" s="2702" t="s">
        <v>2412</v>
      </c>
      <c r="Q42" s="2702" t="s">
        <v>2413</v>
      </c>
      <c r="R42" s="2607" t="s">
        <v>2338</v>
      </c>
      <c r="S42" s="2641"/>
      <c r="T42" s="2641"/>
      <c r="U42" s="2590"/>
      <c r="V42" s="2598"/>
    </row>
    <row r="43" spans="1:23" ht="13.15" customHeight="1">
      <c r="A43" s="2602"/>
      <c r="B43" s="2602"/>
      <c r="C43" s="2602"/>
      <c r="D43" s="2602"/>
      <c r="E43" s="2602"/>
      <c r="F43" s="2602"/>
      <c r="I43" s="2585"/>
      <c r="J43" s="336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受贵公司委托，我公司对北京市通州区新海东路15号楼1层101、4层501房地产抵押价值进行了预评估。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估价对象为北京市通州区新海东路15号楼1层101、4层501房地产，为刘晓晶所有。根据《国有土地使用证》[]，估价对象（分摊）出让国有建设用地使用权面积为0平方米，建筑面积为785.23平方米。</v>
      </c>
    </row>
    <row r="8" spans="1:1" ht="53.5">
      <c r="A8" s="1385" t="s">
        <v>901</v>
      </c>
    </row>
    <row r="9" spans="1:1" ht="17.5">
      <c r="A9" s="1384" t="s">
        <v>902</v>
      </c>
    </row>
    <row r="10" spans="1:1" ht="70">
      <c r="A10" s="1382"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海东路15号楼1层101、4层501房地产,属刘晓晶开发建设的商业项目，该项目尚在开发建设中。根据《国有土地使用证》[]，估价对象（分摊）出让国有建设用地使用权面积为0平方米，规划建筑面积为785.23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新海东路15号楼1层101、4层501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2025年9月10日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"本次评估采用的主估价方法为"&amp;结果表101!K4&amp;"和"&amp;结果表101!L4&amp;"。"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1217.2669000000001</v>
      </c>
      <c r="C2" s="1729" t="s">
        <v>1651</v>
      </c>
      <c r="D2" s="1730" t="s">
        <v>1652</v>
      </c>
      <c r="E2" s="2391">
        <f>SUM(E6:E13)</f>
        <v>785.23</v>
      </c>
      <c r="F2" s="2477"/>
      <c r="G2" s="459"/>
      <c r="H2" s="459"/>
      <c r="I2" s="459"/>
      <c r="J2" s="459"/>
      <c r="K2" s="459"/>
      <c r="L2" s="459"/>
      <c r="M2" s="459"/>
      <c r="N2" s="459"/>
      <c r="O2" s="459"/>
      <c r="P2" s="459"/>
      <c r="Q2" s="459"/>
      <c r="R2" s="459"/>
      <c r="S2" s="459"/>
    </row>
    <row r="3" spans="1:22" ht="15.5">
      <c r="A3" s="1728" t="s">
        <v>686</v>
      </c>
      <c r="B3" s="2385">
        <f ca="1">ROUND(B2*10000/E2,0)</f>
        <v>15502</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80" t="s">
        <v>1654</v>
      </c>
      <c r="C5" s="3381"/>
      <c r="D5" s="2478"/>
      <c r="E5" s="1731" t="s">
        <v>1655</v>
      </c>
      <c r="F5" s="129" t="s">
        <v>1656</v>
      </c>
      <c r="G5" s="459"/>
      <c r="H5" s="459"/>
      <c r="I5" s="459"/>
      <c r="J5" s="459"/>
      <c r="K5" s="459"/>
      <c r="L5" s="459"/>
      <c r="M5" s="459"/>
      <c r="N5" s="459"/>
      <c r="O5" s="459"/>
      <c r="P5" s="459"/>
      <c r="Q5" s="459"/>
      <c r="R5" s="459"/>
      <c r="S5" s="459"/>
    </row>
    <row r="6" spans="1:22">
      <c r="A6" s="2388" t="str">
        <f>'数据-取费表'!AN6</f>
        <v>收益法 (元)101</v>
      </c>
      <c r="B6" s="2386">
        <f ca="1">IF(F6="是",'数据-取费表'!AO6,0)</f>
        <v>623.87369999999999</v>
      </c>
      <c r="C6" s="1729" t="s">
        <v>1651</v>
      </c>
      <c r="D6" s="2477"/>
      <c r="E6" s="2390">
        <f>IF(OR(A6=0,F6="否"),0,'数据-取费表'!K6+'数据-取费表'!S6)</f>
        <v>380.34</v>
      </c>
      <c r="F6" s="1732" t="s">
        <v>1657</v>
      </c>
      <c r="G6" s="459"/>
      <c r="H6" s="459"/>
      <c r="I6" s="459"/>
      <c r="J6" s="459"/>
      <c r="K6" s="459"/>
      <c r="L6" s="459"/>
      <c r="M6" s="459"/>
      <c r="N6" s="459"/>
      <c r="O6" s="459"/>
      <c r="P6" s="459"/>
      <c r="Q6" s="459"/>
      <c r="R6" s="459"/>
      <c r="S6" s="459"/>
    </row>
    <row r="7" spans="1:22">
      <c r="A7" s="2388" t="str">
        <f>'数据-取费表'!AN7</f>
        <v>收益法 (元)501</v>
      </c>
      <c r="B7" s="2386">
        <f ca="1">IF(F7="是",'数据-取费表'!AO7,0)</f>
        <v>593.39319999999998</v>
      </c>
      <c r="C7" s="1729" t="s">
        <v>1651</v>
      </c>
      <c r="D7" s="2477"/>
      <c r="E7" s="2390">
        <f>IF(OR(A7=0,F7="否"),0,'数据-取费表'!K7+'数据-取费表'!S7)</f>
        <v>404.89</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785.23</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400" t="s">
        <v>1667</v>
      </c>
      <c r="D4" s="3401"/>
      <c r="E4" s="3402" t="s">
        <v>1668</v>
      </c>
      <c r="F4" s="3403"/>
      <c r="G4" s="3400" t="s">
        <v>1669</v>
      </c>
      <c r="H4" s="3401"/>
      <c r="I4" s="3400" t="s">
        <v>1670</v>
      </c>
      <c r="J4" s="3401"/>
      <c r="K4" s="1744" t="s">
        <v>1671</v>
      </c>
      <c r="L4" s="2484"/>
      <c r="M4" s="2485"/>
      <c r="N4" s="2485"/>
      <c r="O4" s="2485"/>
      <c r="P4" s="3404" t="s">
        <v>1672</v>
      </c>
      <c r="Q4" s="3405"/>
      <c r="R4" s="3410" t="s">
        <v>1668</v>
      </c>
      <c r="S4" s="3411"/>
      <c r="T4" s="3410" t="s">
        <v>1669</v>
      </c>
      <c r="U4" s="3411"/>
      <c r="V4" s="3386" t="s">
        <v>1670</v>
      </c>
      <c r="W4" s="3386"/>
      <c r="X4" s="1265"/>
      <c r="Y4" s="3410" t="s">
        <v>1672</v>
      </c>
      <c r="Z4" s="3411"/>
      <c r="AA4" s="3397" t="s">
        <v>1668</v>
      </c>
      <c r="AB4" s="3397" t="s">
        <v>1669</v>
      </c>
      <c r="AC4" s="3397" t="s">
        <v>1670</v>
      </c>
    </row>
    <row r="5" spans="1:29">
      <c r="A5" s="348"/>
      <c r="B5" s="349"/>
      <c r="C5" s="3418" t="s">
        <v>1673</v>
      </c>
      <c r="D5" s="3419"/>
      <c r="E5" s="3425" t="s">
        <v>1674</v>
      </c>
      <c r="F5" s="3426"/>
      <c r="G5" s="3418" t="s">
        <v>1675</v>
      </c>
      <c r="H5" s="3419"/>
      <c r="I5" s="3418" t="s">
        <v>1676</v>
      </c>
      <c r="J5" s="3419"/>
      <c r="K5" s="1745"/>
      <c r="L5" s="2484"/>
      <c r="M5" s="2485"/>
      <c r="N5" s="2485"/>
      <c r="O5" s="2485"/>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1745" t="s">
        <v>1678</v>
      </c>
      <c r="L6" s="2484"/>
      <c r="M6" s="2485"/>
      <c r="N6" s="2485"/>
      <c r="O6" s="2485"/>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45910</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0" t="s">
        <v>1680</v>
      </c>
      <c r="Q7" s="3422"/>
      <c r="R7" s="664" t="s">
        <v>20</v>
      </c>
      <c r="S7" s="665">
        <f t="shared" ref="S7:S15" si="0">F7</f>
        <v>0</v>
      </c>
      <c r="T7" s="664" t="s">
        <v>20</v>
      </c>
      <c r="U7" s="665">
        <f t="shared" ref="U7:U15" si="1">H7</f>
        <v>0</v>
      </c>
      <c r="V7" s="664" t="s">
        <v>20</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0" t="s">
        <v>1683</v>
      </c>
      <c r="Q8" s="3421"/>
      <c r="R8" s="664" t="s">
        <v>20</v>
      </c>
      <c r="S8" s="665">
        <f t="shared" si="0"/>
        <v>100</v>
      </c>
      <c r="T8" s="664" t="s">
        <v>20</v>
      </c>
      <c r="U8" s="665">
        <f t="shared" si="1"/>
        <v>100</v>
      </c>
      <c r="V8" s="664" t="s">
        <v>20</v>
      </c>
      <c r="W8" s="665">
        <f t="shared" si="2"/>
        <v>100</v>
      </c>
      <c r="X8" s="666"/>
      <c r="Y8" s="3420" t="s">
        <v>1683</v>
      </c>
      <c r="Z8" s="342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6"/>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6"/>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6"/>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6"/>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4"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395"/>
      <c r="Q16" s="1263"/>
      <c r="R16" s="667"/>
      <c r="S16" s="668"/>
      <c r="T16" s="667"/>
      <c r="U16" s="668"/>
      <c r="V16" s="667"/>
      <c r="W16" s="668"/>
      <c r="X16" s="1265"/>
      <c r="Y16" s="338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5"/>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395"/>
      <c r="Q18" s="1263"/>
      <c r="R18" s="667"/>
      <c r="S18" s="668"/>
      <c r="T18" s="667"/>
      <c r="U18" s="668"/>
      <c r="V18" s="667"/>
      <c r="W18" s="668"/>
      <c r="X18" s="1265"/>
      <c r="Y18" s="338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5"/>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395"/>
      <c r="Q20" s="1263"/>
      <c r="R20" s="667"/>
      <c r="S20" s="668"/>
      <c r="T20" s="667"/>
      <c r="U20" s="668"/>
      <c r="V20" s="667"/>
      <c r="W20" s="668"/>
      <c r="X20" s="1265"/>
      <c r="Y20" s="338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395"/>
      <c r="Q22" s="1263"/>
      <c r="R22" s="667"/>
      <c r="S22" s="668"/>
      <c r="T22" s="667"/>
      <c r="U22" s="668"/>
      <c r="V22" s="667"/>
      <c r="W22" s="668"/>
      <c r="X22" s="1265"/>
      <c r="Y22" s="338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5"/>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395"/>
      <c r="Q24" s="1263"/>
      <c r="R24" s="667"/>
      <c r="S24" s="668"/>
      <c r="T24" s="667"/>
      <c r="U24" s="668"/>
      <c r="V24" s="667"/>
      <c r="W24" s="668"/>
      <c r="X24" s="1265"/>
      <c r="Y24" s="338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5"/>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5"/>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5"/>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5"/>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5"/>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5"/>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9" t="s">
        <v>1696</v>
      </c>
      <c r="Q32" s="1263" t="str">
        <f t="shared" si="11"/>
        <v>建筑类型</v>
      </c>
      <c r="R32" s="667" t="s">
        <v>18</v>
      </c>
      <c r="S32" s="668">
        <f t="shared" si="12"/>
        <v>100</v>
      </c>
      <c r="T32" s="667" t="s">
        <v>18</v>
      </c>
      <c r="U32" s="668">
        <f t="shared" si="13"/>
        <v>100</v>
      </c>
      <c r="V32" s="667" t="s">
        <v>18</v>
      </c>
      <c r="W32" s="668">
        <f t="shared" si="14"/>
        <v>100</v>
      </c>
      <c r="X32" s="1265"/>
      <c r="Y32" s="339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90"/>
      <c r="Q33" s="531" t="str">
        <f t="shared" si="11"/>
        <v>项目建筑规模</v>
      </c>
      <c r="R33" s="669" t="s">
        <v>18</v>
      </c>
      <c r="S33" s="670" t="e">
        <f t="shared" si="12"/>
        <v>#N/A</v>
      </c>
      <c r="T33" s="669" t="s">
        <v>18</v>
      </c>
      <c r="U33" s="670" t="e">
        <f t="shared" si="13"/>
        <v>#N/A</v>
      </c>
      <c r="V33" s="669" t="s">
        <v>18</v>
      </c>
      <c r="W33" s="670" t="e">
        <f t="shared" si="14"/>
        <v>#N/A</v>
      </c>
      <c r="X33" s="671"/>
      <c r="Y33" s="339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90"/>
      <c r="Q34" s="1263" t="str">
        <f t="shared" si="11"/>
        <v>建筑结构</v>
      </c>
      <c r="R34" s="667" t="s">
        <v>18</v>
      </c>
      <c r="S34" s="668">
        <f t="shared" si="12"/>
        <v>100</v>
      </c>
      <c r="T34" s="667" t="s">
        <v>18</v>
      </c>
      <c r="U34" s="668">
        <f t="shared" si="13"/>
        <v>100</v>
      </c>
      <c r="V34" s="667" t="s">
        <v>18</v>
      </c>
      <c r="W34" s="668">
        <f t="shared" si="14"/>
        <v>100</v>
      </c>
      <c r="X34" s="1265"/>
      <c r="Y34" s="339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0"/>
      <c r="Q35" s="1263" t="str">
        <f t="shared" si="11"/>
        <v>建筑品质</v>
      </c>
      <c r="R35" s="667" t="s">
        <v>18</v>
      </c>
      <c r="S35" s="668">
        <f t="shared" si="12"/>
        <v>100</v>
      </c>
      <c r="T35" s="667" t="s">
        <v>18</v>
      </c>
      <c r="U35" s="668">
        <f t="shared" si="13"/>
        <v>100</v>
      </c>
      <c r="V35" s="667" t="s">
        <v>18</v>
      </c>
      <c r="W35" s="668">
        <f t="shared" si="14"/>
        <v>100</v>
      </c>
      <c r="X35" s="1265"/>
      <c r="Y35" s="339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0"/>
      <c r="Q36" s="1263" t="str">
        <f t="shared" si="11"/>
        <v>公共部分装修</v>
      </c>
      <c r="R36" s="667" t="s">
        <v>18</v>
      </c>
      <c r="S36" s="668">
        <f t="shared" si="12"/>
        <v>100</v>
      </c>
      <c r="T36" s="667" t="s">
        <v>18</v>
      </c>
      <c r="U36" s="668">
        <f t="shared" si="13"/>
        <v>100</v>
      </c>
      <c r="V36" s="667" t="s">
        <v>18</v>
      </c>
      <c r="W36" s="668">
        <f t="shared" si="14"/>
        <v>100</v>
      </c>
      <c r="X36" s="1265"/>
      <c r="Y36" s="339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0"/>
      <c r="Q37" s="530" t="str">
        <f t="shared" si="11"/>
        <v>成新度</v>
      </c>
      <c r="R37" s="664" t="s">
        <v>18</v>
      </c>
      <c r="S37" s="665" t="e">
        <f t="shared" si="12"/>
        <v>#N/A</v>
      </c>
      <c r="T37" s="664" t="s">
        <v>18</v>
      </c>
      <c r="U37" s="665" t="e">
        <f t="shared" si="13"/>
        <v>#N/A</v>
      </c>
      <c r="V37" s="664" t="s">
        <v>18</v>
      </c>
      <c r="W37" s="665" t="e">
        <f t="shared" si="14"/>
        <v>#N/A</v>
      </c>
      <c r="X37" s="666"/>
      <c r="Y37" s="339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0" t="s">
        <v>1696</v>
      </c>
      <c r="Q38" s="1263" t="str">
        <f t="shared" si="11"/>
        <v>物业管理</v>
      </c>
      <c r="R38" s="667" t="s">
        <v>18</v>
      </c>
      <c r="S38" s="668">
        <f t="shared" si="12"/>
        <v>100</v>
      </c>
      <c r="T38" s="667" t="s">
        <v>18</v>
      </c>
      <c r="U38" s="668">
        <f t="shared" si="13"/>
        <v>100</v>
      </c>
      <c r="V38" s="667" t="s">
        <v>18</v>
      </c>
      <c r="W38" s="668">
        <f t="shared" si="14"/>
        <v>100</v>
      </c>
      <c r="X38" s="1265"/>
      <c r="Y38" s="339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0"/>
      <c r="Q39" s="1263" t="str">
        <f t="shared" si="11"/>
        <v>市政基础设施</v>
      </c>
      <c r="R39" s="667" t="s">
        <v>18</v>
      </c>
      <c r="S39" s="668">
        <f t="shared" si="12"/>
        <v>100</v>
      </c>
      <c r="T39" s="667" t="s">
        <v>18</v>
      </c>
      <c r="U39" s="668">
        <f t="shared" si="13"/>
        <v>100</v>
      </c>
      <c r="V39" s="667" t="s">
        <v>18</v>
      </c>
      <c r="W39" s="668">
        <f t="shared" si="14"/>
        <v>100</v>
      </c>
      <c r="X39" s="1265"/>
      <c r="Y39" s="339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0"/>
      <c r="Q40" s="1263" t="str">
        <f t="shared" si="11"/>
        <v>房型</v>
      </c>
      <c r="R40" s="667" t="s">
        <v>18</v>
      </c>
      <c r="S40" s="668">
        <f t="shared" si="12"/>
        <v>100</v>
      </c>
      <c r="T40" s="667" t="s">
        <v>18</v>
      </c>
      <c r="U40" s="668">
        <f t="shared" si="13"/>
        <v>100</v>
      </c>
      <c r="V40" s="667" t="s">
        <v>18</v>
      </c>
      <c r="W40" s="668">
        <f t="shared" si="14"/>
        <v>100</v>
      </c>
      <c r="X40" s="1265"/>
      <c r="Y40" s="339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0"/>
      <c r="Q41" s="531" t="str">
        <f t="shared" si="11"/>
        <v>单套/主力户型建筑面积</v>
      </c>
      <c r="R41" s="669" t="s">
        <v>18</v>
      </c>
      <c r="S41" s="670">
        <f t="shared" si="12"/>
        <v>100</v>
      </c>
      <c r="T41" s="669" t="s">
        <v>18</v>
      </c>
      <c r="U41" s="670">
        <f t="shared" si="13"/>
        <v>100</v>
      </c>
      <c r="V41" s="669" t="s">
        <v>18</v>
      </c>
      <c r="W41" s="670">
        <f t="shared" si="14"/>
        <v>100</v>
      </c>
      <c r="X41" s="671"/>
      <c r="Y41" s="339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90"/>
      <c r="Q42" s="1263" t="str">
        <f t="shared" si="11"/>
        <v>内部装修</v>
      </c>
      <c r="R42" s="667" t="s">
        <v>18</v>
      </c>
      <c r="S42" s="668">
        <f t="shared" si="12"/>
        <v>100</v>
      </c>
      <c r="T42" s="667" t="s">
        <v>18</v>
      </c>
      <c r="U42" s="668">
        <f t="shared" si="13"/>
        <v>100</v>
      </c>
      <c r="V42" s="667" t="s">
        <v>18</v>
      </c>
      <c r="W42" s="668">
        <f t="shared" si="14"/>
        <v>100</v>
      </c>
      <c r="X42" s="1265"/>
      <c r="Y42" s="339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90"/>
      <c r="Q43" s="1263" t="str">
        <f t="shared" si="11"/>
        <v>内部装修维护情况</v>
      </c>
      <c r="R43" s="667" t="s">
        <v>18</v>
      </c>
      <c r="S43" s="668">
        <f t="shared" si="12"/>
        <v>100</v>
      </c>
      <c r="T43" s="667" t="s">
        <v>18</v>
      </c>
      <c r="U43" s="668">
        <f t="shared" si="13"/>
        <v>100</v>
      </c>
      <c r="V43" s="667" t="s">
        <v>18</v>
      </c>
      <c r="W43" s="668">
        <f t="shared" si="14"/>
        <v>100</v>
      </c>
      <c r="X43" s="1265"/>
      <c r="Y43" s="339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90"/>
      <c r="Q44" s="530">
        <f t="shared" si="11"/>
        <v>111</v>
      </c>
      <c r="R44" s="664" t="s">
        <v>18</v>
      </c>
      <c r="S44" s="665">
        <f t="shared" si="12"/>
        <v>100</v>
      </c>
      <c r="T44" s="664" t="s">
        <v>18</v>
      </c>
      <c r="U44" s="665">
        <f t="shared" si="13"/>
        <v>100</v>
      </c>
      <c r="V44" s="664" t="s">
        <v>18</v>
      </c>
      <c r="W44" s="665">
        <f t="shared" si="14"/>
        <v>100</v>
      </c>
      <c r="X44" s="666"/>
      <c r="Y44" s="339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0"/>
      <c r="Q45" s="1263">
        <f t="shared" si="11"/>
        <v>111</v>
      </c>
      <c r="R45" s="667" t="s">
        <v>18</v>
      </c>
      <c r="S45" s="668">
        <f t="shared" si="12"/>
        <v>100</v>
      </c>
      <c r="T45" s="667" t="s">
        <v>18</v>
      </c>
      <c r="U45" s="668">
        <f t="shared" si="13"/>
        <v>100</v>
      </c>
      <c r="V45" s="667" t="s">
        <v>18</v>
      </c>
      <c r="W45" s="668">
        <f t="shared" si="14"/>
        <v>100</v>
      </c>
      <c r="X45" s="1265"/>
      <c r="Y45" s="339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1"/>
      <c r="Q46" s="1263">
        <f t="shared" si="11"/>
        <v>111</v>
      </c>
      <c r="R46" s="667" t="s">
        <v>17</v>
      </c>
      <c r="S46" s="668">
        <f t="shared" si="12"/>
        <v>100</v>
      </c>
      <c r="T46" s="667" t="s">
        <v>17</v>
      </c>
      <c r="U46" s="668">
        <f t="shared" si="13"/>
        <v>100</v>
      </c>
      <c r="V46" s="667" t="s">
        <v>17</v>
      </c>
      <c r="W46" s="668">
        <f t="shared" si="14"/>
        <v>100</v>
      </c>
      <c r="X46" s="1265"/>
      <c r="Y46" s="339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4.5" thickBot="1">
      <c r="A48" s="423" t="s">
        <v>1709</v>
      </c>
      <c r="B48" s="424"/>
      <c r="C48" s="1082" t="e">
        <f>R49</f>
        <v>#DIV/0!</v>
      </c>
      <c r="D48" s="2140" t="s">
        <v>2135</v>
      </c>
      <c r="E48" s="1083" t="e">
        <f>R48</f>
        <v>#DIV/0!</v>
      </c>
      <c r="F48" s="2141"/>
      <c r="G48" s="1082" t="e">
        <f>T48</f>
        <v>#DIV/0!</v>
      </c>
      <c r="H48" s="2141"/>
      <c r="I48" s="1083" t="e">
        <f>V48</f>
        <v>#DIV/0!</v>
      </c>
      <c r="J48" s="2141"/>
      <c r="K48" s="2142">
        <f>F48+H48+J48</f>
        <v>0</v>
      </c>
      <c r="L48" s="2492"/>
      <c r="M48" s="2485"/>
      <c r="N48" s="2485"/>
      <c r="O48" s="2485"/>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E8" sqref="E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101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801.51459999999997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21074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4441500</v>
      </c>
      <c r="D5" s="203" t="s">
        <v>1469</v>
      </c>
      <c r="E5" s="204" t="s">
        <v>1470</v>
      </c>
      <c r="F5" s="204" t="s">
        <v>1471</v>
      </c>
      <c r="G5" s="205"/>
    </row>
    <row r="6" spans="1:8" s="206" customFormat="1" ht="13.5" customHeight="1">
      <c r="A6" s="732" t="s">
        <v>1472</v>
      </c>
      <c r="B6" s="207" t="s">
        <v>1473</v>
      </c>
      <c r="C6" s="208">
        <f>ROUND(基准地价修正!T2*基准地价修正!U2,0)</f>
        <v>4236227</v>
      </c>
      <c r="D6" s="209"/>
      <c r="E6" s="210"/>
      <c r="F6" s="210"/>
      <c r="G6" s="211"/>
    </row>
    <row r="7" spans="1:8" s="206" customFormat="1" ht="13.5" customHeight="1">
      <c r="A7" s="732" t="s">
        <v>1474</v>
      </c>
      <c r="B7" s="207" t="s">
        <v>1475</v>
      </c>
      <c r="C7" s="212">
        <f>ROUND(C6*F7,0)</f>
        <v>129205</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76068</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76068</v>
      </c>
      <c r="D10" s="795">
        <f ca="1">IF(B1="",'数据-汇总表'!E6,IF(INDIRECT("'数据-取费表'!c"&amp;$G$1)="住宅",INDIRECT("'数据-取费表'!s"&amp;$G$1),INDIRECT("'数据-取费表'!k"&amp;$G$1)+INDIRECT("'数据-取费表'!s"&amp;$G$1)))</f>
        <v>380.34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380.34</v>
      </c>
      <c r="E19" s="203">
        <f>'数据-取费表'!B31</f>
        <v>200</v>
      </c>
      <c r="F19" s="223"/>
      <c r="G19" s="1714" t="s">
        <v>3443</v>
      </c>
    </row>
    <row r="20" spans="1:7" s="206" customFormat="1" ht="13.5" customHeight="1">
      <c r="A20" s="247" t="s">
        <v>1574</v>
      </c>
      <c r="B20" s="202" t="s">
        <v>1575</v>
      </c>
      <c r="C20" s="224">
        <f ca="1">ROUND((C5+C19)*F20,0)</f>
        <v>88830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285169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282389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2780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906066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906066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6204929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1703923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1521360</v>
      </c>
      <c r="D34" s="209"/>
      <c r="E34" s="212"/>
      <c r="F34" s="249"/>
      <c r="G34" s="211"/>
    </row>
    <row r="35" spans="1:7" ht="13.5" customHeight="1">
      <c r="A35" s="734" t="s">
        <v>351</v>
      </c>
      <c r="B35" s="207" t="s">
        <v>1527</v>
      </c>
      <c r="C35" s="212">
        <f ca="1">ROUND(C34*F35,0)</f>
        <v>76068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76068</v>
      </c>
      <c r="D37" s="209">
        <f ca="1">D19</f>
        <v>380.34</v>
      </c>
      <c r="E37" s="241">
        <f>'数据-取费表'!B35</f>
        <v>200</v>
      </c>
      <c r="F37" s="251"/>
      <c r="G37" s="253"/>
    </row>
    <row r="38" spans="1:7" ht="13.5" customHeight="1">
      <c r="A38" s="734" t="s">
        <v>354</v>
      </c>
      <c r="B38" s="207" t="s">
        <v>1533</v>
      </c>
      <c r="C38" s="212">
        <f ca="1">ROUND(C34*F38,0)</f>
        <v>30427</v>
      </c>
      <c r="D38" s="212"/>
      <c r="E38" s="212"/>
      <c r="F38" s="251">
        <f>'数据-取费表'!B36</f>
        <v>0.02</v>
      </c>
      <c r="G38" s="211" t="s">
        <v>1528</v>
      </c>
    </row>
    <row r="39" spans="1:7" s="206" customFormat="1" ht="13.5" customHeight="1">
      <c r="A39" s="247" t="s">
        <v>1534</v>
      </c>
      <c r="B39" s="202" t="s">
        <v>1535</v>
      </c>
      <c r="C39" s="224">
        <f ca="1">ROUND(C33*F20,0)</f>
        <v>34078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54400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53333</v>
      </c>
      <c r="D42" s="230"/>
      <c r="E42" s="230"/>
      <c r="F42" s="231"/>
      <c r="G42" s="3353" t="s">
        <v>1591</v>
      </c>
    </row>
    <row r="43" spans="1:7" ht="13.5" customHeight="1">
      <c r="A43" s="734" t="s">
        <v>347</v>
      </c>
      <c r="B43" s="207" t="s">
        <v>1545</v>
      </c>
      <c r="C43" s="230">
        <f ca="1">ROUND(IF('数据-取费表'!B22&lt;=1,C39*F22*'数据-取费表'!B20/2,C39*(POWER((1+F22),'数据-取费表'!B20/2)-1)),0)</f>
        <v>1067</v>
      </c>
      <c r="D43" s="230"/>
      <c r="E43" s="230"/>
      <c r="F43" s="231"/>
      <c r="G43" s="3354"/>
    </row>
    <row r="44" spans="1:7" ht="13.5" customHeight="1">
      <c r="A44" s="734" t="s">
        <v>348</v>
      </c>
      <c r="B44" s="207" t="s">
        <v>1546</v>
      </c>
      <c r="C44" s="230">
        <f ca="1">ROUND(IF('数据-取费表'!B22&lt;=1,C40*F22*'数据-取费表'!B20/2,C40*(POWER((1+F22),'数据-取费表'!B20/2)-1)),4)</f>
        <v>5.9999999999999995E-4</v>
      </c>
      <c r="D44" s="230"/>
      <c r="E44" s="230"/>
      <c r="F44" s="231"/>
      <c r="G44" s="3355"/>
    </row>
    <row r="45" spans="1:7" s="206" customFormat="1" ht="13.5" customHeight="1">
      <c r="A45" s="247" t="s">
        <v>1547</v>
      </c>
      <c r="B45" s="236" t="s">
        <v>1513</v>
      </c>
      <c r="C45" s="237">
        <f ca="1">C46</f>
        <v>347600</v>
      </c>
      <c r="D45" s="227">
        <f ca="1">C47</f>
        <v>4.0000000000000001E-3</v>
      </c>
      <c r="E45" s="228" t="s">
        <v>1539</v>
      </c>
      <c r="F45" s="238">
        <f ca="1">F27</f>
        <v>0.2</v>
      </c>
      <c r="G45" s="239" t="s">
        <v>1548</v>
      </c>
    </row>
    <row r="46" spans="1:7" s="206" customFormat="1" ht="13.5" customHeight="1">
      <c r="A46" s="734" t="s">
        <v>346</v>
      </c>
      <c r="B46" s="240" t="s">
        <v>1549</v>
      </c>
      <c r="C46" s="241">
        <f ca="1">ROUND((C33+C39)*F27,0)</f>
        <v>347600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2320791</v>
      </c>
      <c r="D49" s="224"/>
      <c r="E49" s="224"/>
      <c r="F49" s="256"/>
      <c r="G49" s="226" t="s">
        <v>1554</v>
      </c>
    </row>
    <row r="50" spans="1:7" s="250" customFormat="1" ht="13.5">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1810217</v>
      </c>
      <c r="D51" s="224"/>
      <c r="E51" s="224"/>
      <c r="F51" s="256"/>
      <c r="G51" s="226" t="s">
        <v>1560</v>
      </c>
    </row>
    <row r="52" spans="1:7" s="200" customFormat="1" ht="16.5" thickBot="1">
      <c r="A52" s="257" t="s">
        <v>1561</v>
      </c>
      <c r="B52" s="258"/>
      <c r="C52" s="259">
        <f ca="1">C31+C51</f>
        <v>8015146</v>
      </c>
      <c r="D52" s="258"/>
      <c r="E52" s="258"/>
      <c r="F52" s="258"/>
      <c r="G52" s="260"/>
    </row>
    <row r="55" spans="1:7" ht="15.5">
      <c r="B55" s="262" t="s">
        <v>1562</v>
      </c>
      <c r="C55" s="263"/>
    </row>
    <row r="56" spans="1:7" ht="13">
      <c r="B56" s="265" t="s">
        <v>802</v>
      </c>
      <c r="C56" s="267">
        <f ca="1">1-C57</f>
        <v>0.77400000000000002</v>
      </c>
    </row>
    <row r="57" spans="1:7" ht="13">
      <c r="B57" s="265" t="s">
        <v>803</v>
      </c>
      <c r="C57" s="266">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9DDF9-7525-470E-8703-72E4C9ACAD85}">
  <sheetPr>
    <tabColor rgb="FF92D050"/>
    <pageSetUpPr fitToPage="1"/>
  </sheetPr>
  <dimension ref="A1:H57"/>
  <sheetViews>
    <sheetView view="pageBreakPreview" zoomScale="70" zoomScaleNormal="70" zoomScaleSheetLayoutView="70" workbookViewId="0">
      <selection activeCell="B1" sqref="B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501</v>
      </c>
      <c r="C1" s="1717" t="s">
        <v>1563</v>
      </c>
      <c r="D1" s="190"/>
      <c r="E1" s="190"/>
      <c r="F1" s="190"/>
      <c r="G1" s="1062">
        <f>MATCH(B1,'数据-取费表'!A6:A16,0)+5</f>
        <v>7</v>
      </c>
      <c r="H1" s="998" t="str">
        <f>IF(ISERROR(FIND("住宅",B1)),"非住宅","住宅")</f>
        <v>非住宅</v>
      </c>
    </row>
    <row r="2" spans="1:8" s="192" customFormat="1" ht="18" customHeight="1">
      <c r="A2" s="193" t="s">
        <v>685</v>
      </c>
      <c r="B2" s="3120">
        <f ca="1">ROUND(IF(D2="——",C52/10000,C52/10000-E2),4)</f>
        <v>585.46730000000002</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14460</v>
      </c>
      <c r="C3" s="191" t="s">
        <v>1465</v>
      </c>
      <c r="D3" s="191"/>
      <c r="E3" s="191"/>
      <c r="F3" s="191"/>
      <c r="G3" s="191"/>
    </row>
    <row r="4" spans="1:8" s="200" customFormat="1" ht="16">
      <c r="A4" s="197" t="s">
        <v>1466</v>
      </c>
      <c r="B4" s="198"/>
      <c r="C4" s="198"/>
      <c r="D4" s="198"/>
      <c r="E4" s="198"/>
      <c r="F4" s="198"/>
      <c r="G4" s="199"/>
    </row>
    <row r="5" spans="1:8" s="206" customFormat="1" ht="13.5" customHeight="1">
      <c r="A5" s="247" t="s">
        <v>337</v>
      </c>
      <c r="B5" s="202" t="s">
        <v>1468</v>
      </c>
      <c r="C5" s="203">
        <f ca="1">C6+C7+C8</f>
        <v>2811391</v>
      </c>
      <c r="D5" s="203" t="s">
        <v>1469</v>
      </c>
      <c r="E5" s="204" t="s">
        <v>1470</v>
      </c>
      <c r="F5" s="204" t="s">
        <v>1471</v>
      </c>
      <c r="G5" s="205"/>
    </row>
    <row r="6" spans="1:8" s="206" customFormat="1" ht="13.5" customHeight="1">
      <c r="A6" s="732" t="s">
        <v>346</v>
      </c>
      <c r="B6" s="207" t="s">
        <v>1473</v>
      </c>
      <c r="C6" s="208">
        <f>ROUND(基准地价修正!T5*基准地价修正!U5,0)</f>
        <v>2649600</v>
      </c>
      <c r="D6" s="209"/>
      <c r="E6" s="210"/>
      <c r="F6" s="210"/>
      <c r="G6" s="211"/>
    </row>
    <row r="7" spans="1:8" s="206" customFormat="1" ht="13.5" customHeight="1">
      <c r="A7" s="732" t="s">
        <v>347</v>
      </c>
      <c r="B7" s="207" t="s">
        <v>1475</v>
      </c>
      <c r="C7" s="212">
        <f>ROUND(C6*F7,0)</f>
        <v>80813</v>
      </c>
      <c r="D7" s="212"/>
      <c r="E7" s="210"/>
      <c r="F7" s="213">
        <f>IF(项目基本情况!B8="出让",0,'数据-取费表'!B48+'数据-取费表'!B49)</f>
        <v>3.0499999999999999E-2</v>
      </c>
      <c r="G7" s="211"/>
    </row>
    <row r="8" spans="1:8" s="215" customFormat="1" ht="13">
      <c r="A8" s="732" t="s">
        <v>348</v>
      </c>
      <c r="B8" s="207" t="s">
        <v>1477</v>
      </c>
      <c r="C8" s="212">
        <f ca="1">IF(G8="已包含在土地购买价格中",0,C9+C10)</f>
        <v>80978</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80978</v>
      </c>
      <c r="D10" s="795">
        <f ca="1">IF(B1="",'数据-汇总表'!E6,IF(INDIRECT("'数据-取费表'!c"&amp;$G$1)="住宅",INDIRECT("'数据-取费表'!s"&amp;$G$1),INDIRECT("'数据-取费表'!k"&amp;$G$1)+INDIRECT("'数据-取费表'!s"&amp;$G$1)))</f>
        <v>404.89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404.89</v>
      </c>
      <c r="E19" s="203">
        <f>'数据-取费表'!B31</f>
        <v>200</v>
      </c>
      <c r="F19" s="223"/>
      <c r="G19" s="1714" t="s">
        <v>3443</v>
      </c>
    </row>
    <row r="20" spans="1:7" s="206" customFormat="1" ht="13.5" customHeight="1">
      <c r="A20" s="247" t="s">
        <v>1493</v>
      </c>
      <c r="B20" s="202" t="s">
        <v>1494</v>
      </c>
      <c r="C20" s="224">
        <f ca="1">ROUND((C5+C19)*F20,0)</f>
        <v>56228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180507</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178747</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6">
      <c r="A25" s="734" t="s">
        <v>348</v>
      </c>
      <c r="B25" s="207" t="s">
        <v>1509</v>
      </c>
      <c r="C25" s="230">
        <f ca="1">ROUND(IF('数据-取费表'!B22&lt;=1,C20*F22*'数据-取费表'!B22/2,C20*(POWER((1+F22),'数据-取费表'!B22/2)-1)),0)</f>
        <v>1760</v>
      </c>
      <c r="D25" s="230"/>
      <c r="E25" s="233"/>
      <c r="F25" s="231"/>
      <c r="G25" s="234" t="s">
        <v>1510</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573524</v>
      </c>
      <c r="D27" s="227">
        <f ca="1">C29</f>
        <v>4.0000000000000001E-3</v>
      </c>
      <c r="E27" s="228" t="s">
        <v>1498</v>
      </c>
      <c r="F27" s="238">
        <f ca="1">IF(B1="",'数据-取费表'!Q16,INDIRECT("'数据-取费表'!q"&amp;$G$1))</f>
        <v>0.2</v>
      </c>
      <c r="G27" s="239" t="s">
        <v>1515</v>
      </c>
    </row>
    <row r="28" spans="1:7" s="206" customFormat="1" ht="13.5" customHeight="1">
      <c r="A28" s="734" t="s">
        <v>346</v>
      </c>
      <c r="B28" s="240" t="s">
        <v>1516</v>
      </c>
      <c r="C28" s="241">
        <f ca="1">ROUND((C5+C19+C20)*F27,0)</f>
        <v>573524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3927611</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1813907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1619560</v>
      </c>
      <c r="D34" s="209"/>
      <c r="E34" s="212"/>
      <c r="F34" s="249"/>
      <c r="G34" s="211"/>
    </row>
    <row r="35" spans="1:7" ht="13.5" customHeight="1">
      <c r="A35" s="734" t="s">
        <v>351</v>
      </c>
      <c r="B35" s="207" t="s">
        <v>1527</v>
      </c>
      <c r="C35" s="212">
        <f ca="1">ROUND(C34*F35,0)</f>
        <v>80978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80978</v>
      </c>
      <c r="D37" s="209">
        <f ca="1">D19</f>
        <v>404.89</v>
      </c>
      <c r="E37" s="241">
        <f>'数据-取费表'!B35</f>
        <v>200</v>
      </c>
      <c r="F37" s="251"/>
      <c r="G37" s="253"/>
    </row>
    <row r="38" spans="1:7" ht="13.5" customHeight="1">
      <c r="A38" s="734" t="s">
        <v>354</v>
      </c>
      <c r="B38" s="207" t="s">
        <v>1533</v>
      </c>
      <c r="C38" s="212">
        <f ca="1">ROUND(C34*F38,0)</f>
        <v>32391</v>
      </c>
      <c r="D38" s="212"/>
      <c r="E38" s="212"/>
      <c r="F38" s="251">
        <f>'数据-取费表'!B36</f>
        <v>0.02</v>
      </c>
      <c r="G38" s="211" t="s">
        <v>1528</v>
      </c>
    </row>
    <row r="39" spans="1:7" s="206" customFormat="1" ht="13.5" customHeight="1">
      <c r="A39" s="247" t="s">
        <v>1491</v>
      </c>
      <c r="B39" s="202" t="s">
        <v>1494</v>
      </c>
      <c r="C39" s="224">
        <f ca="1">ROUND(C33*F20,0)</f>
        <v>36278</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57911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56775</v>
      </c>
      <c r="D42" s="230"/>
      <c r="E42" s="230"/>
      <c r="F42" s="231"/>
      <c r="G42" s="3353" t="s">
        <v>1591</v>
      </c>
    </row>
    <row r="43" spans="1:7" ht="13.5" customHeight="1">
      <c r="A43" s="734" t="s">
        <v>347</v>
      </c>
      <c r="B43" s="207" t="s">
        <v>1506</v>
      </c>
      <c r="C43" s="230">
        <f ca="1">ROUND(IF('数据-取费表'!B22&lt;=1,C39*F22*'数据-取费表'!B20/2,C39*(POWER((1+F22),'数据-取费表'!B20/2)-1)),0)</f>
        <v>1136</v>
      </c>
      <c r="D43" s="230"/>
      <c r="E43" s="230"/>
      <c r="F43" s="231"/>
      <c r="G43" s="3354"/>
    </row>
    <row r="44" spans="1:7" ht="13.5" customHeight="1">
      <c r="A44" s="734" t="s">
        <v>348</v>
      </c>
      <c r="B44" s="207" t="s">
        <v>1509</v>
      </c>
      <c r="C44" s="230">
        <f ca="1">ROUND(IF('数据-取费表'!B22&lt;=1,C40*F22*'数据-取费表'!B20/2,C40*(POWER((1+F22),'数据-取费表'!B20/2)-1)),4)</f>
        <v>5.9999999999999995E-4</v>
      </c>
      <c r="D44" s="230"/>
      <c r="E44" s="230"/>
      <c r="F44" s="231"/>
      <c r="G44" s="3355"/>
    </row>
    <row r="45" spans="1:7" s="206" customFormat="1" ht="13.5" customHeight="1">
      <c r="A45" s="247" t="s">
        <v>1500</v>
      </c>
      <c r="B45" s="236" t="s">
        <v>1513</v>
      </c>
      <c r="C45" s="237">
        <f ca="1">C46</f>
        <v>370037</v>
      </c>
      <c r="D45" s="227">
        <f ca="1">C47</f>
        <v>4.0000000000000001E-3</v>
      </c>
      <c r="E45" s="228" t="s">
        <v>1539</v>
      </c>
      <c r="F45" s="238">
        <f ca="1">F27</f>
        <v>0.2</v>
      </c>
      <c r="G45" s="239" t="s">
        <v>1548</v>
      </c>
    </row>
    <row r="46" spans="1:7" s="206" customFormat="1" ht="13.5" customHeight="1">
      <c r="A46" s="734" t="s">
        <v>346</v>
      </c>
      <c r="B46" s="240" t="s">
        <v>1549</v>
      </c>
      <c r="C46" s="241">
        <f ca="1">ROUND((C33+C39)*F27,0)</f>
        <v>370037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2470592</v>
      </c>
      <c r="D49" s="224"/>
      <c r="E49" s="224"/>
      <c r="F49" s="256"/>
      <c r="G49" s="226" t="s">
        <v>1554</v>
      </c>
    </row>
    <row r="50" spans="1:7" s="250" customFormat="1" ht="13.5">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1927062</v>
      </c>
      <c r="D51" s="224"/>
      <c r="E51" s="224"/>
      <c r="F51" s="256"/>
      <c r="G51" s="226" t="s">
        <v>1560</v>
      </c>
    </row>
    <row r="52" spans="1:7" s="200" customFormat="1" ht="16.5" thickBot="1">
      <c r="A52" s="257" t="s">
        <v>1561</v>
      </c>
      <c r="B52" s="258"/>
      <c r="C52" s="259">
        <f ca="1">C31+C51</f>
        <v>5854673</v>
      </c>
      <c r="D52" s="258"/>
      <c r="E52" s="258"/>
      <c r="F52" s="258"/>
      <c r="G52" s="260"/>
    </row>
    <row r="55" spans="1:7" ht="15.5">
      <c r="B55" s="262" t="s">
        <v>1562</v>
      </c>
      <c r="C55" s="263"/>
    </row>
    <row r="56" spans="1:7" ht="13">
      <c r="B56" s="265" t="s">
        <v>802</v>
      </c>
      <c r="C56" s="267">
        <f ca="1">1-C57</f>
        <v>0.67100000000000004</v>
      </c>
    </row>
    <row r="57" spans="1:7" ht="13">
      <c r="B57" s="265" t="s">
        <v>803</v>
      </c>
      <c r="C57" s="266">
        <f ca="1">ROUND(C51/C52,3)</f>
        <v>0.32900000000000001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ED5FE53-BCD9-46B7-B2ED-40C8BD09AD9C}">
      <formula1>"需扣减承租人权益,——"</formula1>
    </dataValidation>
    <dataValidation type="list" allowBlank="1" showInputMessage="1" showErrorMessage="1" sqref="G2" xr:uid="{0B2F3EC7-1333-4941-AD18-C1CF8257A881}">
      <formula1>估价方法</formula1>
    </dataValidation>
    <dataValidation type="list" allowBlank="1" showInputMessage="1" showErrorMessage="1" sqref="B1" xr:uid="{A321973E-D86D-44A1-BE0C-3A1725FA4683}">
      <formula1>项目类型</formula1>
    </dataValidation>
    <dataValidation type="list" allowBlank="1" showInputMessage="1" showErrorMessage="1" sqref="G19" xr:uid="{4142EF49-18FC-4336-AE4E-86A32E2BEEF7}">
      <formula1>"已包含在土地取得成本中,未包含在土地取得成本中"</formula1>
    </dataValidation>
    <dataValidation type="list" allowBlank="1" showInputMessage="1" showErrorMessage="1" sqref="G8" xr:uid="{8B6141E1-44EA-49C6-B9BF-BC52F4A0E346}">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R1" zoomScaleNormal="80" zoomScaleSheetLayoutView="100" workbookViewId="0">
      <selection activeCell="U6" sqref="U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689</v>
      </c>
      <c r="C2" s="1846" t="s">
        <v>1935</v>
      </c>
      <c r="D2" s="162" t="s">
        <v>1936</v>
      </c>
      <c r="E2" s="3118"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11138</v>
      </c>
      <c r="U2" s="1130">
        <f>'数据-汇总表'!E19</f>
        <v>380.34</v>
      </c>
      <c r="V2" s="3061">
        <f>ROUND(T2*U2/10000,0)</f>
        <v>424</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6" t="s">
        <v>2436</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8779</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7420</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8200</v>
      </c>
      <c r="D5" s="1252">
        <f>ROUND(C6*C17+C20,0)</f>
        <v>8200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6544</v>
      </c>
      <c r="U5" s="1130">
        <f>'数据-基础表'!G14</f>
        <v>404.89</v>
      </c>
      <c r="V5" s="3061">
        <f t="shared" si="1"/>
        <v>265</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8200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6289</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3234</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8200</v>
      </c>
      <c r="N7" s="813">
        <f>SUMPRODUCT((因素修正幅度!B190:B233=I2)*(因素修正幅度!C3:G3=E2)*(因素修正幅度!C190:G233))</f>
        <v>0.129</v>
      </c>
      <c r="O7" s="1056"/>
      <c r="P7" s="1056"/>
      <c r="Q7" s="1056"/>
      <c r="R7" s="1129">
        <v>6</v>
      </c>
      <c r="S7" s="3115"/>
      <c r="T7" s="3061">
        <f t="shared" si="0"/>
        <v>0</v>
      </c>
      <c r="U7" s="1130"/>
      <c r="V7" s="3061">
        <f t="shared" si="1"/>
        <v>0</v>
      </c>
      <c r="W7" s="1267" t="s">
        <v>1955</v>
      </c>
      <c r="X7" s="1131" t="str">
        <f>G2</f>
        <v>七级</v>
      </c>
      <c r="Y7" s="1131" t="s">
        <v>1956</v>
      </c>
      <c r="Z7" s="1132">
        <f>G3</f>
        <v>0</v>
      </c>
      <c r="AA7" s="1133"/>
      <c r="AB7" s="1133"/>
      <c r="AC7" s="1134"/>
      <c r="AD7" s="1135"/>
      <c r="AE7" s="1135"/>
      <c r="AF7" s="1135"/>
      <c r="AG7" s="1135"/>
      <c r="AH7" s="1135"/>
      <c r="AI7" s="1135"/>
      <c r="AJ7" s="1136"/>
    </row>
    <row r="8" spans="1:36" ht="25">
      <c r="A8" s="3007"/>
      <c r="B8" s="162" t="s">
        <v>1957</v>
      </c>
      <c r="C8" s="1870" t="s">
        <v>3435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3"/>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3235</v>
      </c>
      <c r="B12" s="3011" t="s">
        <v>3236</v>
      </c>
      <c r="C12" s="3012"/>
      <c r="D12" s="3013" t="s">
        <v>3237</v>
      </c>
      <c r="E12" s="3014" t="s">
        <v>3238</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3239</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3240</v>
      </c>
      <c r="G14" s="3018" t="s">
        <v>3240</v>
      </c>
      <c r="H14" s="3018" t="s">
        <v>3240</v>
      </c>
      <c r="I14" s="3018" t="s">
        <v>3240</v>
      </c>
      <c r="J14" s="3018" t="s">
        <v>3240</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3241</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3245</v>
      </c>
      <c r="E18" s="2355"/>
      <c r="F18" s="3028" t="s">
        <v>3248</v>
      </c>
      <c r="G18" s="3032">
        <f>ROUND(1-(1/(POWER(1+G24,E18))),4)</f>
        <v>0</v>
      </c>
      <c r="H18" s="3028" t="s">
        <v>3250</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3246</v>
      </c>
      <c r="E19" s="3041"/>
      <c r="F19" s="3042" t="s">
        <v>3249</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68" t="s">
        <v>3251</v>
      </c>
      <c r="B20" s="159" t="s">
        <v>1994</v>
      </c>
      <c r="C20" s="3029">
        <f>ROUND(IF(F21="与级别开发程度一致",0,(G21-E21)/C21),0)</f>
        <v>0</v>
      </c>
      <c r="D20" s="3044" t="s">
        <v>1998</v>
      </c>
      <c r="E20" s="3045"/>
      <c r="F20" s="3474" t="s">
        <v>1995</v>
      </c>
      <c r="G20" s="3475"/>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69"/>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510" t="s">
        <v>3436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45910</v>
      </c>
      <c r="H23" s="3046" t="s">
        <v>3437</v>
      </c>
      <c r="I23" s="3047" t="str">
        <f>IF(H23="季度增幅（自定义）",SUMIF(N25:N28,E2,O25:O28),"")</f>
        <v/>
      </c>
      <c r="J23" s="3139" t="s">
        <v>3438</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0.83599999999999997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25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3439</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1.0691999999999999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689</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11138</v>
      </c>
      <c r="D33" s="1940"/>
      <c r="E33" s="727">
        <f>ROUND(C33*D33/10000,0)</f>
        <v>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2"/>
      <c r="B37" s="1955" t="s">
        <v>2036</v>
      </c>
      <c r="C37" s="167">
        <f>ROUND(D5*C22*C23*C24*C28*F37,0)</f>
        <v>4450</v>
      </c>
      <c r="D37" s="1940"/>
      <c r="E37" s="163">
        <f>ROUND(C37*D37/10000,0)</f>
        <v>0</v>
      </c>
      <c r="F37" s="163">
        <f>SUMIF(修正!A59:A70,G2,修正!B59:B70)</f>
        <v>0.6</v>
      </c>
      <c r="G37" s="163">
        <f>ROUND(IF(E2="工业",C37*$M$42,C37*$M$41),0)</f>
        <v>1113</v>
      </c>
      <c r="H37" s="163">
        <f>D37</f>
        <v>0</v>
      </c>
      <c r="I37" s="163">
        <f>ROUND(G37*H37/10000,0)</f>
        <v>0</v>
      </c>
      <c r="J37" s="2752"/>
      <c r="K37" s="3059" t="s">
        <v>3261</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3"/>
      <c r="B38" s="1884" t="s">
        <v>2037</v>
      </c>
      <c r="C38" s="167">
        <f>ROUND(D5*C22*C23*C24*C28*F38,0)</f>
        <v>2225</v>
      </c>
      <c r="D38" s="1940"/>
      <c r="E38" s="163">
        <f t="shared" ref="E38:E42" si="4">ROUND(C38*D38/10000,0)</f>
        <v>0</v>
      </c>
      <c r="F38" s="163">
        <f>SUMIF(修正!A59:A70,G2,修正!C59:C70)</f>
        <v>0.3</v>
      </c>
      <c r="G38" s="163">
        <f>ROUND(IF(E2="工业",C38*$M$42,C38*$M$41),0)</f>
        <v>556</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3"/>
      <c r="B39" s="1884" t="s">
        <v>3254</v>
      </c>
      <c r="C39" s="167">
        <f>ROUND(D5*C22*C23*C24*C28*F39,0)</f>
        <v>1854</v>
      </c>
      <c r="D39" s="1940"/>
      <c r="E39" s="163">
        <f t="shared" si="4"/>
        <v>0</v>
      </c>
      <c r="F39" s="163">
        <f>SUMIF(修正!A59:A70,G2,修正!D59:D70)</f>
        <v>0.25</v>
      </c>
      <c r="G39" s="163">
        <f>ROUND(IF(E2="工业",C39*$M$42,C39*$M$41),0)</f>
        <v>464</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1854</v>
      </c>
      <c r="D40" s="1940"/>
      <c r="E40" s="163">
        <f t="shared" si="4"/>
        <v>0</v>
      </c>
      <c r="F40" s="167">
        <f>SUMIF(修正!A59:A70,G2,修正!E59:E70)</f>
        <v>0.25</v>
      </c>
      <c r="G40" s="163">
        <f>ROUND(IF(E2="工业",C40*$M$42,C40*$M$41),0)</f>
        <v>464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2119</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1.0691999999999999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3440</v>
      </c>
      <c r="D50" s="1002">
        <f t="shared" ref="D50:D58" si="7">SUMIF($J$49:$N$49,C50,J50:N50)</f>
        <v>1.9300000000000001E-2</v>
      </c>
      <c r="E50" s="702">
        <f>ROUND(SUM(D50:D58),4)</f>
        <v>6.9199999999999998E-2</v>
      </c>
      <c r="F50" s="1675">
        <f>IF(E2="商业",SUMIF(L1:L12,G2,N1:N12),"——")</f>
        <v>0.129</v>
      </c>
      <c r="G50" s="1000">
        <v>1.9300000000000001E-2</v>
      </c>
      <c r="H50" s="1003">
        <f t="shared" ref="H50:H58" si="8">IFERROR(ROUNDDOWN($F$50*I50/2,4),"——")</f>
        <v>1.9300000000000001E-2</v>
      </c>
      <c r="I50" s="3066">
        <v>0.3</v>
      </c>
      <c r="J50" s="1001">
        <f t="shared" ref="J50:J58" si="9">K50+$G50</f>
        <v>3.8600000000000002E-2</v>
      </c>
      <c r="K50" s="1001">
        <f t="shared" ref="K50:K58" si="10">$L50+$G50</f>
        <v>1.9300000000000001E-2</v>
      </c>
      <c r="L50" s="1001">
        <v>0</v>
      </c>
      <c r="M50" s="1001">
        <f t="shared" ref="M50:N58" si="11">L50-$G50</f>
        <v>-1.9300000000000001E-2</v>
      </c>
      <c r="N50" s="1001">
        <f t="shared" si="11"/>
        <v>-3.8600000000000002E-2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3440</v>
      </c>
      <c r="D51" s="1002">
        <f t="shared" si="7"/>
        <v>1.41E-2</v>
      </c>
      <c r="E51" s="703"/>
      <c r="F51" s="1675"/>
      <c r="G51" s="1000">
        <v>1.41E-2</v>
      </c>
      <c r="H51" s="1003">
        <f t="shared" si="8"/>
        <v>1.41E-2</v>
      </c>
      <c r="I51" s="3066">
        <v>0.22</v>
      </c>
      <c r="J51" s="1001">
        <f t="shared" si="9"/>
        <v>2.8199999999999999E-2</v>
      </c>
      <c r="K51" s="1001">
        <f t="shared" si="10"/>
        <v>1.41E-2</v>
      </c>
      <c r="L51" s="1001">
        <v>0</v>
      </c>
      <c r="M51" s="1001">
        <f t="shared" si="11"/>
        <v>-1.41E-2</v>
      </c>
      <c r="N51" s="1001">
        <f t="shared" si="11"/>
        <v>-2.8199999999999999E-2</v>
      </c>
      <c r="AA51" s="1057"/>
      <c r="AB51" s="1057"/>
      <c r="AC51" s="1057"/>
      <c r="AD51" s="1057"/>
      <c r="AE51" s="1057"/>
      <c r="AF51" s="1057"/>
      <c r="AG51" s="1057"/>
      <c r="AH51" s="1057"/>
      <c r="AI51" s="1057"/>
      <c r="AJ51" s="1057"/>
      <c r="AK51" s="1057"/>
    </row>
    <row r="52" spans="1:37" s="1056" customFormat="1" ht="39">
      <c r="A52" s="3068" t="s">
        <v>3264</v>
      </c>
      <c r="B52" s="1262">
        <f>估价对象房地状况!C19</f>
        <v>0</v>
      </c>
      <c r="C52" s="1887" t="s">
        <v>3440</v>
      </c>
      <c r="D52" s="1002">
        <f t="shared" si="7"/>
        <v>7.7000000000000002E-3</v>
      </c>
      <c r="E52" s="703"/>
      <c r="F52" s="1675"/>
      <c r="G52" s="1000">
        <v>7.7000000000000002E-3</v>
      </c>
      <c r="H52" s="1003">
        <f t="shared" si="8"/>
        <v>7.7000000000000002E-3</v>
      </c>
      <c r="I52" s="3066">
        <v>0.12</v>
      </c>
      <c r="J52" s="1001">
        <f t="shared" si="9"/>
        <v>1.54E-2</v>
      </c>
      <c r="K52" s="1001">
        <f t="shared" si="10"/>
        <v>7.7000000000000002E-3</v>
      </c>
      <c r="L52" s="1001">
        <v>0</v>
      </c>
      <c r="M52" s="1001">
        <f t="shared" si="11"/>
        <v>-7.7000000000000002E-3</v>
      </c>
      <c r="N52" s="1001">
        <f t="shared" si="11"/>
        <v>-1.54E-2</v>
      </c>
      <c r="AA52" s="1057"/>
      <c r="AB52" s="1057"/>
      <c r="AC52" s="1057"/>
      <c r="AD52" s="1057"/>
      <c r="AE52" s="1057"/>
      <c r="AF52" s="1057"/>
      <c r="AG52" s="1057"/>
      <c r="AH52" s="1057"/>
      <c r="AI52" s="1057"/>
      <c r="AJ52" s="1057"/>
      <c r="AK52" s="1057"/>
    </row>
    <row r="53" spans="1:37" s="1056" customFormat="1" ht="39">
      <c r="A53" s="1970" t="s">
        <v>2054</v>
      </c>
      <c r="B53" s="1974" t="s">
        <v>2055</v>
      </c>
      <c r="C53" s="1887" t="s">
        <v>3440</v>
      </c>
      <c r="D53" s="1002">
        <f t="shared" si="7"/>
        <v>3.2000000000000002E-3</v>
      </c>
      <c r="E53" s="703"/>
      <c r="F53" s="1675"/>
      <c r="G53" s="1000">
        <v>3.2000000000000002E-3</v>
      </c>
      <c r="H53" s="1003">
        <f t="shared" si="8"/>
        <v>3.2000000000000002E-3</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3440</v>
      </c>
      <c r="D54" s="1002">
        <f t="shared" si="7"/>
        <v>5.1000000000000004E-3</v>
      </c>
      <c r="E54" s="703"/>
      <c r="F54" s="1675"/>
      <c r="G54" s="1000">
        <v>5.1000000000000004E-3</v>
      </c>
      <c r="H54" s="1003">
        <f t="shared" si="8"/>
        <v>5.1000000000000004E-3</v>
      </c>
      <c r="I54" s="3066">
        <v>0.08</v>
      </c>
      <c r="J54" s="1001">
        <f t="shared" si="9"/>
        <v>1.0200000000000001E-2</v>
      </c>
      <c r="K54" s="1001">
        <f t="shared" si="10"/>
        <v>5.1000000000000004E-3</v>
      </c>
      <c r="L54" s="1001">
        <v>0</v>
      </c>
      <c r="M54" s="1001">
        <f t="shared" si="11"/>
        <v>-5.1000000000000004E-3</v>
      </c>
      <c r="N54" s="1001">
        <f t="shared" si="11"/>
        <v>-1.0200000000000001E-2</v>
      </c>
      <c r="AA54" s="1057"/>
      <c r="AB54" s="1057"/>
      <c r="AC54" s="1057"/>
      <c r="AD54" s="1057"/>
      <c r="AE54" s="1057"/>
      <c r="AF54" s="1057"/>
      <c r="AG54" s="1057"/>
      <c r="AH54" s="1057"/>
      <c r="AI54" s="1057"/>
      <c r="AJ54" s="1057"/>
      <c r="AK54" s="1057"/>
    </row>
    <row r="55" spans="1:37" s="1056" customFormat="1" ht="26">
      <c r="A55" s="1970" t="s">
        <v>2057</v>
      </c>
      <c r="B55" s="1975" t="s">
        <v>2058</v>
      </c>
      <c r="C55" s="1887" t="s">
        <v>3440</v>
      </c>
      <c r="D55" s="1002">
        <f t="shared" si="7"/>
        <v>3.2000000000000002E-3</v>
      </c>
      <c r="E55" s="703"/>
      <c r="F55" s="1675"/>
      <c r="G55" s="1000">
        <v>3.2000000000000002E-3</v>
      </c>
      <c r="H55" s="1003">
        <f t="shared" si="8"/>
        <v>3.2000000000000002E-3</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3440</v>
      </c>
      <c r="D56" s="1002">
        <f t="shared" si="7"/>
        <v>3.2000000000000002E-3</v>
      </c>
      <c r="E56" s="703"/>
      <c r="F56" s="1675"/>
      <c r="G56" s="1000">
        <v>3.2000000000000002E-3</v>
      </c>
      <c r="H56" s="1003">
        <f t="shared" si="8"/>
        <v>3.2000000000000002E-3</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3441</v>
      </c>
      <c r="D57" s="1002">
        <f t="shared" si="7"/>
        <v>1.0200000000000001E-2</v>
      </c>
      <c r="E57" s="703"/>
      <c r="F57" s="1675"/>
      <c r="G57" s="1000">
        <v>5.1000000000000004E-3</v>
      </c>
      <c r="H57" s="1003">
        <f t="shared" si="8"/>
        <v>5.1000000000000004E-3</v>
      </c>
      <c r="I57" s="3066">
        <v>0.08</v>
      </c>
      <c r="J57" s="1001">
        <f t="shared" si="9"/>
        <v>1.0200000000000001E-2</v>
      </c>
      <c r="K57" s="1001">
        <f t="shared" si="10"/>
        <v>5.1000000000000004E-3</v>
      </c>
      <c r="L57" s="1001">
        <v>0</v>
      </c>
      <c r="M57" s="1001">
        <f t="shared" si="11"/>
        <v>-5.1000000000000004E-3</v>
      </c>
      <c r="N57" s="1001">
        <f t="shared" si="11"/>
        <v>-1.0200000000000001E-2</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3440</v>
      </c>
      <c r="D58" s="1002">
        <f t="shared" si="7"/>
        <v>3.2000000000000002E-3</v>
      </c>
      <c r="E58" s="704"/>
      <c r="F58" s="1675"/>
      <c r="G58" s="1000">
        <v>3.2000000000000002E-3</v>
      </c>
      <c r="H58" s="1003">
        <f t="shared" si="8"/>
        <v>3.2000000000000002E-3</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2609</v>
      </c>
      <c r="B91" s="3077">
        <f>1+E93</f>
        <v>1</v>
      </c>
      <c r="C91" s="3070"/>
      <c r="D91" s="3071"/>
      <c r="E91" s="1675"/>
      <c r="F91" s="1675"/>
      <c r="G91" s="3072"/>
      <c r="H91" s="3073"/>
      <c r="I91" s="3074"/>
      <c r="J91" s="3075"/>
      <c r="K91" s="3075"/>
      <c r="L91" s="3075"/>
      <c r="M91" s="3075"/>
      <c r="N91" s="3075"/>
    </row>
    <row r="92" spans="1:37" ht="26">
      <c r="A92" s="3078" t="s">
        <v>3266</v>
      </c>
      <c r="B92" s="2308"/>
      <c r="C92" s="2308" t="s">
        <v>3275</v>
      </c>
      <c r="D92" s="2308" t="s">
        <v>3276</v>
      </c>
      <c r="E92" s="3050" t="s">
        <v>3277</v>
      </c>
      <c r="F92" s="3080" t="s">
        <v>3278</v>
      </c>
      <c r="G92" s="2308" t="s">
        <v>3279</v>
      </c>
      <c r="H92" s="3087" t="s">
        <v>3282</v>
      </c>
      <c r="I92" s="2308" t="s">
        <v>3283</v>
      </c>
      <c r="J92" s="2149" t="s">
        <v>3284</v>
      </c>
      <c r="K92" s="2149" t="s">
        <v>3285</v>
      </c>
      <c r="L92" s="2149" t="s">
        <v>3286</v>
      </c>
      <c r="M92" s="2149" t="s">
        <v>3287</v>
      </c>
      <c r="N92" s="2149" t="s">
        <v>3288</v>
      </c>
    </row>
    <row r="93" spans="1:37" ht="26">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3268</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3270</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3272</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3273</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3274</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70" t="s">
        <v>3289</v>
      </c>
      <c r="B103" s="3470"/>
      <c r="C103" s="3470"/>
      <c r="D103" s="3470"/>
      <c r="E103" s="3470"/>
      <c r="F103" s="3470"/>
      <c r="G103" s="3470"/>
      <c r="H103" s="3470"/>
      <c r="I103" s="3470"/>
      <c r="J103" s="3470"/>
      <c r="K103" s="1667"/>
      <c r="L103" s="1667"/>
      <c r="M103" s="1667"/>
      <c r="N103" s="1667"/>
    </row>
    <row r="104" spans="1:14" ht="13">
      <c r="A104" s="3471" t="s">
        <v>3290</v>
      </c>
      <c r="B104" s="3471" t="s">
        <v>3291</v>
      </c>
      <c r="C104" s="3088" t="s">
        <v>3292</v>
      </c>
      <c r="D104" s="3089"/>
      <c r="E104" s="3089"/>
      <c r="F104" s="3089"/>
      <c r="G104" s="3089"/>
      <c r="H104" s="3089"/>
      <c r="I104" s="3089"/>
      <c r="J104" s="3090"/>
      <c r="K104" s="3091"/>
      <c r="L104" s="3091"/>
      <c r="M104" s="3091"/>
      <c r="N104" s="3091"/>
    </row>
    <row r="105" spans="1:14" ht="13">
      <c r="A105" s="3471"/>
      <c r="B105" s="3471"/>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57"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58"/>
      <c r="B111" s="3092" t="s">
        <v>3263</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59"/>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ht="13">
      <c r="A113" s="3460" t="s">
        <v>3306</v>
      </c>
      <c r="B113" s="3460"/>
      <c r="C113" s="3460"/>
      <c r="D113" s="3460"/>
      <c r="E113" s="3460"/>
      <c r="F113" s="3460"/>
      <c r="G113" s="3460"/>
      <c r="H113" s="3460"/>
      <c r="I113" s="3460"/>
      <c r="J113" s="3460"/>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3307</v>
      </c>
      <c r="B116" s="3112">
        <f>G3</f>
        <v>0</v>
      </c>
      <c r="C116" s="3097" t="s">
        <v>3308</v>
      </c>
      <c r="D116" s="3098">
        <f>SUMPRODUCT((A118:A122=F116)*(B117:M117=H116)*B118:M122)</f>
        <v>0.94899999999999995</v>
      </c>
      <c r="E116" s="162" t="s">
        <v>3309</v>
      </c>
      <c r="F116" s="3099" t="str">
        <f>E2</f>
        <v>商业</v>
      </c>
      <c r="G116" s="162" t="s">
        <v>3310</v>
      </c>
      <c r="H116" s="3099" t="str">
        <f>G2</f>
        <v>七级</v>
      </c>
      <c r="I116" s="162"/>
      <c r="J116" s="3100"/>
      <c r="K116" s="3100"/>
      <c r="L116" s="3100"/>
      <c r="M116" s="3100"/>
      <c r="N116" s="3095"/>
    </row>
    <row r="117" spans="1:14" ht="13">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ht="13">
      <c r="A118" s="3055" t="s">
        <v>3323</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ht="13">
      <c r="A119" s="3055" t="s">
        <v>3324</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ht="13">
      <c r="A120" s="3055" t="s">
        <v>3325</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3326</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ht="13">
      <c r="A122" s="3111" t="s">
        <v>2609</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A0B77-DD23-4D8F-8BF8-5A977C9A1D08}">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501</v>
      </c>
      <c r="D1" s="1271" t="s">
        <v>43</v>
      </c>
      <c r="E1" s="1272" t="s">
        <v>678</v>
      </c>
      <c r="F1" s="999">
        <f ca="1">J53</f>
        <v>25</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1">
        <f ca="1">ROUND(D2/10000,4)</f>
        <v>593.39319999999998</v>
      </c>
      <c r="C2" s="1289" t="s">
        <v>805</v>
      </c>
      <c r="D2" s="1375">
        <f ca="1">C40+J29+L46</f>
        <v>5933932</v>
      </c>
      <c r="E2" s="1295" t="s">
        <v>880</v>
      </c>
      <c r="F2" s="1296"/>
      <c r="G2" s="2476"/>
      <c r="H2" s="2466"/>
      <c r="I2" s="2466"/>
      <c r="J2" s="2466"/>
      <c r="K2" s="2467"/>
      <c r="L2" s="2466"/>
      <c r="M2" s="2466"/>
    </row>
    <row r="3" spans="1:37" ht="18" customHeight="1" thickBot="1">
      <c r="A3" s="1297" t="s">
        <v>806</v>
      </c>
      <c r="B3" s="1298">
        <f ca="1">IF(ISERROR(D2/F43),0,ROUND(D2/F43,0))</f>
        <v>14656</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414167</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ROUND(F6*F8*F7*(1-F9),0)</f>
        <v>413650</v>
      </c>
      <c r="D6" s="147" t="s">
        <v>2103</v>
      </c>
      <c r="E6" s="294" t="s">
        <v>696</v>
      </c>
      <c r="F6" s="295">
        <f ca="1">INDIRECT("'数据-取费表'!u"&amp;$G$1)</f>
        <v>3.11</v>
      </c>
      <c r="G6" s="1292"/>
      <c r="H6" s="1006" t="s">
        <v>398</v>
      </c>
      <c r="I6" s="3358" t="s">
        <v>694</v>
      </c>
      <c r="J6" s="293">
        <f ca="1">ROUND(M6*M8*M7*(1-M9),0)</f>
        <v>0</v>
      </c>
      <c r="K6" s="1284" t="s">
        <v>2104</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404.89</v>
      </c>
      <c r="G7" s="1292"/>
      <c r="H7" s="296"/>
      <c r="I7" s="3359"/>
      <c r="J7" s="298"/>
      <c r="K7" s="299"/>
      <c r="L7" s="294" t="s">
        <v>697</v>
      </c>
      <c r="M7" s="295">
        <f ca="1">F7</f>
        <v>404.89</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517</v>
      </c>
      <c r="D10" s="150" t="s">
        <v>2113</v>
      </c>
      <c r="E10" s="305" t="s">
        <v>701</v>
      </c>
      <c r="F10" s="1053" t="s">
        <v>3430</v>
      </c>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1927062</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1619560</v>
      </c>
      <c r="D14" s="1257" t="s">
        <v>708</v>
      </c>
      <c r="E14" s="1255"/>
      <c r="F14" s="311"/>
      <c r="G14" s="1292"/>
      <c r="H14" s="928" t="s">
        <v>398</v>
      </c>
      <c r="I14" s="294" t="s">
        <v>709</v>
      </c>
      <c r="J14" s="21">
        <f ca="1">C29</f>
        <v>2470592</v>
      </c>
      <c r="K14" s="12"/>
      <c r="L14" s="759"/>
      <c r="M14" s="760"/>
    </row>
    <row r="15" spans="1:37" s="1304" customFormat="1" ht="18" customHeight="1" thickBot="1">
      <c r="A15" s="928" t="s">
        <v>399</v>
      </c>
      <c r="B15" s="294" t="s">
        <v>710</v>
      </c>
      <c r="C15" s="21">
        <f ca="1">ROUND(C14*F15,0)</f>
        <v>80978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12353</v>
      </c>
      <c r="K16" s="1024" t="s">
        <v>715</v>
      </c>
      <c r="L16" s="1025"/>
      <c r="M16" s="1009"/>
    </row>
    <row r="17" spans="1:37" s="1304" customFormat="1" ht="18" customHeight="1">
      <c r="A17" s="928" t="s">
        <v>681</v>
      </c>
      <c r="B17" s="294" t="s">
        <v>716</v>
      </c>
      <c r="C17" s="21">
        <f ca="1">ROUND(F17*(F43+INDIRECT("'数据-取费表'!S"&amp;$G$1)),0)</f>
        <v>80978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32391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1813907</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36278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12353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57911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712</v>
      </c>
      <c r="M23" s="321">
        <f ca="1">INDIRECT("'数据-取费表'!Al"&amp;$G$1)</f>
        <v>0.01</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683</v>
      </c>
      <c r="I24" s="1027" t="s">
        <v>728</v>
      </c>
      <c r="J24" s="1028">
        <f ca="1">ROUND(J5*M24,0)</f>
        <v>0</v>
      </c>
      <c r="K24" s="1029" t="s">
        <v>748</v>
      </c>
      <c r="L24" s="1027" t="s">
        <v>712</v>
      </c>
      <c r="M24" s="1023">
        <f ca="1">INDIRECT("'数据-取费表'!Am"&amp;$G$1)</f>
        <v>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-12353</v>
      </c>
      <c r="K25" s="1032" t="s">
        <v>753</v>
      </c>
      <c r="L25" s="1033"/>
      <c r="M25" s="1034"/>
    </row>
    <row r="26" spans="1:37" ht="18" customHeight="1">
      <c r="A26" s="928" t="s">
        <v>397</v>
      </c>
      <c r="B26" s="294" t="s">
        <v>754</v>
      </c>
      <c r="C26" s="21">
        <f ca="1">ROUND((C19+C20)*F26,0)</f>
        <v>370037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2470592</v>
      </c>
      <c r="D29" s="1029"/>
      <c r="E29" s="1027"/>
      <c r="F29" s="1030"/>
      <c r="G29" s="1303"/>
      <c r="H29" s="325" t="s">
        <v>396</v>
      </c>
      <c r="I29" s="326" t="s">
        <v>768</v>
      </c>
      <c r="J29" s="327">
        <f ca="1">ROUND(J26/(1+F40)^F41,0)</f>
        <v>0</v>
      </c>
      <c r="K29" s="328" t="s">
        <v>769</v>
      </c>
      <c r="L29" s="329"/>
      <c r="M29" s="330">
        <f ca="1">INDIRECT("'数据-取费表'!k"&amp;$G$1)</f>
        <v>404.89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59615</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27577</v>
      </c>
      <c r="D31" s="1257" t="s">
        <v>720</v>
      </c>
      <c r="E31" s="1256" t="s">
        <v>770</v>
      </c>
      <c r="F31" s="2138">
        <f ca="1">IF(项目基本情况!B11="企业","——",IF(M47="住宅",IF(F6*F7*F8/12/(1+'数据-取费表'!F30)&gt;100000,4%,2.5%),IF(F6*F7*F8/12/(1+'数据-取费表'!F30)&gt;100000,12%,7%)))</f>
        <v>7.0000000000000007E-2</v>
      </c>
      <c r="G31" s="1292"/>
      <c r="H31" s="2567" t="s">
        <v>2303</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12353</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19271</v>
      </c>
      <c r="D37" s="1256" t="s">
        <v>743</v>
      </c>
      <c r="E37" s="294" t="s">
        <v>712</v>
      </c>
      <c r="F37" s="321">
        <f ca="1">INDIRECT("'数据-取费表'!Al"&amp;$G$1)</f>
        <v>0.01</v>
      </c>
      <c r="G37" s="1292"/>
      <c r="H37" s="2471"/>
      <c r="I37" s="1305"/>
      <c r="J37" s="1306"/>
      <c r="K37" s="2329"/>
      <c r="L37" s="2471"/>
      <c r="M37" s="2471"/>
    </row>
    <row r="38" spans="1:18" ht="18" customHeight="1" thickBot="1">
      <c r="A38" s="1026" t="s">
        <v>683</v>
      </c>
      <c r="B38" s="1027" t="s">
        <v>728</v>
      </c>
      <c r="C38" s="1028">
        <f ca="1">ROUND(C5*F38,0)</f>
        <v>414</v>
      </c>
      <c r="D38" s="1029" t="s">
        <v>748</v>
      </c>
      <c r="E38" s="1027" t="s">
        <v>712</v>
      </c>
      <c r="F38" s="1023">
        <f ca="1">INDIRECT("'数据-取费表'!Am"&amp;$G$1)</f>
        <v>1E-3</v>
      </c>
      <c r="G38" s="1292"/>
      <c r="H38" s="2471"/>
      <c r="I38" s="1305"/>
      <c r="J38" s="1306"/>
      <c r="K38" s="2469"/>
      <c r="L38" s="2471"/>
      <c r="M38" s="2471"/>
    </row>
    <row r="39" spans="1:18" ht="24.65" customHeight="1" thickTop="1">
      <c r="A39" s="1016" t="s">
        <v>394</v>
      </c>
      <c r="B39" s="1031" t="s">
        <v>752</v>
      </c>
      <c r="C39" s="302">
        <f ca="1">C5-C30</f>
        <v>354552</v>
      </c>
      <c r="D39" s="1032" t="s">
        <v>753</v>
      </c>
      <c r="E39" s="1033"/>
      <c r="F39" s="1034"/>
      <c r="G39" s="1292"/>
      <c r="H39" s="2471"/>
      <c r="I39" s="1305"/>
      <c r="J39" s="1306"/>
      <c r="K39" s="2469"/>
      <c r="L39" s="2471"/>
      <c r="M39" s="2471"/>
    </row>
    <row r="40" spans="1:18" ht="18" customHeight="1">
      <c r="A40" s="291" t="s">
        <v>395</v>
      </c>
      <c r="B40" s="292" t="s">
        <v>774</v>
      </c>
      <c r="C40" s="293">
        <f ca="1">ROUND(C39*(1-((1+F42)/(1+F40))^F41)/(F40-F42),0)</f>
        <v>5771882</v>
      </c>
      <c r="D40" s="316" t="s">
        <v>758</v>
      </c>
      <c r="E40" s="294" t="s">
        <v>759</v>
      </c>
      <c r="F40" s="304">
        <f ca="1">INDIRECT("'数据-取费表'!I"&amp;$G$1)</f>
        <v>5.5E-2</v>
      </c>
      <c r="G40" s="1292"/>
      <c r="H40" s="1366">
        <f ca="1">C39/C5</f>
        <v>0.85606047801973595</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25</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14255</v>
      </c>
      <c r="D43" s="328" t="s">
        <v>777</v>
      </c>
      <c r="E43" s="329" t="s">
        <v>778</v>
      </c>
      <c r="F43" s="330">
        <f ca="1">INDIRECT("'数据-取费表'!k"&amp;$G$1)</f>
        <v>404.89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3346</v>
      </c>
      <c r="B45" s="1307"/>
      <c r="C45" s="1376">
        <f ca="1">ROUND((C68-C40)/10000,4)</f>
        <v>-619.60839999999996</v>
      </c>
      <c r="D45" s="3128" t="s">
        <v>3347</v>
      </c>
      <c r="E45" s="1307"/>
      <c r="F45" s="1307"/>
      <c r="O45" s="1310" t="s">
        <v>808</v>
      </c>
      <c r="P45" s="1366"/>
      <c r="Q45" s="1366"/>
      <c r="R45" s="1366"/>
    </row>
    <row r="46" spans="1:18" s="1292" customFormat="1" ht="14" thickBot="1">
      <c r="A46" s="1311" t="s">
        <v>809</v>
      </c>
      <c r="C46" s="1312">
        <f ca="1">ROUND(C45,0)</f>
        <v>-620</v>
      </c>
      <c r="D46" s="1313" t="str">
        <f>C2</f>
        <v>万元</v>
      </c>
      <c r="I46" s="1314" t="s">
        <v>810</v>
      </c>
      <c r="J46" s="1315"/>
      <c r="K46" s="1316"/>
      <c r="L46" s="1317">
        <f ca="1">IF(M47="住宅",0,IF(L48&gt;J51,L60,J60))</f>
        <v>162050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5771882</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25</v>
      </c>
      <c r="O48" s="1325" t="s">
        <v>404</v>
      </c>
      <c r="P48" s="1326" t="s">
        <v>821</v>
      </c>
      <c r="Q48" s="1327">
        <f ca="1">J60</f>
        <v>162050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2470592</v>
      </c>
      <c r="R49" s="1327" t="s">
        <v>818</v>
      </c>
    </row>
    <row r="50" spans="1:18" s="1292" customFormat="1" ht="13.5" thickBot="1">
      <c r="A50" s="922"/>
      <c r="B50" s="925"/>
      <c r="C50" s="926"/>
      <c r="D50" s="899"/>
      <c r="E50" s="993" t="s">
        <v>697</v>
      </c>
      <c r="F50" s="994">
        <f ca="1">F7</f>
        <v>404.89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3949668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25</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25</v>
      </c>
      <c r="K53" s="3356" t="s">
        <v>837</v>
      </c>
      <c r="L53" s="3357"/>
      <c r="O53" s="1325" t="s">
        <v>409</v>
      </c>
      <c r="P53" s="1326" t="s">
        <v>838</v>
      </c>
      <c r="Q53" s="1327">
        <f ca="1">Q47+Q48</f>
        <v>5933932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1927062</v>
      </c>
      <c r="D56" s="1352"/>
      <c r="E56" s="1353"/>
      <c r="F56" s="1345"/>
      <c r="I56" s="1354" t="s">
        <v>842</v>
      </c>
      <c r="J56" s="1355" t="s">
        <v>3433</v>
      </c>
      <c r="K56" s="1328" t="s">
        <v>843</v>
      </c>
      <c r="L56" s="1331" t="str">
        <f ca="1">IF(L48&lt;J51,"——",L48-J51)</f>
        <v>——</v>
      </c>
      <c r="O56" s="1325" t="s">
        <v>403</v>
      </c>
      <c r="P56" s="1326" t="s">
        <v>817</v>
      </c>
      <c r="Q56" s="1327">
        <f ca="1">C40+J29</f>
        <v>5771882</v>
      </c>
      <c r="R56" s="1327" t="s">
        <v>818</v>
      </c>
    </row>
    <row r="57" spans="1:18" s="1292" customFormat="1" ht="26.5" thickBot="1">
      <c r="A57" s="1356"/>
      <c r="B57" s="896" t="s">
        <v>767</v>
      </c>
      <c r="C57" s="230">
        <f ca="1">C29</f>
        <v>2470592</v>
      </c>
      <c r="D57" s="1357"/>
      <c r="E57" s="1358"/>
      <c r="F57" s="1359"/>
      <c r="I57" s="1360" t="s">
        <v>844</v>
      </c>
      <c r="J57" s="1361">
        <f ca="1">IF(OR(M47="住宅",J51&lt;L48,J56="是"),"——",J51-L48)</f>
        <v>22</v>
      </c>
      <c r="K57" s="1328" t="s">
        <v>892</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31624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988237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162050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t="str">
        <f ca="1">IF(项目基本情况!B11="自然人","——",IF(D61="按租金收入计税",ROUND(C49*F61/(1+'数据-取费表'!C42),0),IF(D61="按房产原值计税",ROUND(C57*F61*0.7,0),INDIRECT("'数据-取费表'!Aj"&amp;$G$1))))</f>
        <v>——</v>
      </c>
      <c r="D61" s="1278" t="s">
        <v>3330</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t="str">
        <f>IF(项目基本情况!B11="自然人","——",ROUND(F62*F63,0))</f>
        <v>——</v>
      </c>
      <c r="D62" s="911" t="s">
        <v>731</v>
      </c>
      <c r="E62" s="896" t="s">
        <v>732</v>
      </c>
      <c r="F62" s="317">
        <f t="shared" si="0"/>
        <v>3</v>
      </c>
      <c r="I62" s="1367" t="s">
        <v>858</v>
      </c>
      <c r="J62" s="610" t="s">
        <v>859</v>
      </c>
      <c r="K62" s="610" t="s">
        <v>860</v>
      </c>
      <c r="L62" s="610" t="s">
        <v>861</v>
      </c>
      <c r="M62" s="1368" t="s">
        <v>862</v>
      </c>
      <c r="O62" s="1325" t="s">
        <v>409</v>
      </c>
      <c r="P62" s="1326" t="s">
        <v>838</v>
      </c>
      <c r="Q62" s="1327">
        <f ca="1">Q56+Q57</f>
        <v>5771882</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ROUND(C57*F64,0)</f>
        <v>12353</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19271</v>
      </c>
      <c r="D65" s="910" t="s">
        <v>743</v>
      </c>
      <c r="E65" s="896" t="s">
        <v>712</v>
      </c>
      <c r="F65" s="321">
        <f t="shared" ca="1" si="0"/>
        <v>0.01</v>
      </c>
      <c r="I65" s="1367" t="s">
        <v>867</v>
      </c>
      <c r="J65" s="610">
        <v>40</v>
      </c>
      <c r="K65" s="610">
        <v>30</v>
      </c>
      <c r="L65" s="610">
        <v>50</v>
      </c>
      <c r="M65" s="1369">
        <v>0.02</v>
      </c>
      <c r="O65" s="1325" t="s">
        <v>403</v>
      </c>
      <c r="P65" s="1326" t="s">
        <v>817</v>
      </c>
      <c r="Q65" s="1327">
        <f ca="1">C40+J29</f>
        <v>5771882</v>
      </c>
      <c r="R65" s="1327" t="s">
        <v>818</v>
      </c>
    </row>
    <row r="66" spans="1:18" s="1292" customFormat="1" ht="16" thickBot="1">
      <c r="A66" s="928" t="s">
        <v>793</v>
      </c>
      <c r="B66" s="896" t="s">
        <v>728</v>
      </c>
      <c r="C66" s="21">
        <f ca="1">ROUND(C48*F66,0)</f>
        <v>0</v>
      </c>
      <c r="D66" s="910" t="s">
        <v>748</v>
      </c>
      <c r="E66" s="896" t="s">
        <v>712</v>
      </c>
      <c r="F66" s="304">
        <f t="shared" ca="1" si="0"/>
        <v>1E-3</v>
      </c>
      <c r="O66" s="1325" t="s">
        <v>404</v>
      </c>
      <c r="P66" s="1326" t="s">
        <v>846</v>
      </c>
      <c r="Q66" s="1327">
        <f ca="1">L60</f>
        <v>0</v>
      </c>
      <c r="R66" s="1327" t="s">
        <v>869</v>
      </c>
    </row>
    <row r="67" spans="1:18" s="1292" customFormat="1" ht="26.5" thickBot="1">
      <c r="A67" s="903" t="s">
        <v>394</v>
      </c>
      <c r="B67" s="913" t="s">
        <v>752</v>
      </c>
      <c r="C67" s="308">
        <f ca="1">C48-C58</f>
        <v>-31624</v>
      </c>
      <c r="D67" s="909" t="s">
        <v>753</v>
      </c>
      <c r="E67" s="914"/>
      <c r="F67" s="915"/>
      <c r="O67" s="1334" t="s">
        <v>405</v>
      </c>
      <c r="P67" s="1326" t="s">
        <v>850</v>
      </c>
      <c r="Q67" s="1370">
        <f ca="1">L51</f>
        <v>3949668</v>
      </c>
      <c r="R67" s="1327" t="s">
        <v>870</v>
      </c>
    </row>
    <row r="68" spans="1:18" s="1292" customFormat="1" ht="16" thickBot="1">
      <c r="A68" s="893" t="s">
        <v>395</v>
      </c>
      <c r="B68" s="894" t="s">
        <v>774</v>
      </c>
      <c r="C68" s="293">
        <f ca="1">ROUND(C67*(1-((1+F70)/(1+F68))^F69)/(F68-F70),0)</f>
        <v>-424202</v>
      </c>
      <c r="D68" s="911" t="s">
        <v>758</v>
      </c>
      <c r="E68" s="896" t="s">
        <v>759</v>
      </c>
      <c r="F68" s="304">
        <f ca="1">F40</f>
        <v>5.5E-2</v>
      </c>
      <c r="O68" s="1334" t="s">
        <v>406</v>
      </c>
      <c r="P68" s="1371" t="s">
        <v>871</v>
      </c>
      <c r="Q68" s="1327">
        <f ca="1">ROUND(Q69-Q70*Q71,0)</f>
        <v>219658</v>
      </c>
      <c r="R68" s="1327" t="s">
        <v>414</v>
      </c>
    </row>
    <row r="69" spans="1:18" s="1292" customFormat="1" ht="13.5" thickBot="1">
      <c r="A69" s="897"/>
      <c r="B69" s="898"/>
      <c r="C69" s="298"/>
      <c r="D69" s="916" t="s">
        <v>762</v>
      </c>
      <c r="E69" s="896" t="s">
        <v>763</v>
      </c>
      <c r="F69" s="324">
        <f ca="1">F41</f>
        <v>25</v>
      </c>
      <c r="O69" s="1334" t="s">
        <v>411</v>
      </c>
      <c r="P69" s="1371" t="s">
        <v>872</v>
      </c>
      <c r="Q69" s="1327">
        <f ca="1">C39</f>
        <v>354552</v>
      </c>
      <c r="R69" s="1327" t="s">
        <v>818</v>
      </c>
    </row>
    <row r="70" spans="1:18" s="1292" customFormat="1" ht="13.5" thickBot="1">
      <c r="A70" s="900"/>
      <c r="B70" s="901"/>
      <c r="C70" s="302"/>
      <c r="D70" s="912"/>
      <c r="E70" s="896" t="s">
        <v>766</v>
      </c>
      <c r="F70" s="991"/>
      <c r="O70" s="1334" t="s">
        <v>412</v>
      </c>
      <c r="P70" s="1371" t="s">
        <v>873</v>
      </c>
      <c r="Q70" s="1327">
        <f ca="1">C13</f>
        <v>1927062</v>
      </c>
      <c r="R70" s="1327" t="s">
        <v>818</v>
      </c>
    </row>
    <row r="71" spans="1:18" s="1292" customFormat="1" ht="13.5" thickBot="1">
      <c r="A71" s="917" t="s">
        <v>396</v>
      </c>
      <c r="B71" s="918" t="s">
        <v>776</v>
      </c>
      <c r="C71" s="327">
        <f ca="1">ROUND(C68/F71,0)</f>
        <v>-1048</v>
      </c>
      <c r="D71" s="919" t="s">
        <v>777</v>
      </c>
      <c r="E71" s="920" t="s">
        <v>778</v>
      </c>
      <c r="F71" s="330">
        <f ca="1">F43</f>
        <v>404.89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134894</v>
      </c>
      <c r="D75" s="1292"/>
      <c r="E75" s="1292"/>
      <c r="F75" s="1292"/>
      <c r="K75" s="1309"/>
      <c r="L75" s="1292"/>
      <c r="O75" s="1325" t="s">
        <v>409</v>
      </c>
      <c r="P75" s="1326" t="s">
        <v>838</v>
      </c>
      <c r="Q75" s="1327">
        <f ca="1">Q65+Q66</f>
        <v>5771882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0.62</v>
      </c>
    </row>
    <row r="80" spans="1:18" ht="13">
      <c r="B80" s="331" t="s">
        <v>800</v>
      </c>
      <c r="C80" s="266">
        <f ca="1">ROUND(C75/C39,3)</f>
        <v>0.38</v>
      </c>
    </row>
    <row r="81" spans="2:3" ht="13.5">
      <c r="B81" s="262" t="s">
        <v>801</v>
      </c>
      <c r="C81" s="230"/>
    </row>
    <row r="82" spans="2:3" ht="13">
      <c r="B82" s="265" t="s">
        <v>802</v>
      </c>
      <c r="C82" s="267">
        <f ca="1">1-C83</f>
        <v>0.66599999999999993</v>
      </c>
    </row>
    <row r="83" spans="2:3" ht="13">
      <c r="B83" s="265" t="s">
        <v>803</v>
      </c>
      <c r="C83" s="266">
        <f ca="1">ROUND(C13/C40,3)</f>
        <v>0.33400000000000002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9" priority="3">
      <formula>$F$10="自定义"</formula>
    </cfRule>
  </conditionalFormatting>
  <conditionalFormatting sqref="C54">
    <cfRule type="expression" dxfId="108" priority="1">
      <formula>$F$53="自定义"</formula>
    </cfRule>
  </conditionalFormatting>
  <conditionalFormatting sqref="I55 I60">
    <cfRule type="expression" dxfId="107" priority="5">
      <formula>$J$51&gt;$L$48</formula>
    </cfRule>
  </conditionalFormatting>
  <conditionalFormatting sqref="J11">
    <cfRule type="expression" dxfId="106" priority="2">
      <formula>$M$10="自定义"</formula>
    </cfRule>
  </conditionalFormatting>
  <conditionalFormatting sqref="K55 K60">
    <cfRule type="expression" dxfId="105" priority="4">
      <formula>$L$48&gt;$J$51</formula>
    </cfRule>
  </conditionalFormatting>
  <dataValidations count="9">
    <dataValidation type="list" allowBlank="1" showInputMessage="1" showErrorMessage="1" sqref="D1" xr:uid="{79F16C70-8B32-4AF2-B1D2-C2CB13141B7D}">
      <formula1>"在建（套用方法）,土地（套用方法）,——"</formula1>
    </dataValidation>
    <dataValidation type="list" allowBlank="1" showInputMessage="1" showErrorMessage="1" sqref="F10 F53 M10" xr:uid="{5C8FACE2-8963-40FE-9C74-8FC1CD8C061C}">
      <formula1>"押一,押二,押三,自定义"</formula1>
    </dataValidation>
    <dataValidation type="list" allowBlank="1" showInputMessage="1" showErrorMessage="1" sqref="K19" xr:uid="{F7066A41-4FBA-4D52-AD3E-010DFCE3F633}">
      <formula1>"按租金收入计税,按房产原值计税"</formula1>
    </dataValidation>
    <dataValidation type="list" allowBlank="1" showInputMessage="1" showErrorMessage="1" sqref="D33 D61" xr:uid="{81277331-E153-4ABB-AE7A-167043C5614A}">
      <formula1>"按租金收入计税,按房产原值计税,按票据"</formula1>
    </dataValidation>
    <dataValidation type="list" allowBlank="1" showInputMessage="1" showErrorMessage="1" sqref="C1" xr:uid="{1568F1CD-747E-4910-8855-7DD08DB9D8B5}">
      <formula1>项目类型</formula1>
    </dataValidation>
    <dataValidation type="list" allowBlank="1" showInputMessage="1" showErrorMessage="1" sqref="J47" xr:uid="{E0CF24A8-2339-4893-A5F0-F64B96F4F5E9}">
      <formula1>"钢,钢混,砖混"</formula1>
    </dataValidation>
    <dataValidation type="list" allowBlank="1" showInputMessage="1" showErrorMessage="1" sqref="J48" xr:uid="{C52D190C-5B42-4700-8AD3-75FDAF5154C1}">
      <formula1>"非生产用房,生产用房,受腐蚀的生产用房"</formula1>
    </dataValidation>
    <dataValidation type="list" allowBlank="1" showInputMessage="1" showErrorMessage="1" sqref="J56" xr:uid="{8C13E430-B539-4E2F-A71A-94CCC0CC077E}">
      <formula1>估价范围判定</formula1>
    </dataValidation>
    <dataValidation type="list" allowBlank="1" showInputMessage="1" showErrorMessage="1" sqref="L55" xr:uid="{9E404535-4B08-4FFE-919E-A97B1120FF4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785.23</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400" t="s">
        <v>1770</v>
      </c>
      <c r="D4" s="3401"/>
      <c r="E4" s="3402" t="s">
        <v>1771</v>
      </c>
      <c r="F4" s="3403"/>
      <c r="G4" s="3400" t="s">
        <v>1772</v>
      </c>
      <c r="H4" s="3401"/>
      <c r="I4" s="3400" t="s">
        <v>1773</v>
      </c>
      <c r="J4" s="3401"/>
      <c r="K4" s="537" t="s">
        <v>1774</v>
      </c>
      <c r="L4" s="2484"/>
      <c r="M4" s="2485"/>
      <c r="N4" s="2485"/>
      <c r="O4" s="2485"/>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c r="A5" s="348"/>
      <c r="B5" s="349"/>
      <c r="C5" s="3418" t="s">
        <v>1673</v>
      </c>
      <c r="D5" s="3419"/>
      <c r="E5" s="3425" t="s">
        <v>1674</v>
      </c>
      <c r="F5" s="3426"/>
      <c r="G5" s="3418" t="s">
        <v>1675</v>
      </c>
      <c r="H5" s="3419"/>
      <c r="I5" s="3418" t="s">
        <v>1676</v>
      </c>
      <c r="J5" s="3419"/>
      <c r="K5" s="537"/>
      <c r="L5" s="2484"/>
      <c r="M5" s="2485"/>
      <c r="N5" s="2485"/>
      <c r="O5" s="2485"/>
      <c r="P5" s="3435"/>
      <c r="Q5" s="3407"/>
      <c r="R5" s="3412"/>
      <c r="S5" s="3413"/>
      <c r="T5" s="3412"/>
      <c r="U5" s="3413"/>
      <c r="V5" s="3386"/>
      <c r="W5" s="3386"/>
      <c r="X5" s="1265"/>
      <c r="Y5" s="3412"/>
      <c r="Z5" s="3413"/>
      <c r="AA5" s="3398"/>
      <c r="AB5" s="3398"/>
      <c r="AC5" s="3431"/>
    </row>
    <row r="6" spans="1:29" ht="15" thickBot="1">
      <c r="A6" s="350"/>
      <c r="B6" s="351"/>
      <c r="C6" s="3416" t="s">
        <v>1677</v>
      </c>
      <c r="D6" s="3417"/>
      <c r="E6" s="3423" t="s">
        <v>1677</v>
      </c>
      <c r="F6" s="3424"/>
      <c r="G6" s="3416" t="s">
        <v>1677</v>
      </c>
      <c r="H6" s="3417"/>
      <c r="I6" s="3416" t="s">
        <v>1677</v>
      </c>
      <c r="J6" s="3417"/>
      <c r="K6" s="537" t="s">
        <v>1678</v>
      </c>
      <c r="L6" s="2484"/>
      <c r="M6" s="2485"/>
      <c r="N6" s="2485"/>
      <c r="O6" s="2485"/>
      <c r="P6" s="3436"/>
      <c r="Q6" s="3409"/>
      <c r="R6" s="3412"/>
      <c r="S6" s="3413"/>
      <c r="T6" s="3414"/>
      <c r="U6" s="3415"/>
      <c r="V6" s="3386"/>
      <c r="W6" s="3386"/>
      <c r="X6" s="1265"/>
      <c r="Y6" s="3414"/>
      <c r="Z6" s="3415"/>
      <c r="AA6" s="3399"/>
      <c r="AB6" s="3399"/>
      <c r="AC6" s="3432"/>
    </row>
    <row r="7" spans="1:29" s="102" customFormat="1" ht="14.5" thickBot="1">
      <c r="A7" s="352" t="s">
        <v>1679</v>
      </c>
      <c r="B7" s="353"/>
      <c r="C7" s="354">
        <f>'数据-取费表'!B2</f>
        <v>45910</v>
      </c>
      <c r="D7" s="355">
        <v>100</v>
      </c>
      <c r="E7" s="356"/>
      <c r="F7" s="357">
        <f>SUMIF(59:59,YEAR(E7)&amp;"-"&amp;MONTH(E7),60:60)</f>
        <v>0</v>
      </c>
      <c r="G7" s="356"/>
      <c r="H7" s="355">
        <f>SUMIF(59:59,YEAR(G7)&amp;"-"&amp;MONTH(G7),60:60)</f>
        <v>0</v>
      </c>
      <c r="I7" s="356"/>
      <c r="J7" s="355">
        <f>SUMIF(59:59,YEAR(I7)&amp;"-"&amp;MONTH(I7),60:60)</f>
        <v>0</v>
      </c>
      <c r="K7" s="38"/>
      <c r="L7" s="2486"/>
      <c r="M7" s="2438"/>
      <c r="N7" s="2438"/>
      <c r="O7" s="2438"/>
      <c r="P7" s="344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40" t="s">
        <v>1683</v>
      </c>
      <c r="Q8" s="3421"/>
      <c r="R8" s="664" t="s">
        <v>14</v>
      </c>
      <c r="S8" s="665">
        <f t="shared" si="0"/>
        <v>100</v>
      </c>
      <c r="T8" s="664" t="s">
        <v>14</v>
      </c>
      <c r="U8" s="665">
        <f t="shared" si="1"/>
        <v>100</v>
      </c>
      <c r="V8" s="664" t="s">
        <v>14</v>
      </c>
      <c r="W8" s="665">
        <f t="shared" si="2"/>
        <v>100</v>
      </c>
      <c r="X8" s="666"/>
      <c r="Y8" s="3420" t="s">
        <v>1683</v>
      </c>
      <c r="Z8" s="342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6"/>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4"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0"/>
      <c r="M16" s="2485"/>
      <c r="N16" s="2485"/>
      <c r="O16" s="2485"/>
      <c r="P16" s="3395"/>
      <c r="Q16" s="1263"/>
      <c r="R16" s="667"/>
      <c r="S16" s="668"/>
      <c r="T16" s="667"/>
      <c r="U16" s="668"/>
      <c r="V16" s="667"/>
      <c r="W16" s="668"/>
      <c r="X16" s="1265"/>
      <c r="Y16" s="338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0"/>
      <c r="M18" s="2485"/>
      <c r="N18" s="2485"/>
      <c r="O18" s="2485"/>
      <c r="P18" s="3395"/>
      <c r="Q18" s="1263"/>
      <c r="R18" s="667"/>
      <c r="S18" s="668"/>
      <c r="T18" s="667"/>
      <c r="U18" s="668"/>
      <c r="V18" s="667"/>
      <c r="W18" s="668"/>
      <c r="X18" s="1265"/>
      <c r="Y18" s="338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0"/>
      <c r="M20" s="2485"/>
      <c r="N20" s="2485"/>
      <c r="O20" s="2485"/>
      <c r="P20" s="3395"/>
      <c r="Q20" s="1263"/>
      <c r="R20" s="667"/>
      <c r="S20" s="668"/>
      <c r="T20" s="667"/>
      <c r="U20" s="668"/>
      <c r="V20" s="667"/>
      <c r="W20" s="668"/>
      <c r="X20" s="1265"/>
      <c r="Y20" s="338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0"/>
      <c r="M22" s="2485"/>
      <c r="N22" s="2485"/>
      <c r="O22" s="2485"/>
      <c r="P22" s="3395"/>
      <c r="Q22" s="1263"/>
      <c r="R22" s="667"/>
      <c r="S22" s="668"/>
      <c r="T22" s="667"/>
      <c r="U22" s="668"/>
      <c r="V22" s="667"/>
      <c r="W22" s="668"/>
      <c r="X22" s="1265"/>
      <c r="Y22" s="338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5"/>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0"/>
      <c r="M24" s="2485"/>
      <c r="N24" s="2485"/>
      <c r="O24" s="2485"/>
      <c r="P24" s="3395"/>
      <c r="Q24" s="1263"/>
      <c r="R24" s="667"/>
      <c r="S24" s="668"/>
      <c r="T24" s="667"/>
      <c r="U24" s="668"/>
      <c r="V24" s="667"/>
      <c r="W24" s="668"/>
      <c r="X24" s="1265"/>
      <c r="Y24" s="338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5"/>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0"/>
      <c r="M26" s="2485"/>
      <c r="N26" s="2485"/>
      <c r="O26" s="2485"/>
      <c r="P26" s="3395"/>
      <c r="Q26" s="1263"/>
      <c r="R26" s="667"/>
      <c r="S26" s="668"/>
      <c r="T26" s="667"/>
      <c r="U26" s="668"/>
      <c r="V26" s="667"/>
      <c r="W26" s="668"/>
      <c r="X26" s="1265"/>
      <c r="Y26" s="338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5"/>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5"/>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5"/>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9" t="s">
        <v>1696</v>
      </c>
      <c r="Q33" s="1263" t="str">
        <f t="shared" si="11"/>
        <v>建筑类型</v>
      </c>
      <c r="R33" s="667" t="s">
        <v>14</v>
      </c>
      <c r="S33" s="668">
        <f t="shared" si="12"/>
        <v>100</v>
      </c>
      <c r="T33" s="667" t="s">
        <v>14</v>
      </c>
      <c r="U33" s="668">
        <f t="shared" si="13"/>
        <v>100</v>
      </c>
      <c r="V33" s="667" t="s">
        <v>14</v>
      </c>
      <c r="W33" s="668">
        <f t="shared" si="14"/>
        <v>100</v>
      </c>
      <c r="X33" s="1265"/>
      <c r="Y33" s="339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0"/>
      <c r="Q34" s="531" t="str">
        <f t="shared" si="11"/>
        <v>项目建筑规模</v>
      </c>
      <c r="R34" s="669" t="s">
        <v>14</v>
      </c>
      <c r="S34" s="670" t="e">
        <f t="shared" si="12"/>
        <v>#N/A</v>
      </c>
      <c r="T34" s="669" t="s">
        <v>14</v>
      </c>
      <c r="U34" s="670" t="e">
        <f t="shared" si="13"/>
        <v>#N/A</v>
      </c>
      <c r="V34" s="669" t="s">
        <v>14</v>
      </c>
      <c r="W34" s="670" t="e">
        <f t="shared" si="14"/>
        <v>#N/A</v>
      </c>
      <c r="X34" s="671"/>
      <c r="Y34" s="339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0"/>
      <c r="Q35" s="1263" t="str">
        <f t="shared" si="11"/>
        <v>建筑结构</v>
      </c>
      <c r="R35" s="667" t="s">
        <v>14</v>
      </c>
      <c r="S35" s="668">
        <f t="shared" si="12"/>
        <v>100</v>
      </c>
      <c r="T35" s="667" t="s">
        <v>14</v>
      </c>
      <c r="U35" s="668">
        <f t="shared" si="13"/>
        <v>100</v>
      </c>
      <c r="V35" s="667" t="s">
        <v>14</v>
      </c>
      <c r="W35" s="668">
        <f t="shared" si="14"/>
        <v>100</v>
      </c>
      <c r="X35" s="1265"/>
      <c r="Y35" s="339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0"/>
      <c r="Q36" s="1263" t="str">
        <f t="shared" si="11"/>
        <v>公共部分装修</v>
      </c>
      <c r="R36" s="667" t="s">
        <v>14</v>
      </c>
      <c r="S36" s="668">
        <f t="shared" si="12"/>
        <v>100</v>
      </c>
      <c r="T36" s="667" t="s">
        <v>14</v>
      </c>
      <c r="U36" s="668">
        <f t="shared" si="13"/>
        <v>100</v>
      </c>
      <c r="V36" s="667" t="s">
        <v>14</v>
      </c>
      <c r="W36" s="668">
        <f t="shared" si="14"/>
        <v>100</v>
      </c>
      <c r="X36" s="1265"/>
      <c r="Y36" s="339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0"/>
      <c r="Q37" s="1263" t="str">
        <f t="shared" si="11"/>
        <v>成新度</v>
      </c>
      <c r="R37" s="667" t="s">
        <v>14</v>
      </c>
      <c r="S37" s="668" t="e">
        <f t="shared" si="12"/>
        <v>#N/A</v>
      </c>
      <c r="T37" s="667" t="s">
        <v>14</v>
      </c>
      <c r="U37" s="668" t="e">
        <f t="shared" si="13"/>
        <v>#N/A</v>
      </c>
      <c r="V37" s="667" t="s">
        <v>14</v>
      </c>
      <c r="W37" s="668" t="e">
        <f t="shared" si="14"/>
        <v>#N/A</v>
      </c>
      <c r="X37" s="1265"/>
      <c r="Y37" s="339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90"/>
      <c r="Q38" s="530" t="str">
        <f t="shared" si="11"/>
        <v>写字楼等级</v>
      </c>
      <c r="R38" s="664" t="s">
        <v>14</v>
      </c>
      <c r="S38" s="665">
        <f t="shared" si="12"/>
        <v>100</v>
      </c>
      <c r="T38" s="664" t="s">
        <v>14</v>
      </c>
      <c r="U38" s="665">
        <f t="shared" si="13"/>
        <v>100</v>
      </c>
      <c r="V38" s="664" t="s">
        <v>14</v>
      </c>
      <c r="W38" s="665">
        <f t="shared" si="14"/>
        <v>100</v>
      </c>
      <c r="X38" s="666"/>
      <c r="Y38" s="339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0" t="s">
        <v>1696</v>
      </c>
      <c r="Q39" s="1263" t="str">
        <f t="shared" si="11"/>
        <v>物业管理</v>
      </c>
      <c r="R39" s="667" t="s">
        <v>14</v>
      </c>
      <c r="S39" s="668">
        <f t="shared" si="12"/>
        <v>100</v>
      </c>
      <c r="T39" s="667" t="s">
        <v>14</v>
      </c>
      <c r="U39" s="668">
        <f t="shared" si="13"/>
        <v>100</v>
      </c>
      <c r="V39" s="667" t="s">
        <v>14</v>
      </c>
      <c r="W39" s="668">
        <f t="shared" si="14"/>
        <v>100</v>
      </c>
      <c r="X39" s="1265"/>
      <c r="Y39" s="339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0"/>
      <c r="Q40" s="1263" t="str">
        <f t="shared" si="11"/>
        <v>市政基础设施</v>
      </c>
      <c r="R40" s="667" t="s">
        <v>14</v>
      </c>
      <c r="S40" s="668">
        <f t="shared" si="12"/>
        <v>100</v>
      </c>
      <c r="T40" s="667" t="s">
        <v>14</v>
      </c>
      <c r="U40" s="668">
        <f t="shared" si="13"/>
        <v>100</v>
      </c>
      <c r="V40" s="667" t="s">
        <v>14</v>
      </c>
      <c r="W40" s="668">
        <f t="shared" si="14"/>
        <v>100</v>
      </c>
      <c r="X40" s="1265"/>
      <c r="Y40" s="339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0"/>
      <c r="Q41" s="1263" t="str">
        <f t="shared" si="11"/>
        <v>层高</v>
      </c>
      <c r="R41" s="667" t="s">
        <v>14</v>
      </c>
      <c r="S41" s="668">
        <f t="shared" si="12"/>
        <v>100</v>
      </c>
      <c r="T41" s="667" t="s">
        <v>14</v>
      </c>
      <c r="U41" s="668">
        <f t="shared" si="13"/>
        <v>100</v>
      </c>
      <c r="V41" s="667" t="s">
        <v>14</v>
      </c>
      <c r="W41" s="668">
        <f t="shared" si="14"/>
        <v>100</v>
      </c>
      <c r="X41" s="1265"/>
      <c r="Y41" s="339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0"/>
      <c r="Q42" s="531" t="str">
        <f t="shared" si="11"/>
        <v>单套建筑面积</v>
      </c>
      <c r="R42" s="669" t="s">
        <v>14</v>
      </c>
      <c r="S42" s="670">
        <f t="shared" si="12"/>
        <v>100</v>
      </c>
      <c r="T42" s="669" t="s">
        <v>14</v>
      </c>
      <c r="U42" s="670">
        <f t="shared" si="13"/>
        <v>100</v>
      </c>
      <c r="V42" s="669" t="s">
        <v>14</v>
      </c>
      <c r="W42" s="670">
        <f t="shared" si="14"/>
        <v>100</v>
      </c>
      <c r="X42" s="671"/>
      <c r="Y42" s="339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0"/>
      <c r="Q43" s="1263" t="str">
        <f t="shared" si="11"/>
        <v>内部装修</v>
      </c>
      <c r="R43" s="667" t="s">
        <v>14</v>
      </c>
      <c r="S43" s="668">
        <f t="shared" si="12"/>
        <v>100</v>
      </c>
      <c r="T43" s="667" t="s">
        <v>14</v>
      </c>
      <c r="U43" s="668">
        <f t="shared" si="13"/>
        <v>100</v>
      </c>
      <c r="V43" s="667" t="s">
        <v>14</v>
      </c>
      <c r="W43" s="668">
        <f t="shared" si="14"/>
        <v>100</v>
      </c>
      <c r="X43" s="1265"/>
      <c r="Y43" s="339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90"/>
      <c r="Q44" s="1263" t="str">
        <f t="shared" si="11"/>
        <v>内部装修维护情况</v>
      </c>
      <c r="R44" s="667" t="s">
        <v>14</v>
      </c>
      <c r="S44" s="668">
        <f t="shared" si="12"/>
        <v>100</v>
      </c>
      <c r="T44" s="667" t="s">
        <v>14</v>
      </c>
      <c r="U44" s="668">
        <f t="shared" si="13"/>
        <v>100</v>
      </c>
      <c r="V44" s="667" t="s">
        <v>14</v>
      </c>
      <c r="W44" s="668">
        <f t="shared" si="14"/>
        <v>100</v>
      </c>
      <c r="X44" s="1265"/>
      <c r="Y44" s="339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0"/>
      <c r="Q45" s="530">
        <f t="shared" si="11"/>
        <v>111</v>
      </c>
      <c r="R45" s="664" t="s">
        <v>14</v>
      </c>
      <c r="S45" s="665">
        <f t="shared" si="12"/>
        <v>100</v>
      </c>
      <c r="T45" s="664" t="s">
        <v>14</v>
      </c>
      <c r="U45" s="665">
        <f t="shared" si="13"/>
        <v>100</v>
      </c>
      <c r="V45" s="664" t="s">
        <v>14</v>
      </c>
      <c r="W45" s="665">
        <f t="shared" si="14"/>
        <v>100</v>
      </c>
      <c r="X45" s="666"/>
      <c r="Y45" s="339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1"/>
      <c r="Q47" s="1263">
        <f t="shared" si="11"/>
        <v>111</v>
      </c>
      <c r="R47" s="667" t="s">
        <v>14</v>
      </c>
      <c r="S47" s="668">
        <f t="shared" si="12"/>
        <v>100</v>
      </c>
      <c r="T47" s="667" t="s">
        <v>14</v>
      </c>
      <c r="U47" s="668">
        <f t="shared" si="13"/>
        <v>100</v>
      </c>
      <c r="V47" s="667" t="s">
        <v>14</v>
      </c>
      <c r="W47" s="668">
        <f t="shared" si="14"/>
        <v>100</v>
      </c>
      <c r="X47" s="1265"/>
      <c r="Y47" s="339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2"/>
      <c r="M48" s="2485"/>
      <c r="N48" s="2485"/>
      <c r="O48" s="2485"/>
      <c r="P48" s="3396" t="str">
        <f>A48</f>
        <v>成交单价（元/平方米）</v>
      </c>
      <c r="Q48" s="3385"/>
      <c r="R48" s="3386">
        <f>E48</f>
        <v>0</v>
      </c>
      <c r="S48" s="3386"/>
      <c r="T48" s="3386">
        <f>G48</f>
        <v>0</v>
      </c>
      <c r="U48" s="3386"/>
      <c r="V48" s="3386">
        <f>I48</f>
        <v>0</v>
      </c>
      <c r="W48" s="3386"/>
      <c r="X48" s="385"/>
      <c r="Y48" s="673"/>
      <c r="Z48" s="385"/>
      <c r="AA48" s="385"/>
      <c r="AB48" s="385"/>
      <c r="AC48" s="555"/>
    </row>
    <row r="49" spans="1:29" ht="14.5" thickBot="1">
      <c r="A49" s="423" t="s">
        <v>1793</v>
      </c>
      <c r="B49" s="424"/>
      <c r="C49" s="1082" t="e">
        <f>R50</f>
        <v>#DIV/0!</v>
      </c>
      <c r="D49" s="2140" t="s">
        <v>2135</v>
      </c>
      <c r="E49" s="1083" t="e">
        <f>R49</f>
        <v>#DIV/0!</v>
      </c>
      <c r="F49" s="2141"/>
      <c r="G49" s="1082" t="e">
        <f>T49</f>
        <v>#DIV/0!</v>
      </c>
      <c r="H49" s="2141"/>
      <c r="I49" s="1083" t="e">
        <f>V49</f>
        <v>#DIV/0!</v>
      </c>
      <c r="J49" s="2141"/>
      <c r="K49" s="2143">
        <f>F49+H49+J49</f>
        <v>0</v>
      </c>
      <c r="L49" s="2492"/>
      <c r="M49" s="2485"/>
      <c r="N49" s="2485"/>
      <c r="O49" s="2485"/>
      <c r="P49" s="3396" t="str">
        <f>A49</f>
        <v>比较价值（元/平方米）</v>
      </c>
      <c r="Q49" s="3385"/>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F7:F47 H7:H47 J7:J47">
    <cfRule type="cellIs" dxfId="101" priority="1" operator="notEqual">
      <formula>100</formula>
    </cfRule>
  </conditionalFormatting>
  <conditionalFormatting sqref="F49">
    <cfRule type="expression" dxfId="100" priority="4">
      <formula>$D$49="简单平均"</formula>
    </cfRule>
  </conditionalFormatting>
  <conditionalFormatting sqref="F53:F55 H53:H55">
    <cfRule type="containsText" dxfId="99" priority="17" stopIfTrue="1" operator="containsText" text="超过">
      <formula>NOT(ISERROR(SEARCH("超过",F53)))</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G55">
    <cfRule type="expression" dxfId="96" priority="13" stopIfTrue="1">
      <formula>$H$55="超过30%"</formula>
    </cfRule>
  </conditionalFormatting>
  <conditionalFormatting sqref="H49">
    <cfRule type="expression" dxfId="95" priority="3">
      <formula>$D$49="简单平均"</formula>
    </cfRule>
  </conditionalFormatting>
  <conditionalFormatting sqref="I53">
    <cfRule type="expression" dxfId="94" priority="7" stopIfTrue="1">
      <formula>$J$53="超过30%"</formula>
    </cfRule>
  </conditionalFormatting>
  <conditionalFormatting sqref="I54">
    <cfRule type="expression" dxfId="93" priority="6" stopIfTrue="1">
      <formula>$J$53+$J$54="超过20%"</formula>
    </cfRule>
  </conditionalFormatting>
  <conditionalFormatting sqref="I55">
    <cfRule type="expression" dxfId="92" priority="5" stopIfTrue="1">
      <formula>$J$55="超过30%"</formula>
    </cfRule>
  </conditionalFormatting>
  <conditionalFormatting sqref="J49">
    <cfRule type="expression" dxfId="91" priority="2">
      <formula>$D$49="简单平均"</formula>
    </cfRule>
  </conditionalFormatting>
  <conditionalFormatting sqref="J53:J55">
    <cfRule type="containsText" dxfId="9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785.23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860"/>
      <c r="M4" s="861"/>
      <c r="N4" s="861"/>
      <c r="O4" s="861"/>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860"/>
      <c r="M5" s="861"/>
      <c r="N5" s="861"/>
      <c r="O5" s="861"/>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860"/>
      <c r="M6" s="861"/>
      <c r="N6" s="861"/>
      <c r="O6" s="861"/>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45910</v>
      </c>
      <c r="D7" s="355">
        <v>100</v>
      </c>
      <c r="E7" s="356"/>
      <c r="F7" s="357">
        <f>SUMIF(52:52,YEAR(E7)&amp;"-"&amp;MONTH(E7),53:53)</f>
        <v>0</v>
      </c>
      <c r="G7" s="356"/>
      <c r="H7" s="355">
        <f>SUMIF(52:52,YEAR(G7)&amp;"-"&amp;MONTH(G7),53:53)</f>
        <v>0</v>
      </c>
      <c r="I7" s="356"/>
      <c r="J7" s="355">
        <f>SUMIF(52:52,YEAR(I7)&amp;"-"&amp;MONTH(I7),53:53)</f>
        <v>0</v>
      </c>
      <c r="K7" s="38"/>
      <c r="L7" s="862"/>
      <c r="M7" s="863"/>
      <c r="N7" s="863"/>
      <c r="O7" s="863"/>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0" t="s">
        <v>1683</v>
      </c>
      <c r="Q8" s="3421"/>
      <c r="R8" s="664" t="s">
        <v>14</v>
      </c>
      <c r="S8" s="665">
        <f t="shared" si="0"/>
        <v>100</v>
      </c>
      <c r="T8" s="664" t="s">
        <v>14</v>
      </c>
      <c r="U8" s="665">
        <f t="shared" si="1"/>
        <v>100</v>
      </c>
      <c r="V8" s="664" t="s">
        <v>14</v>
      </c>
      <c r="W8" s="665">
        <f t="shared" si="2"/>
        <v>100</v>
      </c>
      <c r="X8" s="666"/>
      <c r="Y8" s="3420" t="s">
        <v>1683</v>
      </c>
      <c r="Z8" s="342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9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2"/>
      <c r="Q30" s="531" t="str">
        <f t="shared" si="11"/>
        <v>项目建筑规模</v>
      </c>
      <c r="R30" s="669" t="s">
        <v>14</v>
      </c>
      <c r="S30" s="670" t="e">
        <f t="shared" si="12"/>
        <v>#N/A</v>
      </c>
      <c r="T30" s="669" t="s">
        <v>14</v>
      </c>
      <c r="U30" s="670" t="e">
        <f t="shared" si="13"/>
        <v>#N/A</v>
      </c>
      <c r="V30" s="669" t="s">
        <v>14</v>
      </c>
      <c r="W30" s="670" t="e">
        <f t="shared" si="14"/>
        <v>#N/A</v>
      </c>
      <c r="X30" s="671"/>
      <c r="Y30" s="339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2"/>
      <c r="Q31" s="1263" t="str">
        <f t="shared" si="11"/>
        <v>建筑结构</v>
      </c>
      <c r="R31" s="667" t="s">
        <v>14</v>
      </c>
      <c r="S31" s="668">
        <f t="shared" si="12"/>
        <v>100</v>
      </c>
      <c r="T31" s="667" t="s">
        <v>14</v>
      </c>
      <c r="U31" s="668">
        <f t="shared" si="13"/>
        <v>100</v>
      </c>
      <c r="V31" s="667" t="s">
        <v>14</v>
      </c>
      <c r="W31" s="668">
        <f t="shared" si="14"/>
        <v>100</v>
      </c>
      <c r="X31" s="1265"/>
      <c r="Y31" s="339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2"/>
      <c r="Q32" s="1263" t="str">
        <f t="shared" si="11"/>
        <v>公共部分装修</v>
      </c>
      <c r="R32" s="667" t="s">
        <v>14</v>
      </c>
      <c r="S32" s="668">
        <f t="shared" si="12"/>
        <v>100</v>
      </c>
      <c r="T32" s="667" t="s">
        <v>14</v>
      </c>
      <c r="U32" s="668">
        <f t="shared" si="13"/>
        <v>100</v>
      </c>
      <c r="V32" s="667" t="s">
        <v>14</v>
      </c>
      <c r="W32" s="668">
        <f t="shared" si="14"/>
        <v>100</v>
      </c>
      <c r="X32" s="1265"/>
      <c r="Y32" s="339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2"/>
      <c r="Q33" s="1263" t="str">
        <f t="shared" si="11"/>
        <v>成新度</v>
      </c>
      <c r="R33" s="667" t="s">
        <v>14</v>
      </c>
      <c r="S33" s="668" t="e">
        <f t="shared" si="12"/>
        <v>#N/A</v>
      </c>
      <c r="T33" s="667" t="s">
        <v>14</v>
      </c>
      <c r="U33" s="668" t="e">
        <f t="shared" si="13"/>
        <v>#N/A</v>
      </c>
      <c r="V33" s="667" t="s">
        <v>14</v>
      </c>
      <c r="W33" s="668" t="e">
        <f t="shared" si="14"/>
        <v>#N/A</v>
      </c>
      <c r="X33" s="1265"/>
      <c r="Y33" s="339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2"/>
      <c r="Q34" s="530" t="str">
        <f t="shared" si="11"/>
        <v>物业管理</v>
      </c>
      <c r="R34" s="664" t="s">
        <v>14</v>
      </c>
      <c r="S34" s="665">
        <f t="shared" si="12"/>
        <v>100</v>
      </c>
      <c r="T34" s="664" t="s">
        <v>14</v>
      </c>
      <c r="U34" s="665">
        <f t="shared" si="13"/>
        <v>100</v>
      </c>
      <c r="V34" s="664" t="s">
        <v>14</v>
      </c>
      <c r="W34" s="665">
        <f t="shared" si="14"/>
        <v>100</v>
      </c>
      <c r="X34" s="666"/>
      <c r="Y34" s="339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2" t="s">
        <v>1696</v>
      </c>
      <c r="Q35" s="1263" t="str">
        <f t="shared" si="11"/>
        <v>市政基础设施</v>
      </c>
      <c r="R35" s="667" t="s">
        <v>14</v>
      </c>
      <c r="S35" s="668">
        <f t="shared" si="12"/>
        <v>100</v>
      </c>
      <c r="T35" s="667" t="s">
        <v>14</v>
      </c>
      <c r="U35" s="668">
        <f t="shared" si="13"/>
        <v>100</v>
      </c>
      <c r="V35" s="667" t="s">
        <v>14</v>
      </c>
      <c r="W35" s="668">
        <f t="shared" si="14"/>
        <v>100</v>
      </c>
      <c r="X35" s="1265"/>
      <c r="Y35" s="339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2"/>
      <c r="Q36" s="1263" t="str">
        <f t="shared" si="11"/>
        <v>内部装修</v>
      </c>
      <c r="R36" s="667" t="s">
        <v>14</v>
      </c>
      <c r="S36" s="668">
        <f t="shared" si="12"/>
        <v>100</v>
      </c>
      <c r="T36" s="667" t="s">
        <v>14</v>
      </c>
      <c r="U36" s="668">
        <f t="shared" si="13"/>
        <v>100</v>
      </c>
      <c r="V36" s="667" t="s">
        <v>14</v>
      </c>
      <c r="W36" s="668">
        <f t="shared" si="14"/>
        <v>100</v>
      </c>
      <c r="X36" s="1265"/>
      <c r="Y36" s="339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2"/>
      <c r="Q37" s="1263" t="str">
        <f t="shared" si="11"/>
        <v>内部装修状况</v>
      </c>
      <c r="R37" s="667" t="s">
        <v>14</v>
      </c>
      <c r="S37" s="668">
        <f t="shared" si="12"/>
        <v>100</v>
      </c>
      <c r="T37" s="667" t="s">
        <v>14</v>
      </c>
      <c r="U37" s="668">
        <f t="shared" si="13"/>
        <v>100</v>
      </c>
      <c r="V37" s="667" t="s">
        <v>14</v>
      </c>
      <c r="W37" s="668">
        <f t="shared" si="14"/>
        <v>100</v>
      </c>
      <c r="X37" s="1265"/>
      <c r="Y37" s="339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2"/>
      <c r="Q38" s="531">
        <f t="shared" si="11"/>
        <v>111</v>
      </c>
      <c r="R38" s="669" t="s">
        <v>14</v>
      </c>
      <c r="S38" s="670">
        <f t="shared" si="12"/>
        <v>100</v>
      </c>
      <c r="T38" s="669" t="s">
        <v>14</v>
      </c>
      <c r="U38" s="670">
        <f t="shared" si="13"/>
        <v>100</v>
      </c>
      <c r="V38" s="669" t="s">
        <v>14</v>
      </c>
      <c r="W38" s="670">
        <f t="shared" si="14"/>
        <v>100</v>
      </c>
      <c r="X38" s="671"/>
      <c r="Y38" s="339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2"/>
      <c r="Q39" s="1263">
        <f t="shared" si="11"/>
        <v>111</v>
      </c>
      <c r="R39" s="667" t="s">
        <v>14</v>
      </c>
      <c r="S39" s="668">
        <f t="shared" si="12"/>
        <v>100</v>
      </c>
      <c r="T39" s="667" t="s">
        <v>14</v>
      </c>
      <c r="U39" s="668">
        <f t="shared" si="13"/>
        <v>100</v>
      </c>
      <c r="V39" s="667" t="s">
        <v>14</v>
      </c>
      <c r="W39" s="668">
        <f t="shared" si="14"/>
        <v>100</v>
      </c>
      <c r="X39" s="1265"/>
      <c r="Y39" s="339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3"/>
      <c r="Q40" s="1263">
        <f t="shared" si="11"/>
        <v>111</v>
      </c>
      <c r="R40" s="667" t="s">
        <v>14</v>
      </c>
      <c r="S40" s="668">
        <f t="shared" si="12"/>
        <v>100</v>
      </c>
      <c r="T40" s="667" t="s">
        <v>14</v>
      </c>
      <c r="U40" s="668">
        <f t="shared" si="13"/>
        <v>100</v>
      </c>
      <c r="V40" s="667" t="s">
        <v>14</v>
      </c>
      <c r="W40" s="668">
        <f t="shared" si="14"/>
        <v>100</v>
      </c>
      <c r="X40" s="1265"/>
      <c r="Y40" s="339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5" t="str">
        <f>A41</f>
        <v>成交单价（元/平方米）</v>
      </c>
      <c r="Q41" s="3385"/>
      <c r="R41" s="3386">
        <f>E41</f>
        <v>0</v>
      </c>
      <c r="S41" s="3386"/>
      <c r="T41" s="3386">
        <f>G41</f>
        <v>0</v>
      </c>
      <c r="U41" s="3386"/>
      <c r="V41" s="3386">
        <f>I41</f>
        <v>0</v>
      </c>
      <c r="W41" s="3386"/>
      <c r="X41" s="385"/>
      <c r="Y41" s="673"/>
      <c r="Z41" s="385"/>
      <c r="AA41" s="385"/>
      <c r="AB41" s="385"/>
      <c r="AC41" s="385"/>
    </row>
    <row r="42" spans="1:29" ht="14.5" thickBot="1">
      <c r="A42" s="423" t="s">
        <v>1793</v>
      </c>
      <c r="B42" s="424"/>
      <c r="C42" s="1082" t="e">
        <f>R43</f>
        <v>#DIV/0!</v>
      </c>
      <c r="D42" s="2140" t="s">
        <v>2135</v>
      </c>
      <c r="E42" s="1083" t="e">
        <f>R42</f>
        <v>#DIV/0!</v>
      </c>
      <c r="F42" s="2141"/>
      <c r="G42" s="1082" t="e">
        <f>T42</f>
        <v>#DIV/0!</v>
      </c>
      <c r="H42" s="2141"/>
      <c r="I42" s="1083" t="e">
        <f>V42</f>
        <v>#DIV/0!</v>
      </c>
      <c r="J42" s="2141"/>
      <c r="K42" s="2143">
        <f>F42+H42+J42</f>
        <v>0</v>
      </c>
      <c r="L42" s="873"/>
      <c r="M42" s="861"/>
      <c r="N42" s="861"/>
      <c r="O42" s="861"/>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F7:F40 H7:H40 J7:J40">
    <cfRule type="cellIs" dxfId="86" priority="1" operator="notEqual">
      <formula>100</formula>
    </cfRule>
  </conditionalFormatting>
  <conditionalFormatting sqref="F42">
    <cfRule type="expression" dxfId="85" priority="4">
      <formula>$D$42="简单平均"</formula>
    </cfRule>
  </conditionalFormatting>
  <conditionalFormatting sqref="F46:F48 H46:H48">
    <cfRule type="containsText" dxfId="84" priority="17" stopIfTrue="1" operator="containsText" text="超过">
      <formula>NOT(ISERROR(SEARCH("超过",F46)))</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G48">
    <cfRule type="expression" dxfId="81" priority="13" stopIfTrue="1">
      <formula>$H$48="超过30%"</formula>
    </cfRule>
  </conditionalFormatting>
  <conditionalFormatting sqref="H42">
    <cfRule type="expression" dxfId="80" priority="3">
      <formula>$D$42="简单平均"</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J42">
    <cfRule type="expression" dxfId="76" priority="2">
      <formula>$D$42="简单平均"</formula>
    </cfRule>
  </conditionalFormatting>
  <conditionalFormatting sqref="J46:J48">
    <cfRule type="containsText" dxfId="7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4"/>
      <c r="M4" s="2485"/>
      <c r="N4" s="2485"/>
      <c r="O4" s="2485"/>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4"/>
      <c r="M5" s="2485"/>
      <c r="N5" s="2485"/>
      <c r="O5" s="2485"/>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4"/>
      <c r="M6" s="2485"/>
      <c r="N6" s="2485"/>
      <c r="O6" s="2485"/>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45910</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0" t="s">
        <v>1683</v>
      </c>
      <c r="Q8" s="3421"/>
      <c r="R8" s="664" t="s">
        <v>14</v>
      </c>
      <c r="S8" s="665">
        <f t="shared" si="0"/>
        <v>100</v>
      </c>
      <c r="T8" s="664" t="s">
        <v>14</v>
      </c>
      <c r="U8" s="665">
        <f t="shared" si="1"/>
        <v>100</v>
      </c>
      <c r="V8" s="664" t="s">
        <v>14</v>
      </c>
      <c r="W8" s="665">
        <f t="shared" si="2"/>
        <v>100</v>
      </c>
      <c r="X8" s="666"/>
      <c r="Y8" s="3420" t="s">
        <v>1683</v>
      </c>
      <c r="Z8" s="342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388"/>
      <c r="Q15" s="1263"/>
      <c r="R15" s="667"/>
      <c r="S15" s="668"/>
      <c r="T15" s="667"/>
      <c r="U15" s="668"/>
      <c r="V15" s="667"/>
      <c r="W15" s="668"/>
      <c r="X15" s="1265"/>
      <c r="Y15" s="338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388"/>
      <c r="Q17" s="1263"/>
      <c r="R17" s="667"/>
      <c r="S17" s="668"/>
      <c r="T17" s="667"/>
      <c r="U17" s="668"/>
      <c r="V17" s="667"/>
      <c r="W17" s="668"/>
      <c r="X17" s="1265"/>
      <c r="Y17" s="338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388"/>
      <c r="Q19" s="1263"/>
      <c r="R19" s="667"/>
      <c r="S19" s="668"/>
      <c r="T19" s="667"/>
      <c r="U19" s="668"/>
      <c r="V19" s="667"/>
      <c r="W19" s="668"/>
      <c r="X19" s="1265"/>
      <c r="Y19" s="338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388"/>
      <c r="Q21" s="1263"/>
      <c r="R21" s="667"/>
      <c r="S21" s="668"/>
      <c r="T21" s="667"/>
      <c r="U21" s="668"/>
      <c r="V21" s="667"/>
      <c r="W21" s="668"/>
      <c r="X21" s="1265"/>
      <c r="Y21" s="338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2"/>
      <c r="Q27" s="531" t="str">
        <f t="shared" si="11"/>
        <v>项目停车位配比</v>
      </c>
      <c r="R27" s="669" t="s">
        <v>14</v>
      </c>
      <c r="S27" s="670">
        <f t="shared" si="12"/>
        <v>100</v>
      </c>
      <c r="T27" s="669" t="s">
        <v>14</v>
      </c>
      <c r="U27" s="670">
        <f t="shared" si="13"/>
        <v>100</v>
      </c>
      <c r="V27" s="669" t="s">
        <v>14</v>
      </c>
      <c r="W27" s="670">
        <f t="shared" si="14"/>
        <v>100</v>
      </c>
      <c r="X27" s="671"/>
      <c r="Y27" s="339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2"/>
      <c r="Q28" s="1263" t="str">
        <f t="shared" si="11"/>
        <v>公共部分装修</v>
      </c>
      <c r="R28" s="667" t="s">
        <v>14</v>
      </c>
      <c r="S28" s="668">
        <f t="shared" si="12"/>
        <v>100</v>
      </c>
      <c r="T28" s="667" t="s">
        <v>14</v>
      </c>
      <c r="U28" s="668">
        <f t="shared" si="13"/>
        <v>100</v>
      </c>
      <c r="V28" s="667" t="s">
        <v>14</v>
      </c>
      <c r="W28" s="668">
        <f t="shared" si="14"/>
        <v>100</v>
      </c>
      <c r="X28" s="1265"/>
      <c r="Y28" s="339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2"/>
      <c r="Q29" s="1263" t="str">
        <f t="shared" si="11"/>
        <v>成新率</v>
      </c>
      <c r="R29" s="667" t="s">
        <v>14</v>
      </c>
      <c r="S29" s="668" t="e">
        <f t="shared" si="12"/>
        <v>#N/A</v>
      </c>
      <c r="T29" s="667" t="s">
        <v>14</v>
      </c>
      <c r="U29" s="668" t="e">
        <f t="shared" si="13"/>
        <v>#N/A</v>
      </c>
      <c r="V29" s="667" t="s">
        <v>14</v>
      </c>
      <c r="W29" s="668" t="e">
        <f t="shared" si="14"/>
        <v>#N/A</v>
      </c>
      <c r="X29" s="1265"/>
      <c r="Y29" s="339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2"/>
      <c r="Q30" s="1263" t="str">
        <f t="shared" si="11"/>
        <v>物业等级</v>
      </c>
      <c r="R30" s="667" t="s">
        <v>14</v>
      </c>
      <c r="S30" s="668">
        <f t="shared" si="12"/>
        <v>100</v>
      </c>
      <c r="T30" s="667" t="s">
        <v>14</v>
      </c>
      <c r="U30" s="668">
        <f t="shared" si="13"/>
        <v>100</v>
      </c>
      <c r="V30" s="667" t="s">
        <v>14</v>
      </c>
      <c r="W30" s="668">
        <f t="shared" si="14"/>
        <v>100</v>
      </c>
      <c r="X30" s="1265"/>
      <c r="Y30" s="339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2"/>
      <c r="Q31" s="530" t="str">
        <f t="shared" si="11"/>
        <v>停车位面积</v>
      </c>
      <c r="R31" s="664" t="s">
        <v>14</v>
      </c>
      <c r="S31" s="665" t="e">
        <f t="shared" si="12"/>
        <v>#N/A</v>
      </c>
      <c r="T31" s="664" t="s">
        <v>14</v>
      </c>
      <c r="U31" s="665" t="e">
        <f t="shared" si="13"/>
        <v>#N/A</v>
      </c>
      <c r="V31" s="664" t="s">
        <v>14</v>
      </c>
      <c r="W31" s="665" t="e">
        <f t="shared" si="14"/>
        <v>#N/A</v>
      </c>
      <c r="X31" s="666"/>
      <c r="Y31" s="339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2" t="s">
        <v>1696</v>
      </c>
      <c r="Q32" s="1263" t="str">
        <f t="shared" si="11"/>
        <v>车位类型</v>
      </c>
      <c r="R32" s="667" t="s">
        <v>14</v>
      </c>
      <c r="S32" s="668">
        <f t="shared" si="12"/>
        <v>100</v>
      </c>
      <c r="T32" s="667" t="s">
        <v>14</v>
      </c>
      <c r="U32" s="668">
        <f t="shared" si="13"/>
        <v>100</v>
      </c>
      <c r="V32" s="667" t="s">
        <v>14</v>
      </c>
      <c r="W32" s="668">
        <f t="shared" si="14"/>
        <v>100</v>
      </c>
      <c r="X32" s="1265"/>
      <c r="Y32" s="339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2"/>
      <c r="Q33" s="1263" t="str">
        <f t="shared" si="11"/>
        <v>是否直接入户</v>
      </c>
      <c r="R33" s="667" t="s">
        <v>14</v>
      </c>
      <c r="S33" s="668">
        <f t="shared" si="12"/>
        <v>100</v>
      </c>
      <c r="T33" s="667" t="s">
        <v>14</v>
      </c>
      <c r="U33" s="668">
        <f t="shared" si="13"/>
        <v>100</v>
      </c>
      <c r="V33" s="667" t="s">
        <v>14</v>
      </c>
      <c r="W33" s="668">
        <f t="shared" si="14"/>
        <v>100</v>
      </c>
      <c r="X33" s="1265"/>
      <c r="Y33" s="339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2"/>
      <c r="Q35" s="531">
        <f t="shared" si="11"/>
        <v>111</v>
      </c>
      <c r="R35" s="669" t="s">
        <v>14</v>
      </c>
      <c r="S35" s="670">
        <f t="shared" si="12"/>
        <v>100</v>
      </c>
      <c r="T35" s="669" t="s">
        <v>14</v>
      </c>
      <c r="U35" s="670">
        <f t="shared" si="13"/>
        <v>100</v>
      </c>
      <c r="V35" s="669" t="s">
        <v>14</v>
      </c>
      <c r="W35" s="670">
        <f t="shared" si="14"/>
        <v>100</v>
      </c>
      <c r="X35" s="671"/>
      <c r="Y35" s="339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2"/>
      <c r="Q36" s="1263">
        <f t="shared" si="11"/>
        <v>111</v>
      </c>
      <c r="R36" s="667" t="s">
        <v>14</v>
      </c>
      <c r="S36" s="668">
        <f t="shared" si="12"/>
        <v>100</v>
      </c>
      <c r="T36" s="667" t="s">
        <v>14</v>
      </c>
      <c r="U36" s="668">
        <f t="shared" si="13"/>
        <v>100</v>
      </c>
      <c r="V36" s="667" t="s">
        <v>14</v>
      </c>
      <c r="W36" s="668">
        <f t="shared" si="14"/>
        <v>100</v>
      </c>
      <c r="X36" s="1265"/>
      <c r="Y36" s="3392"/>
      <c r="Z36" s="1264">
        <f t="shared" si="15"/>
        <v>111</v>
      </c>
      <c r="AA36" s="1264">
        <f t="shared" si="3"/>
        <v>1</v>
      </c>
      <c r="AB36" s="1264">
        <f t="shared" si="4"/>
        <v>1</v>
      </c>
      <c r="AC36" s="1264">
        <f t="shared" si="5"/>
        <v>1</v>
      </c>
    </row>
    <row r="37" spans="1:29">
      <c r="A37" s="416" t="s">
        <v>1844</v>
      </c>
      <c r="B37" s="1821" t="s">
        <v>3348</v>
      </c>
      <c r="C37" s="1081" t="s">
        <v>0</v>
      </c>
      <c r="D37" s="418"/>
      <c r="E37" s="419"/>
      <c r="F37" s="420"/>
      <c r="G37" s="421"/>
      <c r="H37" s="422"/>
      <c r="I37" s="419"/>
      <c r="J37" s="422"/>
      <c r="K37" s="545"/>
      <c r="L37" s="2492"/>
      <c r="M37" s="2485"/>
      <c r="N37" s="2485"/>
      <c r="O37" s="2485"/>
      <c r="P37" s="3385" t="str">
        <f>A37</f>
        <v>成交单价</v>
      </c>
      <c r="Q37" s="3385"/>
      <c r="R37" s="3386">
        <f>E37</f>
        <v>0</v>
      </c>
      <c r="S37" s="3386"/>
      <c r="T37" s="3386">
        <f>G37</f>
        <v>0</v>
      </c>
      <c r="U37" s="3386"/>
      <c r="V37" s="3386">
        <f>I37</f>
        <v>0</v>
      </c>
      <c r="W37" s="3386"/>
      <c r="X37" s="385"/>
      <c r="Y37" s="673"/>
      <c r="Z37" s="385"/>
      <c r="AA37" s="385"/>
      <c r="AB37" s="385"/>
      <c r="AC37" s="385"/>
    </row>
    <row r="38" spans="1:29" ht="14.5" thickBot="1">
      <c r="A38" s="423" t="s">
        <v>1845</v>
      </c>
      <c r="B38" s="424" t="str">
        <f>B37</f>
        <v>元/平方米</v>
      </c>
      <c r="C38" s="1082" t="e">
        <f>R39</f>
        <v>#DIV/0!</v>
      </c>
      <c r="D38" s="2140" t="s">
        <v>2135</v>
      </c>
      <c r="E38" s="1083" t="e">
        <f>R38</f>
        <v>#DIV/0!</v>
      </c>
      <c r="F38" s="2141"/>
      <c r="G38" s="1082" t="e">
        <f>T38</f>
        <v>#DIV/0!</v>
      </c>
      <c r="H38" s="2141"/>
      <c r="I38" s="1083" t="e">
        <f>V38</f>
        <v>#DIV/0!</v>
      </c>
      <c r="J38" s="2141"/>
      <c r="K38" s="2143">
        <f>F38+H38+J38</f>
        <v>0</v>
      </c>
      <c r="L38" s="2492"/>
      <c r="M38" s="2485"/>
      <c r="N38" s="2485"/>
      <c r="O38" s="2485"/>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382" t="str">
        <f>A39</f>
        <v>估价对象XX用房的比较价值（楼面单价，元/平方米）</v>
      </c>
      <c r="Q39" s="3383"/>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4" priority="13" stopIfTrue="1">
      <formula>$F$42="超过30%"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F7:F36 H7:H36 J7:J36">
    <cfRule type="cellIs" dxfId="71" priority="1" operator="notEqual">
      <formula>100</formula>
    </cfRule>
  </conditionalFormatting>
  <conditionalFormatting sqref="F38">
    <cfRule type="expression" dxfId="70" priority="4">
      <formula>$D$38="简单平均"</formula>
    </cfRule>
  </conditionalFormatting>
  <conditionalFormatting sqref="F42:F44 H42:H44 J42:J44">
    <cfRule type="containsText" dxfId="69" priority="14" stopIfTrue="1" operator="containsText" text="超过">
      <formula>NOT(ISERROR(SEARCH("超过",F42)))</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G44">
    <cfRule type="expression" dxfId="66" priority="12" stopIfTrue="1">
      <formula>$H$54+$H$44="超过30%"</formula>
    </cfRule>
  </conditionalFormatting>
  <conditionalFormatting sqref="H38">
    <cfRule type="expression" dxfId="65" priority="3">
      <formula>$D$38="简单平均"</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J38">
    <cfRule type="expression" dxfId="61"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4"/>
      <c r="M4" s="2485"/>
      <c r="N4" s="2485"/>
      <c r="O4" s="2485"/>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4"/>
      <c r="M5" s="2485"/>
      <c r="N5" s="2485"/>
      <c r="O5" s="2485"/>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4"/>
      <c r="M6" s="2485"/>
      <c r="N6" s="2485"/>
      <c r="O6" s="2485"/>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45910</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0" t="s">
        <v>1683</v>
      </c>
      <c r="Q8" s="3421"/>
      <c r="R8" s="664" t="s">
        <v>14</v>
      </c>
      <c r="S8" s="665">
        <f t="shared" si="0"/>
        <v>100</v>
      </c>
      <c r="T8" s="664" t="s">
        <v>14</v>
      </c>
      <c r="U8" s="665">
        <f t="shared" si="1"/>
        <v>100</v>
      </c>
      <c r="V8" s="664" t="s">
        <v>14</v>
      </c>
      <c r="W8" s="665">
        <f t="shared" si="2"/>
        <v>100</v>
      </c>
      <c r="X8" s="666"/>
      <c r="Y8" s="3420" t="s">
        <v>1683</v>
      </c>
      <c r="Z8" s="342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388"/>
      <c r="Q15" s="1263"/>
      <c r="R15" s="667"/>
      <c r="S15" s="668"/>
      <c r="T15" s="667"/>
      <c r="U15" s="668"/>
      <c r="V15" s="667"/>
      <c r="W15" s="668"/>
      <c r="X15" s="1265"/>
      <c r="Y15" s="338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388"/>
      <c r="Q17" s="1263"/>
      <c r="R17" s="667"/>
      <c r="S17" s="668"/>
      <c r="T17" s="667"/>
      <c r="U17" s="668"/>
      <c r="V17" s="667"/>
      <c r="W17" s="668"/>
      <c r="X17" s="1265"/>
      <c r="Y17" s="338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388"/>
      <c r="Q19" s="1263"/>
      <c r="R19" s="667"/>
      <c r="S19" s="668"/>
      <c r="T19" s="667"/>
      <c r="U19" s="668"/>
      <c r="V19" s="667"/>
      <c r="W19" s="668"/>
      <c r="X19" s="1265"/>
      <c r="Y19" s="338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388"/>
      <c r="Q21" s="1263"/>
      <c r="R21" s="667"/>
      <c r="S21" s="668"/>
      <c r="T21" s="667"/>
      <c r="U21" s="668"/>
      <c r="V21" s="667"/>
      <c r="W21" s="668"/>
      <c r="X21" s="1265"/>
      <c r="Y21" s="338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2"/>
      <c r="Q27" s="531" t="str">
        <f t="shared" si="11"/>
        <v>成新率</v>
      </c>
      <c r="R27" s="669" t="s">
        <v>14</v>
      </c>
      <c r="S27" s="670" t="e">
        <f t="shared" si="12"/>
        <v>#N/A</v>
      </c>
      <c r="T27" s="669" t="s">
        <v>14</v>
      </c>
      <c r="U27" s="670" t="e">
        <f t="shared" si="13"/>
        <v>#N/A</v>
      </c>
      <c r="V27" s="669" t="s">
        <v>14</v>
      </c>
      <c r="W27" s="670" t="e">
        <f t="shared" si="14"/>
        <v>#N/A</v>
      </c>
      <c r="X27" s="671"/>
      <c r="Y27" s="339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2"/>
      <c r="Q28" s="1263" t="str">
        <f t="shared" si="11"/>
        <v>物业等级</v>
      </c>
      <c r="R28" s="667" t="s">
        <v>14</v>
      </c>
      <c r="S28" s="668">
        <f t="shared" si="12"/>
        <v>100</v>
      </c>
      <c r="T28" s="667" t="s">
        <v>14</v>
      </c>
      <c r="U28" s="668">
        <f t="shared" si="13"/>
        <v>100</v>
      </c>
      <c r="V28" s="667" t="s">
        <v>14</v>
      </c>
      <c r="W28" s="668">
        <f t="shared" si="14"/>
        <v>100</v>
      </c>
      <c r="X28" s="1265"/>
      <c r="Y28" s="339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2"/>
      <c r="Q29" s="1263" t="str">
        <f t="shared" si="11"/>
        <v>有无电梯</v>
      </c>
      <c r="R29" s="667" t="s">
        <v>14</v>
      </c>
      <c r="S29" s="668">
        <f t="shared" si="12"/>
        <v>100</v>
      </c>
      <c r="T29" s="667" t="s">
        <v>14</v>
      </c>
      <c r="U29" s="668">
        <f t="shared" si="13"/>
        <v>100</v>
      </c>
      <c r="V29" s="667" t="s">
        <v>14</v>
      </c>
      <c r="W29" s="668">
        <f t="shared" si="14"/>
        <v>100</v>
      </c>
      <c r="X29" s="1265"/>
      <c r="Y29" s="339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2"/>
      <c r="Q30" s="1263" t="str">
        <f t="shared" si="11"/>
        <v>建筑面积</v>
      </c>
      <c r="R30" s="667" t="s">
        <v>14</v>
      </c>
      <c r="S30" s="668" t="e">
        <f t="shared" si="12"/>
        <v>#N/A</v>
      </c>
      <c r="T30" s="667" t="s">
        <v>14</v>
      </c>
      <c r="U30" s="668" t="e">
        <f t="shared" si="13"/>
        <v>#N/A</v>
      </c>
      <c r="V30" s="667" t="s">
        <v>14</v>
      </c>
      <c r="W30" s="668" t="e">
        <f t="shared" si="14"/>
        <v>#N/A</v>
      </c>
      <c r="X30" s="1265"/>
      <c r="Y30" s="339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2"/>
      <c r="Q31" s="530" t="str">
        <f t="shared" si="11"/>
        <v>是否封闭</v>
      </c>
      <c r="R31" s="664" t="s">
        <v>14</v>
      </c>
      <c r="S31" s="665">
        <f t="shared" si="12"/>
        <v>100</v>
      </c>
      <c r="T31" s="664" t="s">
        <v>14</v>
      </c>
      <c r="U31" s="665">
        <f t="shared" si="13"/>
        <v>100</v>
      </c>
      <c r="V31" s="664" t="s">
        <v>14</v>
      </c>
      <c r="W31" s="665">
        <f t="shared" si="14"/>
        <v>100</v>
      </c>
      <c r="X31" s="666"/>
      <c r="Y31" s="339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2" t="s">
        <v>1696</v>
      </c>
      <c r="Q32" s="1263">
        <f t="shared" si="11"/>
        <v>111</v>
      </c>
      <c r="R32" s="667" t="s">
        <v>14</v>
      </c>
      <c r="S32" s="668">
        <f t="shared" si="12"/>
        <v>100</v>
      </c>
      <c r="T32" s="667" t="s">
        <v>14</v>
      </c>
      <c r="U32" s="668">
        <f t="shared" si="13"/>
        <v>100</v>
      </c>
      <c r="V32" s="667" t="s">
        <v>14</v>
      </c>
      <c r="W32" s="668">
        <f t="shared" si="14"/>
        <v>100</v>
      </c>
      <c r="X32" s="1265"/>
      <c r="Y32" s="339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2"/>
      <c r="Q33" s="1263">
        <f t="shared" si="11"/>
        <v>111</v>
      </c>
      <c r="R33" s="667" t="s">
        <v>14</v>
      </c>
      <c r="S33" s="668">
        <f t="shared" si="12"/>
        <v>100</v>
      </c>
      <c r="T33" s="667" t="s">
        <v>14</v>
      </c>
      <c r="U33" s="668">
        <f t="shared" si="13"/>
        <v>100</v>
      </c>
      <c r="V33" s="667" t="s">
        <v>14</v>
      </c>
      <c r="W33" s="668">
        <f t="shared" si="14"/>
        <v>100</v>
      </c>
      <c r="X33" s="1265"/>
      <c r="Y33" s="339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385" t="str">
        <f>A35</f>
        <v>成交单价（元/平方米）</v>
      </c>
      <c r="Q35" s="3385"/>
      <c r="R35" s="3386">
        <f>E35</f>
        <v>0</v>
      </c>
      <c r="S35" s="3386"/>
      <c r="T35" s="3386">
        <f>G35</f>
        <v>0</v>
      </c>
      <c r="U35" s="3386"/>
      <c r="V35" s="3386">
        <f>I35</f>
        <v>0</v>
      </c>
      <c r="W35" s="3386"/>
      <c r="X35" s="385"/>
      <c r="Y35" s="673"/>
      <c r="Z35" s="385"/>
      <c r="AA35" s="385"/>
      <c r="AB35" s="385"/>
      <c r="AC35" s="385"/>
    </row>
    <row r="36" spans="1:30" ht="14.5" thickBot="1">
      <c r="A36" s="423" t="s">
        <v>1793</v>
      </c>
      <c r="B36" s="424"/>
      <c r="C36" s="1082" t="e">
        <f>R37</f>
        <v>#DIV/0!</v>
      </c>
      <c r="D36" s="2140" t="s">
        <v>2135</v>
      </c>
      <c r="E36" s="1083" t="e">
        <f>R36</f>
        <v>#DIV/0!</v>
      </c>
      <c r="F36" s="2141"/>
      <c r="G36" s="1082" t="e">
        <f>T36</f>
        <v>#DIV/0!</v>
      </c>
      <c r="H36" s="2141"/>
      <c r="I36" s="1083" t="e">
        <f>V36</f>
        <v>#DIV/0!</v>
      </c>
      <c r="J36" s="2141"/>
      <c r="K36" s="2143">
        <f>F36+H36+J36</f>
        <v>0</v>
      </c>
      <c r="L36" s="2492"/>
      <c r="M36" s="2485"/>
      <c r="N36" s="2485"/>
      <c r="O36" s="2485"/>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382" t="str">
        <f>A37</f>
        <v>估价对象XX用房的比较价值（楼面单价，元/平方米）</v>
      </c>
      <c r="Q37" s="3383"/>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0" priority="13" stopIfTrue="1">
      <formula>$F$40="超过30%"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F7:F34 H7:H34 J7:J34">
    <cfRule type="cellIs" dxfId="57" priority="1" operator="notEqual">
      <formula>100</formula>
    </cfRule>
  </conditionalFormatting>
  <conditionalFormatting sqref="F36">
    <cfRule type="expression" dxfId="56" priority="4">
      <formula>$D$36="简单平均"</formula>
    </cfRule>
  </conditionalFormatting>
  <conditionalFormatting sqref="F40:F42 H40:H42 J40:J42">
    <cfRule type="containsText" dxfId="55" priority="14" stopIfTrue="1" operator="containsText" text="超过">
      <formula>NOT(ISERROR(SEARCH("超过",F40)))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G42">
    <cfRule type="expression" dxfId="52" priority="12" stopIfTrue="1">
      <formula>$H$54+$H$42="超过30%"</formula>
    </cfRule>
  </conditionalFormatting>
  <conditionalFormatting sqref="H36">
    <cfRule type="expression" dxfId="51" priority="3">
      <formula>$D$36="简单平均"</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J36">
    <cfRule type="expression" dxfId="47"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5" thickBot="1">
      <c r="A4" s="1391"/>
      <c r="B4" s="3175" t="s">
        <v>917</v>
      </c>
      <c r="C4" s="3175"/>
      <c r="D4" s="3175"/>
      <c r="E4" s="1391"/>
    </row>
    <row r="5" spans="1:5" ht="16" thickTop="1">
      <c r="B5" s="3173" t="s">
        <v>909</v>
      </c>
      <c r="C5" s="1392" t="s">
        <v>910</v>
      </c>
      <c r="D5" s="797">
        <f ca="1">结果表101!H101</f>
        <v>984</v>
      </c>
    </row>
    <row r="6" spans="1:5" ht="15.5">
      <c r="B6" s="3173"/>
      <c r="C6" s="1392" t="s">
        <v>911</v>
      </c>
      <c r="D6" s="797" t="str">
        <f ca="1">NUMBERSTRING(INT(D5*10000),2)&amp;"元整"</f>
        <v>玖佰捌拾肆万元整</v>
      </c>
    </row>
    <row r="7" spans="1:5" ht="15.5">
      <c r="B7" s="3178"/>
      <c r="C7" s="1393" t="s">
        <v>912</v>
      </c>
      <c r="D7" s="798">
        <f ca="1">结果表101!H102</f>
        <v>25881</v>
      </c>
    </row>
    <row r="8" spans="1:5" ht="15.5">
      <c r="B8" s="3179" t="str">
        <f>结果表101!E103</f>
        <v>2.估价师知悉的法定优先受偿款</v>
      </c>
      <c r="C8" s="1394" t="s">
        <v>913</v>
      </c>
      <c r="D8" s="798">
        <f>结果表101!H103</f>
        <v>0</v>
      </c>
    </row>
    <row r="9" spans="1:5" ht="15.5">
      <c r="B9" s="3181"/>
      <c r="C9" s="1392" t="s">
        <v>911</v>
      </c>
      <c r="D9" s="797" t="str">
        <f>NUMBERSTRING(INT(D8*10000),2)&amp;"元整"</f>
        <v>零元整</v>
      </c>
    </row>
    <row r="10" spans="1:5" ht="16">
      <c r="B10" s="1395" t="s">
        <v>916</v>
      </c>
      <c r="C10" s="1396" t="s">
        <v>914</v>
      </c>
      <c r="D10" s="799">
        <f>结果表101!H104</f>
        <v>0</v>
      </c>
    </row>
    <row r="11" spans="1:5" ht="16">
      <c r="B11" s="1395" t="s">
        <v>918</v>
      </c>
      <c r="C11" s="1396" t="s">
        <v>919</v>
      </c>
      <c r="D11" s="799">
        <f>结果表101!H105</f>
        <v>0</v>
      </c>
    </row>
    <row r="12" spans="1:5" ht="16">
      <c r="B12" s="1395" t="s">
        <v>920</v>
      </c>
      <c r="C12" s="1396" t="s">
        <v>919</v>
      </c>
      <c r="D12" s="799">
        <f>结果表101!H106</f>
        <v>0</v>
      </c>
    </row>
    <row r="13" spans="1:5" ht="15.5">
      <c r="B13" s="3172" t="str">
        <f>结果表101!E107</f>
        <v>3.房地产抵押价值</v>
      </c>
      <c r="C13" s="1397" t="s">
        <v>910</v>
      </c>
      <c r="D13" s="800">
        <f ca="1">结果表101!H107</f>
        <v>984</v>
      </c>
    </row>
    <row r="14" spans="1:5" ht="15.5">
      <c r="B14" s="3173"/>
      <c r="C14" s="1392" t="s">
        <v>911</v>
      </c>
      <c r="D14" s="797" t="str">
        <f ca="1">NUMBERSTRING(INT(D13*10000),2)&amp;"元整"</f>
        <v>玖佰捌拾肆万元整</v>
      </c>
    </row>
    <row r="15" spans="1:5" ht="15.5">
      <c r="B15" s="3178"/>
      <c r="C15" s="1393" t="s">
        <v>921</v>
      </c>
      <c r="D15" s="806">
        <f ca="1">结果表101!H108</f>
        <v>25881</v>
      </c>
    </row>
    <row r="16" spans="1:5" ht="15">
      <c r="B16" s="3179" t="str">
        <f>结果表101!E109</f>
        <v>——</v>
      </c>
      <c r="C16" s="1397" t="s">
        <v>922</v>
      </c>
      <c r="D16" s="1398" t="str">
        <f>结果表101!H109</f>
        <v>——</v>
      </c>
    </row>
    <row r="17" spans="1:5" ht="15.5">
      <c r="B17" s="3180"/>
      <c r="C17" s="1392" t="s">
        <v>923</v>
      </c>
      <c r="D17" s="797" t="e">
        <f>NUMBERSTRING(INT(D16*10000),2)&amp;"元整"</f>
        <v>#VALUE!</v>
      </c>
    </row>
    <row r="18" spans="1:5" ht="15.5">
      <c r="B18" s="3181"/>
      <c r="C18" s="1393" t="s">
        <v>912</v>
      </c>
      <c r="D18" s="806" t="str">
        <f>结果表101!H110</f>
        <v>——</v>
      </c>
    </row>
    <row r="19" spans="1:5" ht="15.5">
      <c r="B19" s="3172" t="str">
        <f>结果表101!E111</f>
        <v>——</v>
      </c>
      <c r="C19" s="1397" t="s">
        <v>910</v>
      </c>
      <c r="D19" s="798" t="str">
        <f>结果表101!H111</f>
        <v>——</v>
      </c>
    </row>
    <row r="20" spans="1:5" ht="15.5">
      <c r="B20" s="3173"/>
      <c r="C20" s="1392" t="s">
        <v>923</v>
      </c>
      <c r="D20" s="797" t="e">
        <f>NUMBERSTRING(INT(D19*10000),2)&amp;"元整"</f>
        <v>#VALUE!</v>
      </c>
    </row>
    <row r="21" spans="1:5" ht="16" thickBot="1">
      <c r="B21" s="3174"/>
      <c r="C21" s="1399" t="s">
        <v>921</v>
      </c>
      <c r="D21" s="807" t="str">
        <f>结果表101!H112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4"/>
      <c r="M4" s="2485"/>
      <c r="N4" s="2485"/>
      <c r="O4" s="2485"/>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4"/>
      <c r="M5" s="2485"/>
      <c r="N5" s="2485"/>
      <c r="O5" s="2485"/>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4"/>
      <c r="M6" s="2485"/>
      <c r="N6" s="2485"/>
      <c r="O6" s="2485"/>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45910</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0" t="s">
        <v>1683</v>
      </c>
      <c r="Q8" s="3421"/>
      <c r="R8" s="664" t="s">
        <v>14</v>
      </c>
      <c r="S8" s="665">
        <f t="shared" si="0"/>
        <v>0</v>
      </c>
      <c r="T8" s="664" t="s">
        <v>14</v>
      </c>
      <c r="U8" s="665">
        <f t="shared" si="1"/>
        <v>0</v>
      </c>
      <c r="V8" s="664" t="s">
        <v>14</v>
      </c>
      <c r="W8" s="665">
        <f t="shared" si="2"/>
        <v>0</v>
      </c>
      <c r="X8" s="666"/>
      <c r="Y8" s="3420" t="s">
        <v>1683</v>
      </c>
      <c r="Z8" s="342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122</v>
      </c>
      <c r="G10" s="402"/>
      <c r="H10" s="119">
        <f>ROUND(100/'数据-取费表'!G16,0)</f>
        <v>122</v>
      </c>
      <c r="I10" s="402"/>
      <c r="J10" s="119">
        <f>ROUND(100/'数据-取费表'!G16,0)</f>
        <v>122</v>
      </c>
      <c r="K10" s="592"/>
      <c r="L10" s="2487"/>
      <c r="M10" s="2488"/>
      <c r="N10" s="2488"/>
      <c r="O10" s="2539"/>
      <c r="P10" s="3385"/>
      <c r="Q10" s="530" t="str">
        <f t="shared" si="6"/>
        <v>土地使用年限（年）</v>
      </c>
      <c r="R10" s="664" t="s">
        <v>14</v>
      </c>
      <c r="S10" s="665">
        <f t="shared" si="0"/>
        <v>122</v>
      </c>
      <c r="T10" s="664" t="s">
        <v>14</v>
      </c>
      <c r="U10" s="665">
        <f t="shared" si="1"/>
        <v>122</v>
      </c>
      <c r="V10" s="664" t="s">
        <v>14</v>
      </c>
      <c r="W10" s="665">
        <f t="shared" si="2"/>
        <v>122</v>
      </c>
      <c r="X10" s="666"/>
      <c r="Y10" s="3260"/>
      <c r="Z10" s="50" t="str">
        <f t="shared" si="7"/>
        <v>土地使用年限（年）</v>
      </c>
      <c r="AA10" s="50">
        <f t="shared" si="3"/>
        <v>0.81967213114754101</v>
      </c>
      <c r="AB10" s="50">
        <f t="shared" si="4"/>
        <v>0.81967213114754101</v>
      </c>
      <c r="AC10" s="50">
        <f t="shared" si="5"/>
        <v>0.81967213114754101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5"/>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388"/>
      <c r="Q16" s="1263"/>
      <c r="R16" s="667"/>
      <c r="S16" s="668"/>
      <c r="T16" s="667"/>
      <c r="U16" s="668"/>
      <c r="V16" s="667"/>
      <c r="W16" s="668"/>
      <c r="X16" s="1265"/>
      <c r="Y16" s="338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388"/>
      <c r="Q18" s="1263"/>
      <c r="R18" s="667"/>
      <c r="S18" s="668"/>
      <c r="T18" s="667"/>
      <c r="U18" s="668"/>
      <c r="V18" s="667"/>
      <c r="W18" s="668"/>
      <c r="X18" s="1265"/>
      <c r="Y18" s="338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388"/>
      <c r="Q20" s="1263"/>
      <c r="R20" s="667"/>
      <c r="S20" s="668"/>
      <c r="T20" s="667"/>
      <c r="U20" s="668"/>
      <c r="V20" s="667"/>
      <c r="W20" s="668"/>
      <c r="X20" s="1265"/>
      <c r="Y20" s="338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8"/>
      <c r="Q21" s="1263" t="str">
        <f>B21</f>
        <v>交通便捷度</v>
      </c>
      <c r="R21" s="667" t="s">
        <v>14</v>
      </c>
      <c r="S21" s="668">
        <f>F21</f>
        <v>100</v>
      </c>
      <c r="T21" s="667" t="s">
        <v>14</v>
      </c>
      <c r="U21" s="668">
        <f>H21</f>
        <v>100</v>
      </c>
      <c r="V21" s="667" t="s">
        <v>14</v>
      </c>
      <c r="W21" s="668">
        <f>J21</f>
        <v>100</v>
      </c>
      <c r="X21" s="1265"/>
      <c r="Y21" s="338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388"/>
      <c r="Q22" s="1263"/>
      <c r="R22" s="667"/>
      <c r="S22" s="668"/>
      <c r="T22" s="667"/>
      <c r="U22" s="668"/>
      <c r="V22" s="667"/>
      <c r="W22" s="668"/>
      <c r="X22" s="1265"/>
      <c r="Y22" s="338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388"/>
      <c r="Q24" s="1263"/>
      <c r="R24" s="667"/>
      <c r="S24" s="668"/>
      <c r="T24" s="667"/>
      <c r="U24" s="668"/>
      <c r="V24" s="667"/>
      <c r="W24" s="668"/>
      <c r="X24" s="1265"/>
      <c r="Y24" s="338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388"/>
      <c r="Q26" s="1263"/>
      <c r="R26" s="667"/>
      <c r="S26" s="668"/>
      <c r="T26" s="667"/>
      <c r="U26" s="668"/>
      <c r="V26" s="667"/>
      <c r="W26" s="668"/>
      <c r="X26" s="1265"/>
      <c r="Y26" s="338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388"/>
      <c r="Q28" s="530"/>
      <c r="R28" s="664"/>
      <c r="S28" s="665"/>
      <c r="T28" s="664"/>
      <c r="U28" s="665"/>
      <c r="V28" s="664"/>
      <c r="W28" s="665"/>
      <c r="X28" s="666"/>
      <c r="Y28" s="338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388"/>
      <c r="Q30" s="530"/>
      <c r="R30" s="664"/>
      <c r="S30" s="665"/>
      <c r="T30" s="664"/>
      <c r="U30" s="665"/>
      <c r="V30" s="664"/>
      <c r="W30" s="665"/>
      <c r="X30" s="666"/>
      <c r="Y30" s="338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388"/>
      <c r="Q33" s="1263"/>
      <c r="R33" s="667"/>
      <c r="S33" s="668"/>
      <c r="T33" s="667"/>
      <c r="U33" s="668"/>
      <c r="V33" s="667"/>
      <c r="W33" s="668"/>
      <c r="X33" s="1265"/>
      <c r="Y33" s="338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2" t="s">
        <v>1696</v>
      </c>
      <c r="Q36" s="1263">
        <f t="shared" si="8"/>
        <v>111</v>
      </c>
      <c r="R36" s="667" t="s">
        <v>14</v>
      </c>
      <c r="S36" s="668">
        <f t="shared" si="10"/>
        <v>100</v>
      </c>
      <c r="T36" s="667" t="s">
        <v>14</v>
      </c>
      <c r="U36" s="668">
        <f t="shared" si="11"/>
        <v>100</v>
      </c>
      <c r="V36" s="667" t="s">
        <v>14</v>
      </c>
      <c r="W36" s="668">
        <f t="shared" si="12"/>
        <v>100</v>
      </c>
      <c r="X36" s="1265"/>
      <c r="Y36" s="339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2"/>
      <c r="Q37" s="1263">
        <f t="shared" si="8"/>
        <v>111</v>
      </c>
      <c r="R37" s="669" t="s">
        <v>14</v>
      </c>
      <c r="S37" s="670">
        <f t="shared" si="10"/>
        <v>100</v>
      </c>
      <c r="T37" s="669" t="s">
        <v>14</v>
      </c>
      <c r="U37" s="670">
        <f t="shared" si="11"/>
        <v>100</v>
      </c>
      <c r="V37" s="669" t="s">
        <v>14</v>
      </c>
      <c r="W37" s="670">
        <f t="shared" si="12"/>
        <v>100</v>
      </c>
      <c r="X37" s="671"/>
      <c r="Y37" s="339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2"/>
      <c r="Q38" s="1263" t="str">
        <f>B38</f>
        <v>宗地面积</v>
      </c>
      <c r="R38" s="667" t="s">
        <v>14</v>
      </c>
      <c r="S38" s="668" t="e">
        <f t="shared" si="10"/>
        <v>#N/A</v>
      </c>
      <c r="T38" s="667" t="s">
        <v>14</v>
      </c>
      <c r="U38" s="668" t="e">
        <f t="shared" si="11"/>
        <v>#N/A</v>
      </c>
      <c r="V38" s="667" t="s">
        <v>14</v>
      </c>
      <c r="W38" s="668" t="e">
        <f t="shared" si="12"/>
        <v>#N/A</v>
      </c>
      <c r="X38" s="1265"/>
      <c r="Y38" s="339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2"/>
      <c r="Q39" s="1263" t="str">
        <f t="shared" ref="Q39:Q45" si="14">B39</f>
        <v>宗地形状</v>
      </c>
      <c r="R39" s="667" t="s">
        <v>14</v>
      </c>
      <c r="S39" s="668">
        <f t="shared" si="10"/>
        <v>100</v>
      </c>
      <c r="T39" s="667" t="s">
        <v>14</v>
      </c>
      <c r="U39" s="668">
        <f t="shared" si="11"/>
        <v>100</v>
      </c>
      <c r="V39" s="667" t="s">
        <v>14</v>
      </c>
      <c r="W39" s="668">
        <f t="shared" si="12"/>
        <v>100</v>
      </c>
      <c r="X39" s="1265"/>
      <c r="Y39" s="339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2"/>
      <c r="Q40" s="1263" t="str">
        <f t="shared" si="14"/>
        <v>临街宽度及深度</v>
      </c>
      <c r="R40" s="667" t="s">
        <v>14</v>
      </c>
      <c r="S40" s="668">
        <f t="shared" si="10"/>
        <v>100</v>
      </c>
      <c r="T40" s="667" t="s">
        <v>14</v>
      </c>
      <c r="U40" s="668">
        <f t="shared" si="11"/>
        <v>100</v>
      </c>
      <c r="V40" s="667" t="s">
        <v>14</v>
      </c>
      <c r="W40" s="668">
        <f t="shared" si="12"/>
        <v>100</v>
      </c>
      <c r="X40" s="1265"/>
      <c r="Y40" s="339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2"/>
      <c r="Q41" s="1263" t="str">
        <f t="shared" si="14"/>
        <v>宗地开发程度</v>
      </c>
      <c r="R41" s="664" t="s">
        <v>14</v>
      </c>
      <c r="S41" s="665">
        <f t="shared" si="10"/>
        <v>100</v>
      </c>
      <c r="T41" s="664" t="s">
        <v>14</v>
      </c>
      <c r="U41" s="665">
        <f t="shared" si="11"/>
        <v>100</v>
      </c>
      <c r="V41" s="664" t="s">
        <v>14</v>
      </c>
      <c r="W41" s="665">
        <f t="shared" si="12"/>
        <v>100</v>
      </c>
      <c r="X41" s="666"/>
      <c r="Y41" s="339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2" t="s">
        <v>1696</v>
      </c>
      <c r="Q42" s="1263" t="str">
        <f t="shared" si="14"/>
        <v>工程地质条件</v>
      </c>
      <c r="R42" s="667" t="s">
        <v>14</v>
      </c>
      <c r="S42" s="668">
        <f t="shared" si="10"/>
        <v>100</v>
      </c>
      <c r="T42" s="667" t="s">
        <v>14</v>
      </c>
      <c r="U42" s="668">
        <f t="shared" si="11"/>
        <v>100</v>
      </c>
      <c r="V42" s="667" t="s">
        <v>14</v>
      </c>
      <c r="W42" s="668">
        <f t="shared" si="12"/>
        <v>100</v>
      </c>
      <c r="X42" s="1265"/>
      <c r="Y42" s="339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2"/>
      <c r="Q43" s="1263">
        <f t="shared" si="14"/>
        <v>111</v>
      </c>
      <c r="R43" s="667" t="s">
        <v>14</v>
      </c>
      <c r="S43" s="668">
        <f t="shared" si="10"/>
        <v>100</v>
      </c>
      <c r="T43" s="667" t="s">
        <v>14</v>
      </c>
      <c r="U43" s="668">
        <f t="shared" si="11"/>
        <v>100</v>
      </c>
      <c r="V43" s="667" t="s">
        <v>14</v>
      </c>
      <c r="W43" s="668">
        <f t="shared" si="12"/>
        <v>100</v>
      </c>
      <c r="X43" s="1265"/>
      <c r="Y43" s="339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2"/>
      <c r="Q44" s="1263">
        <f t="shared" si="14"/>
        <v>111</v>
      </c>
      <c r="R44" s="667" t="s">
        <v>14</v>
      </c>
      <c r="S44" s="668">
        <f t="shared" si="10"/>
        <v>100</v>
      </c>
      <c r="T44" s="667" t="s">
        <v>14</v>
      </c>
      <c r="U44" s="668">
        <f t="shared" si="11"/>
        <v>100</v>
      </c>
      <c r="V44" s="667" t="s">
        <v>14</v>
      </c>
      <c r="W44" s="668">
        <f t="shared" si="12"/>
        <v>100</v>
      </c>
      <c r="X44" s="1265"/>
      <c r="Y44" s="339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2"/>
      <c r="Q45" s="1263">
        <f t="shared" si="14"/>
        <v>111</v>
      </c>
      <c r="R45" s="669" t="s">
        <v>14</v>
      </c>
      <c r="S45" s="670">
        <f t="shared" si="10"/>
        <v>100</v>
      </c>
      <c r="T45" s="669" t="s">
        <v>14</v>
      </c>
      <c r="U45" s="670">
        <f t="shared" si="11"/>
        <v>100</v>
      </c>
      <c r="V45" s="669" t="s">
        <v>14</v>
      </c>
      <c r="W45" s="670">
        <f t="shared" si="12"/>
        <v>100</v>
      </c>
      <c r="X45" s="671"/>
      <c r="Y45" s="339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385" t="str">
        <f>A46</f>
        <v>成交单价</v>
      </c>
      <c r="Q46" s="3385"/>
      <c r="R46" s="3386">
        <f>E46</f>
        <v>0</v>
      </c>
      <c r="S46" s="3386"/>
      <c r="T46" s="3386">
        <f>G46</f>
        <v>0</v>
      </c>
      <c r="U46" s="3386"/>
      <c r="V46" s="3386">
        <f>I46</f>
        <v>0</v>
      </c>
      <c r="W46" s="3386"/>
      <c r="X46" s="385"/>
      <c r="Y46" s="673"/>
      <c r="Z46" s="385"/>
      <c r="AA46" s="385"/>
      <c r="AB46" s="385"/>
      <c r="AC46" s="385"/>
    </row>
    <row r="47" spans="1:29" ht="14.5" thickBot="1">
      <c r="A47" s="423" t="s">
        <v>1793</v>
      </c>
      <c r="B47" s="603"/>
      <c r="C47" s="426" t="e">
        <f>R48</f>
        <v>#DIV/0!</v>
      </c>
      <c r="D47" s="2140" t="s">
        <v>2135</v>
      </c>
      <c r="E47" s="426" t="e">
        <f>R47</f>
        <v>#DIV/0!</v>
      </c>
      <c r="F47" s="2141"/>
      <c r="G47" s="425" t="e">
        <f>T47</f>
        <v>#DIV/0!</v>
      </c>
      <c r="H47" s="2141"/>
      <c r="I47" s="426" t="e">
        <f>V47</f>
        <v>#DIV/0!</v>
      </c>
      <c r="J47" s="2141"/>
      <c r="K47" s="2143">
        <f>F47+H47+J47</f>
        <v>0</v>
      </c>
      <c r="L47" s="2492"/>
      <c r="M47" s="2485"/>
      <c r="N47" s="2485"/>
      <c r="O47" s="2485"/>
      <c r="P47" s="3385" t="str">
        <f>A47</f>
        <v>比较价值（元/平方米）</v>
      </c>
      <c r="Q47" s="3385"/>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382" t="str">
        <f>A48</f>
        <v>估价对象XX用房的比较价值（楼面单价，元/平方米）</v>
      </c>
      <c r="Q48" s="3383"/>
      <c r="R48" s="3445" t="e">
        <f>ROUND(IF(D47="简单平均",AVERAGE(R47:W47),R47*F47+T47*H47+V47*J47),0)</f>
        <v>#DIV/0!</v>
      </c>
      <c r="S48" s="3445"/>
      <c r="T48" s="3445"/>
      <c r="U48" s="3445"/>
      <c r="V48" s="3445"/>
      <c r="W48" s="344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0" t="s">
        <v>1887</v>
      </c>
      <c r="H55" s="344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785.23</v>
      </c>
      <c r="F56" s="833" t="e">
        <f t="shared" ref="F56:F64" si="15">ROUND(B56*E56/10000,0)</f>
        <v>#DIV/0!</v>
      </c>
      <c r="G56" s="3396"/>
      <c r="H56" s="338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七级</v>
      </c>
      <c r="I57" s="838">
        <f>SUMIF(修正!A59:A70,H57,修正!B59:B70)</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七级</v>
      </c>
      <c r="I58" s="838">
        <f>SUMIF(修正!A59:A70,H58,修正!C59:C70)</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七级</v>
      </c>
      <c r="I59" s="838">
        <f>SUMIF(修正!A59:A70,H59,修正!D59:D70)</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SUMIF(修正!A59:A70,H63,修正!G59:G70)</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785.23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6" priority="13" stopIfTrue="1">
      <formula>$F$51="超过30%"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F7:F45 H7:H45 J7:J45">
    <cfRule type="cellIs" dxfId="43" priority="1" operator="notEqual">
      <formula>100</formula>
    </cfRule>
  </conditionalFormatting>
  <conditionalFormatting sqref="F47">
    <cfRule type="expression" dxfId="42" priority="4">
      <formula>$D$47="简单平均"</formula>
    </cfRule>
  </conditionalFormatting>
  <conditionalFormatting sqref="F51:F53 H51:H53 J51:J53">
    <cfRule type="containsText" dxfId="41" priority="14" stopIfTrue="1" operator="containsText" text="超过">
      <formula>NOT(ISERROR(SEARCH("超过",F51)))</formula>
    </cfRule>
  </conditionalFormatting>
  <conditionalFormatting sqref="G51">
    <cfRule type="expression" dxfId="40" priority="9" stopIfTrue="1">
      <formula>$H$53+$H$51="超过30%"</formula>
    </cfRule>
  </conditionalFormatting>
  <conditionalFormatting sqref="G52">
    <cfRule type="expression" dxfId="39" priority="8" stopIfTrue="1">
      <formula>$H$52="超过20%"</formula>
    </cfRule>
  </conditionalFormatting>
  <conditionalFormatting sqref="G53">
    <cfRule type="expression" dxfId="38" priority="12" stopIfTrue="1">
      <formula>$H$53="超过30%"</formula>
    </cfRule>
  </conditionalFormatting>
  <conditionalFormatting sqref="H47">
    <cfRule type="expression" dxfId="37" priority="3">
      <formula>$D$47="简单平均"</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J47">
    <cfRule type="expression" dxfId="3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4"/>
      <c r="M4" s="2485"/>
      <c r="N4" s="2485"/>
      <c r="O4" s="2485"/>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4"/>
      <c r="M5" s="2485"/>
      <c r="N5" s="2485"/>
      <c r="O5" s="2485"/>
      <c r="P5" s="3406"/>
      <c r="Q5" s="3407"/>
      <c r="R5" s="3412"/>
      <c r="S5" s="3413"/>
      <c r="T5" s="3412"/>
      <c r="U5" s="3413"/>
      <c r="V5" s="3386"/>
      <c r="W5" s="3386"/>
      <c r="X5" s="1265"/>
      <c r="Y5" s="3412"/>
      <c r="Z5" s="3413"/>
      <c r="AA5" s="3398"/>
      <c r="AB5" s="3398"/>
      <c r="AC5" s="3398"/>
    </row>
    <row r="6" spans="1:29" ht="15" thickBot="1">
      <c r="A6" s="350"/>
      <c r="B6" s="351"/>
      <c r="C6" s="3447" t="s">
        <v>1919</v>
      </c>
      <c r="D6" s="3448"/>
      <c r="E6" s="3449" t="s">
        <v>1919</v>
      </c>
      <c r="F6" s="3450"/>
      <c r="G6" s="3447" t="s">
        <v>1919</v>
      </c>
      <c r="H6" s="3448"/>
      <c r="I6" s="3447" t="s">
        <v>1919</v>
      </c>
      <c r="J6" s="3448"/>
      <c r="K6" s="537" t="s">
        <v>1678</v>
      </c>
      <c r="L6" s="2484"/>
      <c r="M6" s="2485"/>
      <c r="N6" s="2485"/>
      <c r="O6" s="2485"/>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45910</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0" t="s">
        <v>1683</v>
      </c>
      <c r="Q8" s="3421"/>
      <c r="R8" s="664" t="s">
        <v>14</v>
      </c>
      <c r="S8" s="665">
        <f t="shared" si="0"/>
        <v>0</v>
      </c>
      <c r="T8" s="664" t="s">
        <v>14</v>
      </c>
      <c r="U8" s="665">
        <f t="shared" si="1"/>
        <v>0</v>
      </c>
      <c r="V8" s="664" t="s">
        <v>14</v>
      </c>
      <c r="W8" s="665">
        <f t="shared" si="2"/>
        <v>0</v>
      </c>
      <c r="X8" s="666"/>
      <c r="Y8" s="3420" t="s">
        <v>1683</v>
      </c>
      <c r="Z8" s="342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122</v>
      </c>
      <c r="G10" s="371"/>
      <c r="H10" s="119">
        <f>ROUND(100/'数据-取费表'!G16,0)</f>
        <v>122</v>
      </c>
      <c r="I10" s="371"/>
      <c r="J10" s="119">
        <f>ROUND(100/'数据-取费表'!G16,0)</f>
        <v>122</v>
      </c>
      <c r="K10" s="592"/>
      <c r="L10" s="2487"/>
      <c r="M10" s="2488"/>
      <c r="N10" s="2488"/>
      <c r="O10" s="2539"/>
      <c r="P10" s="3385"/>
      <c r="Q10" s="530" t="str">
        <f t="shared" si="6"/>
        <v>土地使用年限（年）</v>
      </c>
      <c r="R10" s="664" t="s">
        <v>14</v>
      </c>
      <c r="S10" s="665">
        <f t="shared" si="0"/>
        <v>122</v>
      </c>
      <c r="T10" s="664" t="s">
        <v>14</v>
      </c>
      <c r="U10" s="665">
        <f t="shared" si="1"/>
        <v>122</v>
      </c>
      <c r="V10" s="664" t="s">
        <v>14</v>
      </c>
      <c r="W10" s="665">
        <f t="shared" si="2"/>
        <v>122</v>
      </c>
      <c r="X10" s="666"/>
      <c r="Y10" s="3260"/>
      <c r="Z10" s="50" t="str">
        <f t="shared" si="7"/>
        <v>土地使用年限（年）</v>
      </c>
      <c r="AA10" s="50">
        <f t="shared" si="3"/>
        <v>0.81967213114754101</v>
      </c>
      <c r="AB10" s="50">
        <f t="shared" si="4"/>
        <v>0.81967213114754101</v>
      </c>
      <c r="AC10" s="50">
        <f t="shared" si="5"/>
        <v>0.81967213114754101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388"/>
      <c r="Q16" s="1263"/>
      <c r="R16" s="667"/>
      <c r="S16" s="668"/>
      <c r="T16" s="667"/>
      <c r="U16" s="668"/>
      <c r="V16" s="667"/>
      <c r="W16" s="668"/>
      <c r="X16" s="1265"/>
      <c r="Y16" s="338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388"/>
      <c r="Q18" s="1263"/>
      <c r="R18" s="667"/>
      <c r="S18" s="668"/>
      <c r="T18" s="667"/>
      <c r="U18" s="668"/>
      <c r="V18" s="667"/>
      <c r="W18" s="668"/>
      <c r="X18" s="1265"/>
      <c r="Y18" s="338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388"/>
      <c r="Q20" s="1263"/>
      <c r="R20" s="667"/>
      <c r="S20" s="668"/>
      <c r="T20" s="667"/>
      <c r="U20" s="668"/>
      <c r="V20" s="667"/>
      <c r="W20" s="668"/>
      <c r="X20" s="1265"/>
      <c r="Y20" s="338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388"/>
      <c r="Q22" s="1263"/>
      <c r="R22" s="667"/>
      <c r="S22" s="668"/>
      <c r="T22" s="667"/>
      <c r="U22" s="668"/>
      <c r="V22" s="667"/>
      <c r="W22" s="668"/>
      <c r="X22" s="1265"/>
      <c r="Y22" s="338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388"/>
      <c r="Q24" s="530"/>
      <c r="R24" s="664"/>
      <c r="S24" s="665"/>
      <c r="T24" s="664"/>
      <c r="U24" s="665"/>
      <c r="V24" s="664"/>
      <c r="W24" s="665"/>
      <c r="X24" s="666"/>
      <c r="Y24" s="338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388"/>
      <c r="Q26" s="530"/>
      <c r="R26" s="664"/>
      <c r="S26" s="665"/>
      <c r="T26" s="664"/>
      <c r="U26" s="665"/>
      <c r="V26" s="664"/>
      <c r="W26" s="665"/>
      <c r="X26" s="666"/>
      <c r="Y26" s="338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388"/>
      <c r="Q29" s="1263"/>
      <c r="R29" s="667"/>
      <c r="S29" s="668"/>
      <c r="T29" s="667"/>
      <c r="U29" s="668"/>
      <c r="V29" s="667"/>
      <c r="W29" s="668"/>
      <c r="X29" s="1265"/>
      <c r="Y29" s="338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2" t="s">
        <v>1696</v>
      </c>
      <c r="Q32" s="1263">
        <f t="shared" si="8"/>
        <v>111</v>
      </c>
      <c r="R32" s="667" t="s">
        <v>14</v>
      </c>
      <c r="S32" s="668">
        <f t="shared" si="10"/>
        <v>100</v>
      </c>
      <c r="T32" s="667" t="s">
        <v>14</v>
      </c>
      <c r="U32" s="668">
        <f t="shared" si="11"/>
        <v>100</v>
      </c>
      <c r="V32" s="667" t="s">
        <v>14</v>
      </c>
      <c r="W32" s="668">
        <f t="shared" si="12"/>
        <v>100</v>
      </c>
      <c r="X32" s="1265"/>
      <c r="Y32" s="339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2"/>
      <c r="Q33" s="1263">
        <f t="shared" si="8"/>
        <v>111</v>
      </c>
      <c r="R33" s="669" t="s">
        <v>14</v>
      </c>
      <c r="S33" s="670">
        <f t="shared" si="10"/>
        <v>100</v>
      </c>
      <c r="T33" s="669" t="s">
        <v>14</v>
      </c>
      <c r="U33" s="670">
        <f t="shared" si="11"/>
        <v>100</v>
      </c>
      <c r="V33" s="669" t="s">
        <v>14</v>
      </c>
      <c r="W33" s="670">
        <f t="shared" si="12"/>
        <v>100</v>
      </c>
      <c r="X33" s="671"/>
      <c r="Y33" s="339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2"/>
      <c r="Q34" s="1263" t="str">
        <f>B34</f>
        <v>宗地面积</v>
      </c>
      <c r="R34" s="667" t="s">
        <v>14</v>
      </c>
      <c r="S34" s="668" t="e">
        <f t="shared" si="10"/>
        <v>#N/A</v>
      </c>
      <c r="T34" s="667" t="s">
        <v>14</v>
      </c>
      <c r="U34" s="668" t="e">
        <f t="shared" si="11"/>
        <v>#N/A</v>
      </c>
      <c r="V34" s="667" t="s">
        <v>14</v>
      </c>
      <c r="W34" s="668" t="e">
        <f t="shared" si="12"/>
        <v>#N/A</v>
      </c>
      <c r="X34" s="1265"/>
      <c r="Y34" s="339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2"/>
      <c r="Q35" s="1263" t="str">
        <f t="shared" ref="Q35:Q40" si="14">B35</f>
        <v>宗地形状</v>
      </c>
      <c r="R35" s="667" t="s">
        <v>14</v>
      </c>
      <c r="S35" s="668">
        <f t="shared" si="10"/>
        <v>100</v>
      </c>
      <c r="T35" s="667" t="s">
        <v>14</v>
      </c>
      <c r="U35" s="668">
        <f t="shared" si="11"/>
        <v>100</v>
      </c>
      <c r="V35" s="667" t="s">
        <v>14</v>
      </c>
      <c r="W35" s="668">
        <f t="shared" si="12"/>
        <v>100</v>
      </c>
      <c r="X35" s="1265"/>
      <c r="Y35" s="339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2"/>
      <c r="Q36" s="1263" t="str">
        <f t="shared" si="14"/>
        <v>宗地开发程度</v>
      </c>
      <c r="R36" s="664" t="s">
        <v>14</v>
      </c>
      <c r="S36" s="665">
        <f t="shared" si="10"/>
        <v>100</v>
      </c>
      <c r="T36" s="664" t="s">
        <v>14</v>
      </c>
      <c r="U36" s="665">
        <f t="shared" si="11"/>
        <v>100</v>
      </c>
      <c r="V36" s="664" t="s">
        <v>14</v>
      </c>
      <c r="W36" s="665">
        <f t="shared" si="12"/>
        <v>100</v>
      </c>
      <c r="X36" s="666"/>
      <c r="Y36" s="339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2" t="s">
        <v>1696</v>
      </c>
      <c r="Q37" s="1263" t="str">
        <f t="shared" si="14"/>
        <v>工程地质条件</v>
      </c>
      <c r="R37" s="667" t="s">
        <v>14</v>
      </c>
      <c r="S37" s="668">
        <f t="shared" si="10"/>
        <v>100</v>
      </c>
      <c r="T37" s="667" t="s">
        <v>14</v>
      </c>
      <c r="U37" s="668">
        <f t="shared" si="11"/>
        <v>100</v>
      </c>
      <c r="V37" s="667" t="s">
        <v>14</v>
      </c>
      <c r="W37" s="668">
        <f t="shared" si="12"/>
        <v>100</v>
      </c>
      <c r="X37" s="1265"/>
      <c r="Y37" s="339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2"/>
      <c r="Q38" s="1263">
        <f t="shared" si="14"/>
        <v>111</v>
      </c>
      <c r="R38" s="667" t="s">
        <v>14</v>
      </c>
      <c r="S38" s="668">
        <f t="shared" si="10"/>
        <v>100</v>
      </c>
      <c r="T38" s="667" t="s">
        <v>14</v>
      </c>
      <c r="U38" s="668">
        <f t="shared" si="11"/>
        <v>100</v>
      </c>
      <c r="V38" s="667" t="s">
        <v>14</v>
      </c>
      <c r="W38" s="668">
        <f t="shared" si="12"/>
        <v>100</v>
      </c>
      <c r="X38" s="1265"/>
      <c r="Y38" s="339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2"/>
      <c r="Q39" s="1263">
        <f t="shared" si="14"/>
        <v>111</v>
      </c>
      <c r="R39" s="667" t="s">
        <v>14</v>
      </c>
      <c r="S39" s="668">
        <f t="shared" si="10"/>
        <v>100</v>
      </c>
      <c r="T39" s="667" t="s">
        <v>14</v>
      </c>
      <c r="U39" s="668">
        <f t="shared" si="11"/>
        <v>100</v>
      </c>
      <c r="V39" s="667" t="s">
        <v>14</v>
      </c>
      <c r="W39" s="668">
        <f t="shared" si="12"/>
        <v>100</v>
      </c>
      <c r="X39" s="1265"/>
      <c r="Y39" s="339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2"/>
      <c r="Q40" s="1263">
        <f t="shared" si="14"/>
        <v>111</v>
      </c>
      <c r="R40" s="669" t="s">
        <v>14</v>
      </c>
      <c r="S40" s="670">
        <f t="shared" si="10"/>
        <v>100</v>
      </c>
      <c r="T40" s="669" t="s">
        <v>14</v>
      </c>
      <c r="U40" s="670">
        <f t="shared" si="11"/>
        <v>100</v>
      </c>
      <c r="V40" s="669" t="s">
        <v>14</v>
      </c>
      <c r="W40" s="670">
        <f t="shared" si="12"/>
        <v>100</v>
      </c>
      <c r="X40" s="671"/>
      <c r="Y40" s="339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385" t="str">
        <f>A41</f>
        <v>成交单价</v>
      </c>
      <c r="Q41" s="3385"/>
      <c r="R41" s="3386">
        <f>E41</f>
        <v>0</v>
      </c>
      <c r="S41" s="3386"/>
      <c r="T41" s="3386">
        <f>G41</f>
        <v>0</v>
      </c>
      <c r="U41" s="3386"/>
      <c r="V41" s="3386">
        <f>I41</f>
        <v>0</v>
      </c>
      <c r="W41" s="3386"/>
      <c r="X41" s="385"/>
      <c r="Y41" s="673"/>
      <c r="Z41" s="385"/>
      <c r="AA41" s="385"/>
      <c r="AB41" s="385"/>
      <c r="AC41" s="385"/>
    </row>
    <row r="42" spans="1:31" ht="14.5" thickBot="1">
      <c r="A42" s="423" t="s">
        <v>1793</v>
      </c>
      <c r="B42" s="603"/>
      <c r="C42" s="426" t="e">
        <f>R43</f>
        <v>#DIV/0!</v>
      </c>
      <c r="D42" s="2140" t="s">
        <v>2135</v>
      </c>
      <c r="E42" s="426" t="e">
        <f>R42</f>
        <v>#DIV/0!</v>
      </c>
      <c r="F42" s="2141"/>
      <c r="G42" s="425" t="e">
        <f>T42</f>
        <v>#DIV/0!</v>
      </c>
      <c r="H42" s="2141"/>
      <c r="I42" s="426" t="e">
        <f>V42</f>
        <v>#DIV/0!</v>
      </c>
      <c r="J42" s="2141"/>
      <c r="K42" s="2143">
        <f>F42+H42+J42</f>
        <v>0</v>
      </c>
      <c r="L42" s="2492"/>
      <c r="M42" s="2485"/>
      <c r="N42" s="2485"/>
      <c r="O42" s="2485"/>
      <c r="P42" s="3385" t="str">
        <f>A42</f>
        <v>比较价值（元/平方米）</v>
      </c>
      <c r="Q42" s="3385"/>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382" t="str">
        <f>A43</f>
        <v>估价对象XX用房的比较价值（楼面单价，元/平方米）</v>
      </c>
      <c r="Q43" s="3383"/>
      <c r="R43" s="3445" t="e">
        <f>ROUND(IF(D42="简单平均",AVERAGE(R42:W42),R42*F42+T42*H42+V42*J42),0)</f>
        <v>#DIV/0!</v>
      </c>
      <c r="S43" s="3445"/>
      <c r="T43" s="3445"/>
      <c r="U43" s="3445"/>
      <c r="V43" s="3445"/>
      <c r="W43" s="344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400" t="s">
        <v>1887</v>
      </c>
      <c r="H50" s="344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785.23</v>
      </c>
      <c r="F51" s="611" t="e">
        <f t="shared" ref="F51:F60" si="15">ROUND(B51*E51/10000,0)</f>
        <v>#DIV/0!</v>
      </c>
      <c r="G51" s="3396"/>
      <c r="H51" s="338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七级</v>
      </c>
      <c r="I52" s="727">
        <f>SUMIF(修正!A59:A70,H52,修正!B59:B70)</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七级</v>
      </c>
      <c r="I53" s="727">
        <f>SUMIF(修正!A59:A70,H53,修正!C59:C70)</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七级</v>
      </c>
      <c r="I54" s="727">
        <f>SUMIF(修正!A59:A70,H54,修正!D59:D70)</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SUMIF(修正!A59:A70,H59,修正!G59:G70)</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2" priority="13" stopIfTrue="1">
      <formula>$F$46="超过30%"</formula>
    </cfRule>
  </conditionalFormatting>
  <conditionalFormatting sqref="E47">
    <cfRule type="expression" dxfId="31" priority="53" stopIfTrue="1">
      <formula>#REF!+$F$47="超过20%"</formula>
    </cfRule>
  </conditionalFormatting>
  <conditionalFormatting sqref="E48">
    <cfRule type="expression" dxfId="30" priority="10" stopIfTrue="1">
      <formula>$F$48="超过30%"</formula>
    </cfRule>
  </conditionalFormatting>
  <conditionalFormatting sqref="F7:F40 H7:H40 J7:J40">
    <cfRule type="cellIs" dxfId="29" priority="1" operator="notEqual">
      <formula>100</formula>
    </cfRule>
  </conditionalFormatting>
  <conditionalFormatting sqref="F42">
    <cfRule type="expression" dxfId="28" priority="4">
      <formula>$D$42="简单平均"</formula>
    </cfRule>
  </conditionalFormatting>
  <conditionalFormatting sqref="F46:F48 H46:H48 J46:J48">
    <cfRule type="containsText" dxfId="27" priority="14" stopIfTrue="1" operator="containsText" text="超过">
      <formula>NOT(ISERROR(SEARCH("超过",F46)))</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G48">
    <cfRule type="expression" dxfId="24" priority="12" stopIfTrue="1">
      <formula>$H$48="超过30%"</formula>
    </cfRule>
  </conditionalFormatting>
  <conditionalFormatting sqref="H42">
    <cfRule type="expression" dxfId="23" priority="3">
      <formula>$D$42="简单平均"</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J42">
    <cfRule type="expression" dxfId="19"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C1" sqref="C1:S1"/>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689</v>
      </c>
      <c r="C2" s="1984" t="s">
        <v>2074</v>
      </c>
      <c r="D2" s="1984" t="s">
        <v>2075</v>
      </c>
      <c r="E2" s="2396">
        <f ca="1">SUMIF(E6:E13,"&lt;&gt;#ref!",E6:E13)</f>
        <v>0</v>
      </c>
      <c r="F2" s="2542"/>
      <c r="G2" s="2542"/>
      <c r="H2" s="2542"/>
      <c r="I2" s="2542"/>
      <c r="J2" s="2542"/>
      <c r="K2" s="2542"/>
      <c r="L2" s="2542"/>
      <c r="M2" s="2542"/>
      <c r="N2" s="2542"/>
      <c r="O2" s="2542"/>
      <c r="P2" s="2542"/>
    </row>
    <row r="3" spans="1:16" ht="15.5">
      <c r="A3" s="1984" t="s">
        <v>2076</v>
      </c>
      <c r="B3" s="2386" t="e">
        <f ca="1">ROUND(B2*10000/E2,0)</f>
        <v>#DIV/0!</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689</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487" t="s">
        <v>2604</v>
      </c>
      <c r="B20" s="3480" t="s">
        <v>2625</v>
      </c>
      <c r="C20" s="3166" t="s">
        <v>2436</v>
      </c>
      <c r="D20" s="3166"/>
      <c r="E20" s="2842">
        <v>1</v>
      </c>
      <c r="F20" s="2843" t="s">
        <v>2437</v>
      </c>
      <c r="G20" s="2843"/>
    </row>
    <row r="21" spans="1:13" ht="19.5" customHeight="1">
      <c r="A21" s="3488"/>
      <c r="B21" s="3476"/>
      <c r="C21" s="2855" t="s">
        <v>2438</v>
      </c>
      <c r="D21" s="2855"/>
      <c r="E21" s="2846">
        <v>1</v>
      </c>
      <c r="F21" s="2843" t="s">
        <v>2439</v>
      </c>
      <c r="G21" s="2843"/>
    </row>
    <row r="22" spans="1:13" ht="19.5" customHeight="1">
      <c r="A22" s="3488"/>
      <c r="B22" s="3476"/>
      <c r="C22" s="2855" t="s">
        <v>2440</v>
      </c>
      <c r="D22" s="2855"/>
      <c r="E22" s="2846">
        <v>0.9</v>
      </c>
      <c r="F22" s="2843" t="s">
        <v>2441</v>
      </c>
      <c r="G22" s="2843"/>
    </row>
    <row r="23" spans="1:13" ht="19.5" customHeight="1">
      <c r="A23" s="3488"/>
      <c r="B23" s="3476"/>
      <c r="C23" s="2855" t="s">
        <v>2442</v>
      </c>
      <c r="D23" s="2855"/>
      <c r="E23" s="2846">
        <v>0.9</v>
      </c>
      <c r="F23" s="2843" t="s">
        <v>2443</v>
      </c>
      <c r="G23" s="2843"/>
    </row>
    <row r="24" spans="1:13" ht="19.5" customHeight="1">
      <c r="A24" s="3488"/>
      <c r="B24" s="3476"/>
      <c r="C24" s="2855" t="s">
        <v>2444</v>
      </c>
      <c r="D24" s="2855"/>
      <c r="E24" s="2846">
        <v>0.8</v>
      </c>
      <c r="F24" s="2843" t="s">
        <v>2445</v>
      </c>
      <c r="G24" s="2843"/>
    </row>
    <row r="25" spans="1:13" ht="19.5" customHeight="1">
      <c r="A25" s="3488"/>
      <c r="B25" s="3476"/>
      <c r="C25" s="2855" t="s">
        <v>2446</v>
      </c>
      <c r="D25" s="2855"/>
      <c r="E25" s="2846">
        <v>0.8</v>
      </c>
      <c r="F25" s="2843"/>
      <c r="G25" s="2843"/>
    </row>
    <row r="26" spans="1:13" ht="19.5" customHeight="1">
      <c r="A26" s="3488"/>
      <c r="B26" s="3476"/>
      <c r="C26" s="2855" t="s">
        <v>3406</v>
      </c>
      <c r="D26" s="2855"/>
      <c r="E26" s="2846">
        <v>0.43</v>
      </c>
      <c r="F26" s="2843"/>
      <c r="G26" s="2843"/>
    </row>
    <row r="27" spans="1:13" ht="19.5" customHeight="1" thickBot="1">
      <c r="A27" s="3489"/>
      <c r="B27" s="3481"/>
      <c r="C27" s="3162" t="s">
        <v>3407</v>
      </c>
      <c r="D27" s="3162"/>
      <c r="E27" s="2849">
        <f>E26*0.9</f>
        <v>0.38700000000000001</v>
      </c>
      <c r="F27" s="2843" t="s">
        <v>2447</v>
      </c>
      <c r="G27" s="2843"/>
    </row>
    <row r="28" spans="1:13" ht="19.5" customHeight="1" thickBot="1">
      <c r="A28" s="3161" t="s">
        <v>2626</v>
      </c>
      <c r="B28" s="3160" t="s">
        <v>2625</v>
      </c>
      <c r="C28" s="3163" t="s">
        <v>2627</v>
      </c>
      <c r="D28" s="3164"/>
      <c r="E28" s="3165">
        <v>1</v>
      </c>
      <c r="F28" s="2843" t="s">
        <v>2448</v>
      </c>
      <c r="G28" s="2843"/>
    </row>
    <row r="29" spans="1:13" ht="19.5" customHeight="1">
      <c r="A29" s="3482" t="s">
        <v>2628</v>
      </c>
      <c r="B29" s="3485" t="s">
        <v>2609</v>
      </c>
      <c r="C29" s="2840" t="s">
        <v>2449</v>
      </c>
      <c r="D29" s="2841"/>
      <c r="E29" s="2842">
        <v>1</v>
      </c>
      <c r="F29" s="2843" t="s">
        <v>2450</v>
      </c>
      <c r="G29" s="2843"/>
    </row>
    <row r="30" spans="1:13" ht="19.5" customHeight="1">
      <c r="A30" s="3483"/>
      <c r="B30" s="3479"/>
      <c r="C30" s="2844" t="s">
        <v>2451</v>
      </c>
      <c r="D30" s="2845"/>
      <c r="E30" s="2846">
        <v>1</v>
      </c>
      <c r="F30" s="2843" t="s">
        <v>2452</v>
      </c>
      <c r="G30" s="2843"/>
    </row>
    <row r="31" spans="1:13" ht="19.5" customHeight="1">
      <c r="A31" s="3483"/>
      <c r="B31" s="3479"/>
      <c r="C31" s="2844" t="s">
        <v>2453</v>
      </c>
      <c r="D31" s="2845"/>
      <c r="E31" s="2846">
        <v>0.8</v>
      </c>
      <c r="F31" s="2843" t="s">
        <v>2454</v>
      </c>
      <c r="G31" s="2843"/>
    </row>
    <row r="32" spans="1:13" ht="19.5" customHeight="1">
      <c r="A32" s="3483"/>
      <c r="B32" s="3479"/>
      <c r="C32" s="2844" t="s">
        <v>2455</v>
      </c>
      <c r="D32" s="2845"/>
      <c r="E32" s="2846">
        <v>0.8</v>
      </c>
      <c r="F32" s="2843" t="s">
        <v>2456</v>
      </c>
      <c r="G32" s="2843"/>
    </row>
    <row r="33" spans="1:7" ht="19.5" customHeight="1">
      <c r="A33" s="3483"/>
      <c r="B33" s="3479"/>
      <c r="C33" s="2844" t="s">
        <v>2457</v>
      </c>
      <c r="D33" s="2845"/>
      <c r="E33" s="2846">
        <v>0.8</v>
      </c>
      <c r="F33" s="2843" t="s">
        <v>2458</v>
      </c>
      <c r="G33" s="2843"/>
    </row>
    <row r="34" spans="1:7" ht="19.5" customHeight="1">
      <c r="A34" s="3483"/>
      <c r="B34" s="3479"/>
      <c r="C34" s="2844" t="s">
        <v>2459</v>
      </c>
      <c r="D34" s="2845"/>
      <c r="E34" s="2846">
        <v>0.7</v>
      </c>
      <c r="F34" s="2843" t="s">
        <v>2460</v>
      </c>
      <c r="G34" s="2843"/>
    </row>
    <row r="35" spans="1:7" ht="19.5" customHeight="1">
      <c r="A35" s="3483"/>
      <c r="B35" s="3479"/>
      <c r="C35" s="2844" t="s">
        <v>2461</v>
      </c>
      <c r="D35" s="2845"/>
      <c r="E35" s="2846">
        <v>0.8</v>
      </c>
      <c r="F35" s="2843" t="s">
        <v>2462</v>
      </c>
      <c r="G35" s="2843"/>
    </row>
    <row r="36" spans="1:7" ht="19.5" customHeight="1">
      <c r="A36" s="3483"/>
      <c r="B36" s="3479"/>
      <c r="C36" s="2844" t="s">
        <v>2463</v>
      </c>
      <c r="D36" s="2845"/>
      <c r="E36" s="2846">
        <v>0.6</v>
      </c>
      <c r="F36" s="2843" t="s">
        <v>2464</v>
      </c>
      <c r="G36" s="2843"/>
    </row>
    <row r="37" spans="1:7" ht="19.5" customHeight="1">
      <c r="A37" s="3483"/>
      <c r="B37" s="3479"/>
      <c r="C37" s="2844" t="s">
        <v>2465</v>
      </c>
      <c r="D37" s="2845"/>
      <c r="E37" s="2846">
        <v>0.2</v>
      </c>
      <c r="F37" s="2843" t="s">
        <v>2466</v>
      </c>
      <c r="G37" s="2843"/>
    </row>
    <row r="38" spans="1:7" ht="19.5" customHeight="1">
      <c r="A38" s="3483"/>
      <c r="B38" s="3479"/>
      <c r="C38" s="2844" t="s">
        <v>2467</v>
      </c>
      <c r="D38" s="2845"/>
      <c r="E38" s="2846">
        <v>0.2</v>
      </c>
      <c r="F38" s="2843" t="s">
        <v>2468</v>
      </c>
      <c r="G38" s="2843"/>
    </row>
    <row r="39" spans="1:7" ht="19.5" customHeight="1">
      <c r="A39" s="3483"/>
      <c r="B39" s="3477" t="s">
        <v>2629</v>
      </c>
      <c r="C39" s="2844" t="s">
        <v>2469</v>
      </c>
      <c r="D39" s="2845"/>
      <c r="E39" s="2846">
        <v>0.6</v>
      </c>
      <c r="F39" s="2843" t="s">
        <v>2470</v>
      </c>
      <c r="G39" s="2843"/>
    </row>
    <row r="40" spans="1:7" ht="19.5" customHeight="1">
      <c r="A40" s="3483"/>
      <c r="B40" s="3479"/>
      <c r="C40" s="2844" t="s">
        <v>2471</v>
      </c>
      <c r="D40" s="2845"/>
      <c r="E40" s="2846">
        <v>0.6</v>
      </c>
      <c r="F40" s="2843" t="s">
        <v>2472</v>
      </c>
      <c r="G40" s="2843"/>
    </row>
    <row r="41" spans="1:7" ht="19.5" customHeight="1" thickBot="1">
      <c r="A41" s="3484"/>
      <c r="B41" s="3486"/>
      <c r="C41" s="2847" t="s">
        <v>2473</v>
      </c>
      <c r="D41" s="2848"/>
      <c r="E41" s="2849">
        <v>0.6</v>
      </c>
      <c r="F41" s="2843" t="s">
        <v>2474</v>
      </c>
      <c r="G41" s="2843"/>
    </row>
    <row r="42" spans="1:7" ht="19.5" customHeight="1" thickBot="1">
      <c r="A42" s="2850" t="s">
        <v>2606</v>
      </c>
      <c r="B42" s="2851" t="s">
        <v>2606</v>
      </c>
      <c r="C42" s="2852" t="s">
        <v>2630</v>
      </c>
      <c r="D42" s="2853"/>
      <c r="E42" s="2854">
        <v>1</v>
      </c>
      <c r="F42" s="2843" t="s">
        <v>2475</v>
      </c>
      <c r="G42" s="2843"/>
    </row>
    <row r="43" spans="1:7" ht="19.5" customHeight="1">
      <c r="A43" s="3487" t="s">
        <v>2607</v>
      </c>
      <c r="B43" s="3485" t="s">
        <v>2631</v>
      </c>
      <c r="C43" s="2840" t="s">
        <v>2476</v>
      </c>
      <c r="D43" s="2841"/>
      <c r="E43" s="2842">
        <v>1</v>
      </c>
      <c r="F43" s="2843" t="s">
        <v>2477</v>
      </c>
      <c r="G43" s="2843"/>
    </row>
    <row r="44" spans="1:7" ht="19.5" customHeight="1">
      <c r="A44" s="3488"/>
      <c r="B44" s="3479"/>
      <c r="C44" s="2844" t="s">
        <v>2478</v>
      </c>
      <c r="D44" s="2845"/>
      <c r="E44" s="2846">
        <v>1</v>
      </c>
      <c r="F44" s="2843" t="s">
        <v>2479</v>
      </c>
      <c r="G44" s="2843"/>
    </row>
    <row r="45" spans="1:7" ht="19.5" customHeight="1">
      <c r="A45" s="3488"/>
      <c r="B45" s="3478"/>
      <c r="C45" s="2844" t="s">
        <v>2480</v>
      </c>
      <c r="D45" s="2845"/>
      <c r="E45" s="2846">
        <v>1.5</v>
      </c>
      <c r="F45" s="2843" t="s">
        <v>2481</v>
      </c>
      <c r="G45" s="2843"/>
    </row>
    <row r="46" spans="1:7" ht="19.5" customHeight="1">
      <c r="A46" s="3488"/>
      <c r="B46" s="2855" t="s">
        <v>2632</v>
      </c>
      <c r="C46" s="2844" t="s">
        <v>2633</v>
      </c>
      <c r="D46" s="2845"/>
      <c r="E46" s="2846">
        <v>2</v>
      </c>
      <c r="F46" s="2843" t="s">
        <v>2482</v>
      </c>
      <c r="G46" s="2843"/>
    </row>
    <row r="47" spans="1:7" ht="19.5" customHeight="1">
      <c r="A47" s="3488"/>
      <c r="B47" s="3477" t="s">
        <v>2634</v>
      </c>
      <c r="C47" s="2844" t="s">
        <v>2483</v>
      </c>
      <c r="D47" s="2845"/>
      <c r="E47" s="2846">
        <v>1</v>
      </c>
      <c r="F47" s="2843" t="s">
        <v>2484</v>
      </c>
      <c r="G47" s="2843"/>
    </row>
    <row r="48" spans="1:7" ht="19.5" customHeight="1">
      <c r="A48" s="3488"/>
      <c r="B48" s="3479"/>
      <c r="C48" s="2844" t="s">
        <v>2485</v>
      </c>
      <c r="D48" s="2845"/>
      <c r="E48" s="2846">
        <v>1</v>
      </c>
      <c r="F48" s="2843" t="s">
        <v>2486</v>
      </c>
      <c r="G48" s="2843"/>
    </row>
    <row r="49" spans="1:7" ht="19.5" customHeight="1">
      <c r="A49" s="3488"/>
      <c r="B49" s="3479"/>
      <c r="C49" s="2844" t="s">
        <v>2487</v>
      </c>
      <c r="D49" s="2845"/>
      <c r="E49" s="2846">
        <v>1</v>
      </c>
      <c r="F49" s="2843" t="s">
        <v>2488</v>
      </c>
      <c r="G49" s="2843"/>
    </row>
    <row r="50" spans="1:7" ht="19.5" customHeight="1">
      <c r="A50" s="3488"/>
      <c r="B50" s="3479"/>
      <c r="C50" s="2844" t="s">
        <v>2489</v>
      </c>
      <c r="D50" s="2845"/>
      <c r="E50" s="2846">
        <v>1</v>
      </c>
      <c r="F50" s="2843" t="s">
        <v>2490</v>
      </c>
      <c r="G50" s="2843"/>
    </row>
    <row r="51" spans="1:7" ht="19.5" customHeight="1">
      <c r="A51" s="3488"/>
      <c r="B51" s="3479"/>
      <c r="C51" s="2844" t="s">
        <v>2491</v>
      </c>
      <c r="D51" s="2845"/>
      <c r="E51" s="2846">
        <v>1</v>
      </c>
      <c r="F51" s="2843" t="s">
        <v>2492</v>
      </c>
      <c r="G51" s="2843"/>
    </row>
    <row r="52" spans="1:7" ht="19.5" customHeight="1">
      <c r="A52" s="3488"/>
      <c r="B52" s="3479"/>
      <c r="C52" s="2844" t="s">
        <v>2493</v>
      </c>
      <c r="D52" s="2845"/>
      <c r="E52" s="2846">
        <v>1</v>
      </c>
      <c r="F52" s="2843" t="s">
        <v>2494</v>
      </c>
      <c r="G52" s="2843"/>
    </row>
    <row r="53" spans="1:7" ht="19.5" customHeight="1" thickBot="1">
      <c r="A53" s="3489"/>
      <c r="B53" s="3486"/>
      <c r="C53" s="2847" t="s">
        <v>2495</v>
      </c>
      <c r="D53" s="2848"/>
      <c r="E53" s="2849">
        <v>1</v>
      </c>
      <c r="F53" s="2843" t="s">
        <v>2496</v>
      </c>
      <c r="G53" s="2843"/>
    </row>
    <row r="54" spans="1:7" ht="19.5" customHeight="1">
      <c r="A54" s="2856"/>
      <c r="B54" s="2856"/>
      <c r="C54" s="2856"/>
      <c r="D54" s="2856"/>
      <c r="E54" s="2856"/>
      <c r="F54" s="2856"/>
      <c r="G54" s="2856"/>
    </row>
    <row r="56" spans="1:7" ht="19.5" customHeight="1">
      <c r="A56" s="2857"/>
      <c r="B56" s="2829" t="s">
        <v>2635</v>
      </c>
      <c r="C56" s="2829" t="s">
        <v>2635</v>
      </c>
      <c r="D56" s="2829" t="s">
        <v>2635</v>
      </c>
      <c r="E56" s="2832" t="s">
        <v>2635</v>
      </c>
      <c r="F56" s="2832" t="s">
        <v>2636</v>
      </c>
      <c r="G56" s="2832" t="s">
        <v>2637</v>
      </c>
    </row>
    <row r="57" spans="1:7" ht="19.5" customHeight="1">
      <c r="A57" s="2858"/>
      <c r="B57" s="2832" t="s">
        <v>2604</v>
      </c>
      <c r="C57" s="2832" t="s">
        <v>2604</v>
      </c>
      <c r="D57" s="2832" t="s">
        <v>2604</v>
      </c>
      <c r="E57" s="2829" t="s">
        <v>2605</v>
      </c>
      <c r="F57" s="2829" t="s">
        <v>2607</v>
      </c>
      <c r="G57" s="2829" t="s">
        <v>2638</v>
      </c>
    </row>
    <row r="58" spans="1:7" ht="19.5" customHeight="1">
      <c r="A58" s="2859"/>
      <c r="B58" s="2829">
        <v>1</v>
      </c>
      <c r="C58" s="2829">
        <v>2</v>
      </c>
      <c r="D58" s="2829">
        <v>3</v>
      </c>
      <c r="E58" s="2860" t="s">
        <v>2639</v>
      </c>
      <c r="F58" s="2860" t="s">
        <v>2639</v>
      </c>
      <c r="G58" s="2860" t="s">
        <v>2639</v>
      </c>
    </row>
    <row r="59" spans="1:7" ht="19.5" customHeight="1">
      <c r="A59" s="2861" t="s">
        <v>2592</v>
      </c>
      <c r="B59" s="2829">
        <v>0.7</v>
      </c>
      <c r="C59" s="2829">
        <v>0.4</v>
      </c>
      <c r="D59" s="2829">
        <v>0.3</v>
      </c>
      <c r="E59" s="2860">
        <v>0.3</v>
      </c>
      <c r="F59" s="2829">
        <v>0.3</v>
      </c>
      <c r="G59" s="2829">
        <v>0.2</v>
      </c>
    </row>
    <row r="60" spans="1:7" ht="19.5" customHeight="1">
      <c r="A60" s="2861" t="s">
        <v>2593</v>
      </c>
      <c r="B60" s="2829">
        <v>0.7</v>
      </c>
      <c r="C60" s="2829">
        <v>0.4</v>
      </c>
      <c r="D60" s="2829">
        <v>0.3</v>
      </c>
      <c r="E60" s="2829">
        <v>0.3</v>
      </c>
      <c r="F60" s="2829">
        <v>0.3</v>
      </c>
      <c r="G60" s="2829">
        <v>0.2</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0.6</v>
      </c>
      <c r="C64" s="2829">
        <v>0.3</v>
      </c>
      <c r="D64" s="2829">
        <v>0.25</v>
      </c>
      <c r="E64" s="2829">
        <v>0.25</v>
      </c>
      <c r="F64" s="2829">
        <v>0.25</v>
      </c>
      <c r="G64" s="2829">
        <v>0.15</v>
      </c>
    </row>
    <row r="65" spans="1:7" ht="19.5" customHeight="1">
      <c r="A65" s="2861" t="s">
        <v>2598</v>
      </c>
      <c r="B65" s="2829">
        <v>0.6</v>
      </c>
      <c r="C65" s="2829">
        <v>0.3</v>
      </c>
      <c r="D65" s="2829">
        <v>0.25</v>
      </c>
      <c r="E65" s="2829">
        <v>0.25</v>
      </c>
      <c r="F65" s="2829">
        <v>0.25</v>
      </c>
      <c r="G65" s="2829">
        <v>0.15</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69" spans="1:7" ht="19.5" customHeight="1">
      <c r="A69" s="2861" t="s">
        <v>2602</v>
      </c>
      <c r="B69" s="2829">
        <v>0.5</v>
      </c>
      <c r="C69" s="2829">
        <v>0.2</v>
      </c>
      <c r="D69" s="2829">
        <v>0.2</v>
      </c>
      <c r="E69" s="2829">
        <v>0.2</v>
      </c>
      <c r="F69" s="2829">
        <v>0.2</v>
      </c>
      <c r="G69" s="2829">
        <v>0.1</v>
      </c>
    </row>
    <row r="70" spans="1:7" ht="19.5" customHeight="1">
      <c r="A70" s="2861" t="s">
        <v>2603</v>
      </c>
      <c r="B70" s="2829">
        <v>0.5</v>
      </c>
      <c r="C70" s="2829">
        <v>0.2</v>
      </c>
      <c r="D70" s="2829">
        <v>0.2</v>
      </c>
      <c r="E70" s="2829">
        <v>0.2</v>
      </c>
      <c r="F70" s="2829">
        <v>0.2</v>
      </c>
      <c r="G70" s="2829">
        <v>0.1</v>
      </c>
    </row>
    <row r="72" spans="1:7" ht="19.5" customHeight="1">
      <c r="A72" s="2843"/>
      <c r="B72" s="2862"/>
      <c r="C72" s="2862"/>
      <c r="D72" s="2862" t="s">
        <v>2640</v>
      </c>
      <c r="E72" s="2862"/>
      <c r="F72" s="2862"/>
    </row>
    <row r="73" spans="1:7" ht="19.5" customHeight="1">
      <c r="A73" s="2855" t="s">
        <v>2641</v>
      </c>
      <c r="B73" s="2855" t="s">
        <v>2642</v>
      </c>
      <c r="C73" s="2855" t="s">
        <v>2643</v>
      </c>
      <c r="D73" s="2855" t="s">
        <v>2644</v>
      </c>
      <c r="E73" s="2855" t="s">
        <v>2645</v>
      </c>
      <c r="F73" s="2855" t="s">
        <v>2646</v>
      </c>
    </row>
    <row r="74" spans="1:7" ht="14">
      <c r="A74" s="2855"/>
      <c r="B74" s="2855"/>
      <c r="C74" s="2855" t="s">
        <v>2647</v>
      </c>
      <c r="D74" s="2855"/>
      <c r="E74" s="2855" t="s">
        <v>2618</v>
      </c>
      <c r="F74" s="2855" t="s">
        <v>2618</v>
      </c>
    </row>
    <row r="75" spans="1:7" ht="14">
      <c r="A75" s="2855">
        <v>1</v>
      </c>
      <c r="B75" s="3477" t="s">
        <v>2648</v>
      </c>
      <c r="C75" s="2829" t="s">
        <v>2649</v>
      </c>
      <c r="D75" s="2829" t="s">
        <v>2650</v>
      </c>
      <c r="E75" s="2855">
        <v>0.2</v>
      </c>
      <c r="F75" s="2855">
        <v>25</v>
      </c>
    </row>
    <row r="76" spans="1:7" ht="26">
      <c r="A76" s="2855">
        <v>2</v>
      </c>
      <c r="B76" s="3479"/>
      <c r="C76" s="2829" t="s">
        <v>2651</v>
      </c>
      <c r="D76" s="2829" t="s">
        <v>2652</v>
      </c>
      <c r="E76" s="2855">
        <v>0.2</v>
      </c>
      <c r="F76" s="2855">
        <v>25</v>
      </c>
    </row>
    <row r="77" spans="1:7" ht="26">
      <c r="A77" s="2855">
        <v>3</v>
      </c>
      <c r="B77" s="3479"/>
      <c r="C77" s="2829" t="s">
        <v>2653</v>
      </c>
      <c r="D77" s="2829" t="s">
        <v>2654</v>
      </c>
      <c r="E77" s="2855">
        <v>0.2</v>
      </c>
      <c r="F77" s="2855">
        <v>25</v>
      </c>
    </row>
    <row r="78" spans="1:7" ht="14">
      <c r="A78" s="2855">
        <v>4</v>
      </c>
      <c r="B78" s="3479"/>
      <c r="C78" s="2829" t="s">
        <v>2655</v>
      </c>
      <c r="D78" s="2829" t="s">
        <v>2656</v>
      </c>
      <c r="E78" s="2855">
        <v>0.15</v>
      </c>
      <c r="F78" s="2855">
        <v>20</v>
      </c>
    </row>
    <row r="79" spans="1:7" ht="26">
      <c r="A79" s="2855">
        <v>5</v>
      </c>
      <c r="B79" s="3479"/>
      <c r="C79" s="2829" t="s">
        <v>2657</v>
      </c>
      <c r="D79" s="2829" t="s">
        <v>2658</v>
      </c>
      <c r="E79" s="2855">
        <v>0.15</v>
      </c>
      <c r="F79" s="2855">
        <v>20</v>
      </c>
    </row>
    <row r="80" spans="1:7" ht="26">
      <c r="A80" s="2855">
        <v>6</v>
      </c>
      <c r="B80" s="3479"/>
      <c r="C80" s="2829" t="s">
        <v>2659</v>
      </c>
      <c r="D80" s="2829" t="s">
        <v>2660</v>
      </c>
      <c r="E80" s="2855">
        <v>0.15</v>
      </c>
      <c r="F80" s="2855">
        <v>20</v>
      </c>
    </row>
    <row r="81" spans="1:6" ht="26">
      <c r="A81" s="2855">
        <v>7</v>
      </c>
      <c r="B81" s="3479"/>
      <c r="C81" s="2829" t="s">
        <v>2661</v>
      </c>
      <c r="D81" s="2829" t="s">
        <v>2662</v>
      </c>
      <c r="E81" s="2855">
        <v>0.15</v>
      </c>
      <c r="F81" s="2855">
        <v>20</v>
      </c>
    </row>
    <row r="82" spans="1:6" ht="26">
      <c r="A82" s="2855">
        <v>8</v>
      </c>
      <c r="B82" s="3479"/>
      <c r="C82" s="2829" t="s">
        <v>2663</v>
      </c>
      <c r="D82" s="2829" t="s">
        <v>2664</v>
      </c>
      <c r="E82" s="2855">
        <v>0.1</v>
      </c>
      <c r="F82" s="2855">
        <v>15</v>
      </c>
    </row>
    <row r="83" spans="1:6" ht="26">
      <c r="A83" s="2855">
        <v>9</v>
      </c>
      <c r="B83" s="3479"/>
      <c r="C83" s="2829" t="s">
        <v>2665</v>
      </c>
      <c r="D83" s="2829" t="s">
        <v>2666</v>
      </c>
      <c r="E83" s="2855">
        <v>0.1</v>
      </c>
      <c r="F83" s="2855">
        <v>15</v>
      </c>
    </row>
    <row r="84" spans="1:6" ht="26">
      <c r="A84" s="2855">
        <v>10</v>
      </c>
      <c r="B84" s="3479"/>
      <c r="C84" s="2829" t="s">
        <v>2667</v>
      </c>
      <c r="D84" s="2829" t="s">
        <v>2668</v>
      </c>
      <c r="E84" s="2855">
        <v>0.1</v>
      </c>
      <c r="F84" s="2855">
        <v>15</v>
      </c>
    </row>
    <row r="85" spans="1:6" ht="26">
      <c r="A85" s="2855">
        <v>11</v>
      </c>
      <c r="B85" s="3479"/>
      <c r="C85" s="2829" t="s">
        <v>2669</v>
      </c>
      <c r="D85" s="2829" t="s">
        <v>2670</v>
      </c>
      <c r="E85" s="2855">
        <v>0.1</v>
      </c>
      <c r="F85" s="2855">
        <v>15</v>
      </c>
    </row>
    <row r="86" spans="1:6" ht="26">
      <c r="A86" s="2855">
        <v>12</v>
      </c>
      <c r="B86" s="3479"/>
      <c r="C86" s="2829" t="s">
        <v>2671</v>
      </c>
      <c r="D86" s="2829" t="s">
        <v>2672</v>
      </c>
      <c r="E86" s="2855">
        <v>0.1</v>
      </c>
      <c r="F86" s="2855">
        <v>15</v>
      </c>
    </row>
    <row r="87" spans="1:6" ht="14">
      <c r="A87" s="2855">
        <v>13</v>
      </c>
      <c r="B87" s="3479"/>
      <c r="C87" s="2829" t="s">
        <v>2673</v>
      </c>
      <c r="D87" s="2829" t="s">
        <v>2674</v>
      </c>
      <c r="E87" s="2855">
        <v>0.1</v>
      </c>
      <c r="F87" s="2855">
        <v>15</v>
      </c>
    </row>
    <row r="88" spans="1:6" ht="14">
      <c r="A88" s="2855">
        <v>14</v>
      </c>
      <c r="B88" s="3479"/>
      <c r="C88" s="2829" t="s">
        <v>2675</v>
      </c>
      <c r="D88" s="2829" t="s">
        <v>2676</v>
      </c>
      <c r="E88" s="2855">
        <v>0.1</v>
      </c>
      <c r="F88" s="2855">
        <v>15</v>
      </c>
    </row>
    <row r="89" spans="1:6" ht="14">
      <c r="A89" s="2855">
        <v>15</v>
      </c>
      <c r="B89" s="3479"/>
      <c r="C89" s="2829" t="s">
        <v>2677</v>
      </c>
      <c r="D89" s="2829" t="s">
        <v>2678</v>
      </c>
      <c r="E89" s="2855">
        <v>0.1</v>
      </c>
      <c r="F89" s="2855">
        <v>15</v>
      </c>
    </row>
    <row r="90" spans="1:6" ht="26">
      <c r="A90" s="2855">
        <v>16</v>
      </c>
      <c r="B90" s="3479"/>
      <c r="C90" s="2829" t="s">
        <v>2679</v>
      </c>
      <c r="D90" s="2829" t="s">
        <v>2680</v>
      </c>
      <c r="E90" s="2855">
        <v>0.1</v>
      </c>
      <c r="F90" s="2855">
        <v>15</v>
      </c>
    </row>
    <row r="91" spans="1:6" ht="26">
      <c r="A91" s="2855">
        <v>17</v>
      </c>
      <c r="B91" s="3478"/>
      <c r="C91" s="2829" t="s">
        <v>2681</v>
      </c>
      <c r="D91" s="2829" t="s">
        <v>2682</v>
      </c>
      <c r="E91" s="2855">
        <v>0.1</v>
      </c>
      <c r="F91" s="2855">
        <v>15</v>
      </c>
    </row>
    <row r="92" spans="1:6" ht="14">
      <c r="A92" s="2855">
        <v>18</v>
      </c>
      <c r="B92" s="3477" t="s">
        <v>2683</v>
      </c>
      <c r="C92" s="2829" t="s">
        <v>2684</v>
      </c>
      <c r="D92" s="2829" t="s">
        <v>2685</v>
      </c>
      <c r="E92" s="2855">
        <v>0.2</v>
      </c>
      <c r="F92" s="2855">
        <v>25</v>
      </c>
    </row>
    <row r="93" spans="1:6" ht="26">
      <c r="A93" s="2855">
        <v>19</v>
      </c>
      <c r="B93" s="3479"/>
      <c r="C93" s="2829" t="s">
        <v>2686</v>
      </c>
      <c r="D93" s="2829" t="s">
        <v>2687</v>
      </c>
      <c r="E93" s="2855">
        <v>0.2</v>
      </c>
      <c r="F93" s="2855">
        <v>25</v>
      </c>
    </row>
    <row r="94" spans="1:6" ht="14">
      <c r="A94" s="2855">
        <v>20</v>
      </c>
      <c r="B94" s="3479"/>
      <c r="C94" s="2829" t="s">
        <v>2688</v>
      </c>
      <c r="D94" s="2829" t="s">
        <v>2689</v>
      </c>
      <c r="E94" s="2855">
        <v>0.15</v>
      </c>
      <c r="F94" s="2855">
        <v>20</v>
      </c>
    </row>
    <row r="95" spans="1:6" ht="26">
      <c r="A95" s="2855">
        <v>21</v>
      </c>
      <c r="B95" s="3479"/>
      <c r="C95" s="2829" t="s">
        <v>2690</v>
      </c>
      <c r="D95" s="2829" t="s">
        <v>2691</v>
      </c>
      <c r="E95" s="2855">
        <v>0.15</v>
      </c>
      <c r="F95" s="2855">
        <v>20</v>
      </c>
    </row>
    <row r="96" spans="1:6" ht="26">
      <c r="A96" s="2855">
        <v>22</v>
      </c>
      <c r="B96" s="3479"/>
      <c r="C96" s="2829" t="s">
        <v>2692</v>
      </c>
      <c r="D96" s="2829" t="s">
        <v>2693</v>
      </c>
      <c r="E96" s="2855">
        <v>0.15</v>
      </c>
      <c r="F96" s="2855">
        <v>20</v>
      </c>
    </row>
    <row r="97" spans="1:6" ht="39">
      <c r="A97" s="2855">
        <v>23</v>
      </c>
      <c r="B97" s="3479"/>
      <c r="C97" s="2829" t="s">
        <v>2694</v>
      </c>
      <c r="D97" s="2829" t="s">
        <v>2695</v>
      </c>
      <c r="E97" s="2855">
        <v>0.15</v>
      </c>
      <c r="F97" s="2855">
        <v>20</v>
      </c>
    </row>
    <row r="98" spans="1:6" ht="14">
      <c r="A98" s="2855">
        <v>24</v>
      </c>
      <c r="B98" s="3479"/>
      <c r="C98" s="2829" t="s">
        <v>2696</v>
      </c>
      <c r="D98" s="2829" t="s">
        <v>2697</v>
      </c>
      <c r="E98" s="2855">
        <v>0.1</v>
      </c>
      <c r="F98" s="2855">
        <v>15</v>
      </c>
    </row>
    <row r="99" spans="1:6" ht="26">
      <c r="A99" s="2855">
        <v>25</v>
      </c>
      <c r="B99" s="3479"/>
      <c r="C99" s="2829" t="s">
        <v>2698</v>
      </c>
      <c r="D99" s="2829" t="s">
        <v>2699</v>
      </c>
      <c r="E99" s="2855">
        <v>0.1</v>
      </c>
      <c r="F99" s="2855">
        <v>15</v>
      </c>
    </row>
    <row r="100" spans="1:6" ht="26">
      <c r="A100" s="2855">
        <v>26</v>
      </c>
      <c r="B100" s="3479"/>
      <c r="C100" s="2829" t="s">
        <v>2700</v>
      </c>
      <c r="D100" s="2829" t="s">
        <v>2701</v>
      </c>
      <c r="E100" s="2855">
        <v>0.1</v>
      </c>
      <c r="F100" s="2855">
        <v>15</v>
      </c>
    </row>
    <row r="101" spans="1:6" ht="26">
      <c r="A101" s="2855">
        <v>27</v>
      </c>
      <c r="B101" s="3479"/>
      <c r="C101" s="2829" t="s">
        <v>2702</v>
      </c>
      <c r="D101" s="2829" t="s">
        <v>2703</v>
      </c>
      <c r="E101" s="2855">
        <v>0.1</v>
      </c>
      <c r="F101" s="2855">
        <v>15</v>
      </c>
    </row>
    <row r="102" spans="1:6" ht="26">
      <c r="A102" s="2855">
        <v>28</v>
      </c>
      <c r="B102" s="3479"/>
      <c r="C102" s="2829" t="s">
        <v>2704</v>
      </c>
      <c r="D102" s="2829" t="s">
        <v>2705</v>
      </c>
      <c r="E102" s="2855">
        <v>0.1</v>
      </c>
      <c r="F102" s="2855">
        <v>15</v>
      </c>
    </row>
    <row r="103" spans="1:6" ht="26">
      <c r="A103" s="2855">
        <v>29</v>
      </c>
      <c r="B103" s="3479"/>
      <c r="C103" s="2829" t="s">
        <v>2706</v>
      </c>
      <c r="D103" s="2829" t="s">
        <v>2707</v>
      </c>
      <c r="E103" s="2855">
        <v>0.1</v>
      </c>
      <c r="F103" s="2855">
        <v>15</v>
      </c>
    </row>
    <row r="104" spans="1:6" ht="26">
      <c r="A104" s="2855">
        <v>30</v>
      </c>
      <c r="B104" s="3479"/>
      <c r="C104" s="2829" t="s">
        <v>2708</v>
      </c>
      <c r="D104" s="2829" t="s">
        <v>2709</v>
      </c>
      <c r="E104" s="2855">
        <v>0.1</v>
      </c>
      <c r="F104" s="2855">
        <v>15</v>
      </c>
    </row>
    <row r="105" spans="1:6" ht="26">
      <c r="A105" s="2855">
        <v>31</v>
      </c>
      <c r="B105" s="3479"/>
      <c r="C105" s="2829" t="s">
        <v>2710</v>
      </c>
      <c r="D105" s="2829" t="s">
        <v>2711</v>
      </c>
      <c r="E105" s="2855">
        <v>0.1</v>
      </c>
      <c r="F105" s="2855">
        <v>15</v>
      </c>
    </row>
    <row r="106" spans="1:6" ht="26">
      <c r="A106" s="2855">
        <v>32</v>
      </c>
      <c r="B106" s="3479"/>
      <c r="C106" s="2829" t="s">
        <v>2712</v>
      </c>
      <c r="D106" s="2829" t="s">
        <v>2713</v>
      </c>
      <c r="E106" s="2855">
        <v>0.1</v>
      </c>
      <c r="F106" s="2855">
        <v>15</v>
      </c>
    </row>
    <row r="107" spans="1:6" ht="26">
      <c r="A107" s="2855">
        <v>33</v>
      </c>
      <c r="B107" s="3479"/>
      <c r="C107" s="2829" t="s">
        <v>2714</v>
      </c>
      <c r="D107" s="2829" t="s">
        <v>2715</v>
      </c>
      <c r="E107" s="2855">
        <v>0.1</v>
      </c>
      <c r="F107" s="2855">
        <v>15</v>
      </c>
    </row>
    <row r="108" spans="1:6" ht="26">
      <c r="A108" s="2855">
        <v>34</v>
      </c>
      <c r="B108" s="3478"/>
      <c r="C108" s="2829" t="s">
        <v>2716</v>
      </c>
      <c r="D108" s="2829" t="s">
        <v>2717</v>
      </c>
      <c r="E108" s="2855">
        <v>0.1</v>
      </c>
      <c r="F108" s="2855">
        <v>15</v>
      </c>
    </row>
    <row r="109" spans="1:6" ht="26">
      <c r="A109" s="2855">
        <v>35</v>
      </c>
      <c r="B109" s="3477" t="s">
        <v>2718</v>
      </c>
      <c r="C109" s="2855" t="s">
        <v>2719</v>
      </c>
      <c r="D109" s="2829" t="s">
        <v>2720</v>
      </c>
      <c r="E109" s="2855">
        <v>0.15</v>
      </c>
      <c r="F109" s="2855">
        <v>20</v>
      </c>
    </row>
    <row r="110" spans="1:6" ht="26">
      <c r="A110" s="2855">
        <v>36</v>
      </c>
      <c r="B110" s="3479"/>
      <c r="C110" s="2855" t="s">
        <v>2721</v>
      </c>
      <c r="D110" s="2829" t="s">
        <v>2722</v>
      </c>
      <c r="E110" s="2855">
        <v>0.15</v>
      </c>
      <c r="F110" s="2855">
        <v>20</v>
      </c>
    </row>
    <row r="111" spans="1:6" ht="26">
      <c r="A111" s="2855">
        <v>37</v>
      </c>
      <c r="B111" s="3479"/>
      <c r="C111" s="2855" t="s">
        <v>2723</v>
      </c>
      <c r="D111" s="2829" t="s">
        <v>2724</v>
      </c>
      <c r="E111" s="2855">
        <v>0.15</v>
      </c>
      <c r="F111" s="2855">
        <v>20</v>
      </c>
    </row>
    <row r="112" spans="1:6" ht="14">
      <c r="A112" s="2855">
        <v>38</v>
      </c>
      <c r="B112" s="3479"/>
      <c r="C112" s="2855" t="s">
        <v>2725</v>
      </c>
      <c r="D112" s="2829" t="s">
        <v>2726</v>
      </c>
      <c r="E112" s="2855">
        <v>0.1</v>
      </c>
      <c r="F112" s="2855">
        <v>15</v>
      </c>
    </row>
    <row r="113" spans="1:6" ht="26">
      <c r="A113" s="2855">
        <v>39</v>
      </c>
      <c r="B113" s="3479"/>
      <c r="C113" s="2855" t="s">
        <v>2727</v>
      </c>
      <c r="D113" s="2829" t="s">
        <v>2728</v>
      </c>
      <c r="E113" s="2855">
        <v>0.1</v>
      </c>
      <c r="F113" s="2855">
        <v>15</v>
      </c>
    </row>
    <row r="114" spans="1:6" ht="26">
      <c r="A114" s="2855">
        <v>40</v>
      </c>
      <c r="B114" s="3478"/>
      <c r="C114" s="2855" t="s">
        <v>2729</v>
      </c>
      <c r="D114" s="2829" t="s">
        <v>2730</v>
      </c>
      <c r="E114" s="2855">
        <v>0.1</v>
      </c>
      <c r="F114" s="2855">
        <v>15</v>
      </c>
    </row>
    <row r="115" spans="1:6" ht="26">
      <c r="A115" s="2855">
        <v>41</v>
      </c>
      <c r="B115" s="3476" t="s">
        <v>2731</v>
      </c>
      <c r="C115" s="2855" t="s">
        <v>2732</v>
      </c>
      <c r="D115" s="2829" t="s">
        <v>2733</v>
      </c>
      <c r="E115" s="2855">
        <v>0.1</v>
      </c>
      <c r="F115" s="2855">
        <v>15</v>
      </c>
    </row>
    <row r="116" spans="1:6" ht="14">
      <c r="A116" s="2855">
        <v>42</v>
      </c>
      <c r="B116" s="3476"/>
      <c r="C116" s="2855" t="s">
        <v>2734</v>
      </c>
      <c r="D116" s="2829" t="s">
        <v>2735</v>
      </c>
      <c r="E116" s="2855">
        <v>0.1</v>
      </c>
      <c r="F116" s="2855">
        <v>15</v>
      </c>
    </row>
    <row r="117" spans="1:6" ht="26">
      <c r="A117" s="2855">
        <v>43</v>
      </c>
      <c r="B117" s="3476"/>
      <c r="C117" s="2855" t="s">
        <v>2736</v>
      </c>
      <c r="D117" s="2829" t="s">
        <v>2737</v>
      </c>
      <c r="E117" s="2855">
        <v>0.1</v>
      </c>
      <c r="F117" s="2855">
        <v>15</v>
      </c>
    </row>
    <row r="118" spans="1:6" ht="26">
      <c r="A118" s="2855">
        <v>44</v>
      </c>
      <c r="B118" s="3477" t="s">
        <v>2738</v>
      </c>
      <c r="C118" s="2855" t="s">
        <v>2739</v>
      </c>
      <c r="D118" s="2829" t="s">
        <v>2740</v>
      </c>
      <c r="E118" s="2855">
        <v>0.1</v>
      </c>
      <c r="F118" s="2855">
        <v>15</v>
      </c>
    </row>
    <row r="119" spans="1:6" ht="26">
      <c r="A119" s="2855">
        <v>45</v>
      </c>
      <c r="B119" s="3478"/>
      <c r="C119" s="2829" t="s">
        <v>2741</v>
      </c>
      <c r="D119" s="2829" t="s">
        <v>2742</v>
      </c>
      <c r="E119" s="2855">
        <v>0.1</v>
      </c>
      <c r="F119" s="2855">
        <v>15</v>
      </c>
    </row>
    <row r="120" spans="1:6" ht="26">
      <c r="A120" s="2855">
        <v>46</v>
      </c>
      <c r="B120" s="3477" t="s">
        <v>2743</v>
      </c>
      <c r="C120" s="2855" t="s">
        <v>2744</v>
      </c>
      <c r="D120" s="2829" t="s">
        <v>2745</v>
      </c>
      <c r="E120" s="2855">
        <v>0.1</v>
      </c>
      <c r="F120" s="2855">
        <v>15</v>
      </c>
    </row>
    <row r="121" spans="1:6" ht="26">
      <c r="A121" s="2855">
        <v>47</v>
      </c>
      <c r="B121" s="3478"/>
      <c r="C121" s="2855" t="s">
        <v>2746</v>
      </c>
      <c r="D121" s="2829" t="s">
        <v>2747</v>
      </c>
      <c r="E121" s="2855">
        <v>0.1</v>
      </c>
      <c r="F121" s="2855">
        <v>15</v>
      </c>
    </row>
    <row r="122" spans="1:6" ht="26">
      <c r="A122" s="2855">
        <v>48</v>
      </c>
      <c r="B122" s="3477" t="s">
        <v>2748</v>
      </c>
      <c r="C122" s="2855" t="s">
        <v>2749</v>
      </c>
      <c r="D122" s="2829" t="s">
        <v>2750</v>
      </c>
      <c r="E122" s="2855">
        <v>0.1</v>
      </c>
      <c r="F122" s="2855">
        <v>15</v>
      </c>
    </row>
    <row r="123" spans="1:6" ht="14">
      <c r="A123" s="2855">
        <v>49</v>
      </c>
      <c r="B123" s="3478"/>
      <c r="C123" s="2855" t="s">
        <v>2751</v>
      </c>
      <c r="D123" s="2829" t="s">
        <v>2752</v>
      </c>
      <c r="E123" s="2855">
        <v>0.1</v>
      </c>
      <c r="F123" s="2855">
        <v>15</v>
      </c>
    </row>
    <row r="124" spans="1:6" ht="26">
      <c r="A124" s="2855">
        <v>50</v>
      </c>
      <c r="B124" s="3476" t="s">
        <v>2753</v>
      </c>
      <c r="C124" s="2855" t="s">
        <v>2754</v>
      </c>
      <c r="D124" s="2829" t="s">
        <v>2755</v>
      </c>
      <c r="E124" s="2855">
        <v>0.1</v>
      </c>
      <c r="F124" s="2855">
        <v>15</v>
      </c>
    </row>
    <row r="125" spans="1:6" ht="26">
      <c r="A125" s="2855">
        <v>51</v>
      </c>
      <c r="B125" s="3476"/>
      <c r="C125" s="2855" t="s">
        <v>2756</v>
      </c>
      <c r="D125" s="2829" t="s">
        <v>2757</v>
      </c>
      <c r="E125" s="2855">
        <v>0.1</v>
      </c>
      <c r="F125" s="2855">
        <v>15</v>
      </c>
    </row>
    <row r="126" spans="1:6" ht="26">
      <c r="A126" s="2855">
        <v>52</v>
      </c>
      <c r="B126" s="3476" t="s">
        <v>2758</v>
      </c>
      <c r="C126" s="2855" t="s">
        <v>2759</v>
      </c>
      <c r="D126" s="2829" t="s">
        <v>2760</v>
      </c>
      <c r="E126" s="2855">
        <v>0.1</v>
      </c>
      <c r="F126" s="2855">
        <v>15</v>
      </c>
    </row>
    <row r="127" spans="1:6" ht="26">
      <c r="A127" s="2855">
        <v>53</v>
      </c>
      <c r="B127" s="3476"/>
      <c r="C127" s="2855" t="s">
        <v>2761</v>
      </c>
      <c r="D127" s="2829" t="s">
        <v>2762</v>
      </c>
      <c r="E127" s="2855">
        <v>0.1</v>
      </c>
      <c r="F127" s="2855">
        <v>15</v>
      </c>
    </row>
    <row r="128" spans="1:6" ht="26">
      <c r="A128" s="2855">
        <v>54</v>
      </c>
      <c r="B128" s="2855" t="s">
        <v>2763</v>
      </c>
      <c r="C128" s="2855" t="s">
        <v>2764</v>
      </c>
      <c r="D128" s="2829" t="s">
        <v>2765</v>
      </c>
      <c r="E128" s="2855">
        <v>0.1</v>
      </c>
      <c r="F128" s="2855">
        <v>15</v>
      </c>
    </row>
    <row r="129" spans="1:6" ht="14">
      <c r="A129" s="2855">
        <v>55</v>
      </c>
      <c r="B129" s="3476" t="s">
        <v>2766</v>
      </c>
      <c r="C129" s="2855" t="s">
        <v>2767</v>
      </c>
      <c r="D129" s="2829" t="s">
        <v>2768</v>
      </c>
      <c r="E129" s="2855">
        <v>0.1</v>
      </c>
      <c r="F129" s="2855">
        <v>15</v>
      </c>
    </row>
    <row r="130" spans="1:6" ht="14">
      <c r="A130" s="2855">
        <v>56</v>
      </c>
      <c r="B130" s="3476"/>
      <c r="C130" s="2855" t="s">
        <v>2769</v>
      </c>
      <c r="D130" s="2829" t="s">
        <v>2770</v>
      </c>
      <c r="E130" s="2855">
        <v>0.1</v>
      </c>
      <c r="F130" s="2855">
        <v>15</v>
      </c>
    </row>
    <row r="131" spans="1:6" ht="26">
      <c r="A131" s="2855">
        <v>57</v>
      </c>
      <c r="B131" s="3476"/>
      <c r="C131" s="2855" t="s">
        <v>2771</v>
      </c>
      <c r="D131" s="2829" t="s">
        <v>2772</v>
      </c>
      <c r="E131" s="2855">
        <v>0.1</v>
      </c>
      <c r="F131" s="2855">
        <v>15</v>
      </c>
    </row>
    <row r="132" spans="1:6" ht="26">
      <c r="A132" s="2855">
        <v>58</v>
      </c>
      <c r="B132" s="3476" t="s">
        <v>2773</v>
      </c>
      <c r="C132" s="2855" t="s">
        <v>2774</v>
      </c>
      <c r="D132" s="2829" t="s">
        <v>2775</v>
      </c>
      <c r="E132" s="2855">
        <v>0.1</v>
      </c>
      <c r="F132" s="2855">
        <v>15</v>
      </c>
    </row>
    <row r="133" spans="1:6" ht="26">
      <c r="A133" s="2855">
        <v>59</v>
      </c>
      <c r="B133" s="3476"/>
      <c r="C133" s="2855" t="s">
        <v>2776</v>
      </c>
      <c r="D133" s="2829" t="s">
        <v>2777</v>
      </c>
      <c r="E133" s="2855">
        <v>0.1</v>
      </c>
      <c r="F133" s="2855">
        <v>15</v>
      </c>
    </row>
    <row r="134" spans="1:6" ht="26">
      <c r="A134" s="2855">
        <v>60</v>
      </c>
      <c r="B134" s="3477" t="s">
        <v>2778</v>
      </c>
      <c r="C134" s="2855" t="s">
        <v>2779</v>
      </c>
      <c r="D134" s="2829" t="s">
        <v>2780</v>
      </c>
      <c r="E134" s="2855">
        <v>0.1</v>
      </c>
      <c r="F134" s="2855">
        <v>15</v>
      </c>
    </row>
    <row r="135" spans="1:6" ht="26">
      <c r="A135" s="2855">
        <v>61</v>
      </c>
      <c r="B135" s="3478"/>
      <c r="C135" s="2855" t="s">
        <v>2781</v>
      </c>
      <c r="D135" s="2829" t="s">
        <v>2782</v>
      </c>
      <c r="E135" s="2855">
        <v>0.1</v>
      </c>
      <c r="F135" s="2855">
        <v>15</v>
      </c>
    </row>
    <row r="136" spans="1:6" ht="26">
      <c r="A136" s="2855">
        <v>62</v>
      </c>
      <c r="B136" s="2855" t="s">
        <v>2783</v>
      </c>
      <c r="C136" s="2855" t="s">
        <v>2784</v>
      </c>
      <c r="D136" s="2829" t="s">
        <v>2785</v>
      </c>
      <c r="E136" s="2855">
        <v>0.1</v>
      </c>
      <c r="F136" s="2855">
        <v>15</v>
      </c>
    </row>
    <row r="137" spans="1:6" ht="26">
      <c r="A137" s="2855">
        <v>63</v>
      </c>
      <c r="B137" s="3476" t="s">
        <v>2786</v>
      </c>
      <c r="C137" s="2855" t="s">
        <v>2787</v>
      </c>
      <c r="D137" s="2829" t="s">
        <v>2788</v>
      </c>
      <c r="E137" s="2855">
        <v>0.1</v>
      </c>
      <c r="F137" s="2855">
        <v>15</v>
      </c>
    </row>
    <row r="138" spans="1:6" ht="14">
      <c r="A138" s="2855">
        <v>64</v>
      </c>
      <c r="B138" s="3476"/>
      <c r="C138" s="2855" t="s">
        <v>2789</v>
      </c>
      <c r="D138" s="2829" t="s">
        <v>2790</v>
      </c>
      <c r="E138" s="2855">
        <v>0.1</v>
      </c>
      <c r="F138" s="2855">
        <v>15</v>
      </c>
    </row>
    <row r="139" spans="1:6" ht="26">
      <c r="A139" s="2855">
        <v>65</v>
      </c>
      <c r="B139" s="2855" t="s">
        <v>2791</v>
      </c>
      <c r="C139" s="2855" t="s">
        <v>2792</v>
      </c>
      <c r="D139" s="2829" t="s">
        <v>2793</v>
      </c>
      <c r="E139" s="2855">
        <v>0.1</v>
      </c>
      <c r="F139" s="2855">
        <v>15</v>
      </c>
    </row>
    <row r="140" spans="1:6" ht="14">
      <c r="A140" s="2855"/>
      <c r="B140" s="2855"/>
      <c r="C140" s="2855"/>
      <c r="D140" s="2855"/>
      <c r="E140" s="2855" t="s">
        <v>2794</v>
      </c>
      <c r="F140" s="2855"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2795</v>
      </c>
      <c r="B1" s="2863"/>
      <c r="C1" s="2863"/>
      <c r="D1" s="2863"/>
      <c r="E1" s="2863"/>
      <c r="F1" s="2863"/>
      <c r="G1" s="2863"/>
      <c r="H1" s="2863"/>
      <c r="I1" s="2863"/>
      <c r="J1" s="2863"/>
      <c r="K1" s="2863"/>
      <c r="L1" s="2863"/>
      <c r="M1" s="2863"/>
      <c r="N1" s="707"/>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0</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29191</v>
      </c>
      <c r="C2" s="2" t="s">
        <v>106</v>
      </c>
      <c r="D2" s="191"/>
      <c r="E2" s="191"/>
      <c r="F2" s="191"/>
      <c r="G2" s="191"/>
    </row>
    <row r="3" spans="1:7" s="192" customFormat="1" ht="18" customHeight="1" thickBot="1">
      <c r="A3" s="195" t="s">
        <v>58</v>
      </c>
      <c r="B3" s="196">
        <f ca="1">ROUND(B2*10000/'数据-汇总表'!E3,0)</f>
        <v>371751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16</v>
      </c>
      <c r="D10" s="795">
        <f>'数据-汇总表'!E6</f>
        <v>785.23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v>
      </c>
      <c r="D19" s="204">
        <f>'数据-汇总表'!E3</f>
        <v>785.23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4208</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4208</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28817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352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314</v>
      </c>
      <c r="D34" s="209"/>
      <c r="E34" s="212"/>
      <c r="F34" s="249">
        <f>IF('数据-取费表'!B24=0,1,'数据-取费表'!N16)</f>
        <v>1</v>
      </c>
      <c r="G34" s="211" t="s">
        <v>89</v>
      </c>
    </row>
    <row r="35" spans="1:7" ht="13.5" customHeight="1">
      <c r="A35" s="734" t="s">
        <v>351</v>
      </c>
      <c r="B35" s="207" t="s">
        <v>33</v>
      </c>
      <c r="C35" s="212">
        <f>ROUND(C34*F35,0)</f>
        <v>16</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v>
      </c>
      <c r="D37" s="209">
        <f>'数据-汇总表'!E3</f>
        <v>785.23</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72</v>
      </c>
      <c r="D45" s="227">
        <f>C47</f>
        <v>4.0000000000000001E-3</v>
      </c>
      <c r="E45" s="228" t="s">
        <v>102</v>
      </c>
      <c r="F45" s="238"/>
      <c r="G45" s="239" t="s">
        <v>434</v>
      </c>
    </row>
    <row r="46" spans="1:7" s="206" customFormat="1" ht="13.5" customHeight="1">
      <c r="A46" s="734" t="s">
        <v>349</v>
      </c>
      <c r="B46" s="240" t="s">
        <v>427</v>
      </c>
      <c r="C46" s="241">
        <f>ROUND((C33+C39)*F27,0)</f>
        <v>72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479</v>
      </c>
      <c r="D49" s="224"/>
      <c r="E49" s="224"/>
      <c r="F49" s="256"/>
      <c r="G49" s="226" t="s">
        <v>435</v>
      </c>
    </row>
    <row r="50" spans="1:7" s="250" customFormat="1" ht="26">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374</v>
      </c>
      <c r="D51" s="224"/>
      <c r="E51" s="224"/>
      <c r="F51" s="256"/>
      <c r="G51" s="226" t="s">
        <v>37</v>
      </c>
    </row>
    <row r="52" spans="1:7" s="200" customFormat="1" ht="16.5" thickBot="1">
      <c r="A52" s="257" t="s">
        <v>38</v>
      </c>
      <c r="B52" s="258"/>
      <c r="C52" s="259">
        <f ca="1">C31+C51</f>
        <v>29191</v>
      </c>
      <c r="D52" s="258"/>
      <c r="E52" s="258"/>
      <c r="F52" s="258"/>
      <c r="G52" s="260"/>
    </row>
    <row r="55" spans="1:7" ht="15.5">
      <c r="B55" s="262" t="s">
        <v>39</v>
      </c>
      <c r="C55" s="263"/>
    </row>
    <row r="56" spans="1:7" ht="13">
      <c r="B56" s="265" t="s">
        <v>40</v>
      </c>
      <c r="C56" s="266">
        <f ca="1">ROUND(C51/C52,3)</f>
        <v>1.2999999999999999E-2</v>
      </c>
    </row>
    <row r="57" spans="1:7" ht="13">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90" t="s">
        <v>3178</v>
      </c>
      <c r="B1" s="3490"/>
    </row>
    <row r="2" spans="1:7" ht="14.5" thickBot="1">
      <c r="A2" s="2966"/>
      <c r="B2" s="2966"/>
    </row>
    <row r="3" spans="1:7" ht="14.5" thickBot="1">
      <c r="A3" s="2966"/>
      <c r="B3" s="2966"/>
      <c r="C3" s="2967" t="s">
        <v>2808</v>
      </c>
      <c r="D3" s="2967" t="s">
        <v>2864</v>
      </c>
      <c r="E3" s="2967" t="s">
        <v>2810</v>
      </c>
      <c r="F3" s="2967" t="s">
        <v>2865</v>
      </c>
      <c r="G3" s="2967" t="s">
        <v>2628</v>
      </c>
    </row>
    <row r="4" spans="1:7" ht="14.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4.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4.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4.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4.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4.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4.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4.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4.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4.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4.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491" t="s">
        <v>3229</v>
      </c>
      <c r="B1" s="3491"/>
      <c r="C1" s="3491"/>
      <c r="D1" s="3491"/>
      <c r="E1" s="3491"/>
      <c r="F1" s="3492"/>
    </row>
    <row r="2" spans="1:6">
      <c r="A2" s="3000" t="s">
        <v>3230</v>
      </c>
    </row>
    <row r="3" spans="1:6">
      <c r="A3" s="3000" t="s">
        <v>3231</v>
      </c>
      <c r="F3" s="3001" t="s">
        <v>3232</v>
      </c>
    </row>
    <row r="4" spans="1:6">
      <c r="A4" s="3002" t="s">
        <v>672</v>
      </c>
      <c r="B4" s="3002" t="s">
        <v>673</v>
      </c>
      <c r="C4" s="3002" t="s">
        <v>21</v>
      </c>
      <c r="D4" s="3002" t="s">
        <v>674</v>
      </c>
      <c r="E4" s="3002" t="s">
        <v>3</v>
      </c>
      <c r="F4" s="3002" t="s">
        <v>3233</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5">
        <f>基准地价修正!G23</f>
        <v>45910</v>
      </c>
      <c r="B1" s="2927" t="s">
        <v>3372</v>
      </c>
      <c r="C1" s="2928"/>
      <c r="D1" s="2928"/>
      <c r="E1" s="2928"/>
      <c r="F1" s="2928"/>
      <c r="G1" s="2928"/>
      <c r="H1" s="2928"/>
      <c r="I1" s="2928"/>
      <c r="J1" s="2894"/>
      <c r="K1" s="2928" t="s">
        <v>454</v>
      </c>
      <c r="L1" s="2928"/>
      <c r="M1" s="2928"/>
      <c r="N1" s="2928"/>
      <c r="O1" s="2928"/>
      <c r="P1" s="2928"/>
      <c r="Q1" s="2894"/>
      <c r="R1" s="3493" t="s">
        <v>456</v>
      </c>
      <c r="S1" s="3494"/>
      <c r="T1" s="3494"/>
      <c r="U1" s="3494"/>
      <c r="V1" s="3494"/>
      <c r="W1" s="3494"/>
      <c r="X1" s="2894"/>
      <c r="Y1" s="3493" t="s">
        <v>457</v>
      </c>
      <c r="Z1" s="3494"/>
      <c r="AA1" s="3494"/>
      <c r="AB1" s="3494"/>
      <c r="AC1" s="3494"/>
      <c r="AD1" s="3494"/>
    </row>
    <row r="2" spans="1:44" s="2009" customFormat="1" ht="14.5" thickBot="1">
      <c r="B2" s="2879"/>
      <c r="C2" s="2880"/>
      <c r="D2" s="2010" t="s">
        <v>2807</v>
      </c>
      <c r="E2" s="2011" t="s">
        <v>2808</v>
      </c>
      <c r="F2" s="2011" t="s">
        <v>2809</v>
      </c>
      <c r="G2" s="2011" t="s">
        <v>2810</v>
      </c>
      <c r="H2" s="2011" t="s">
        <v>2811</v>
      </c>
      <c r="I2" s="2011" t="s">
        <v>2628</v>
      </c>
      <c r="J2" s="2881"/>
      <c r="K2" s="2010" t="s">
        <v>2807</v>
      </c>
      <c r="L2" s="2011" t="s">
        <v>2808</v>
      </c>
      <c r="M2" s="2011" t="s">
        <v>2809</v>
      </c>
      <c r="N2" s="2011" t="s">
        <v>2810</v>
      </c>
      <c r="O2" s="2011" t="s">
        <v>2812</v>
      </c>
      <c r="P2" s="2011" t="s">
        <v>2628</v>
      </c>
      <c r="Q2" s="2881"/>
      <c r="R2" s="2010" t="s">
        <v>2807</v>
      </c>
      <c r="S2" s="2011" t="s">
        <v>2808</v>
      </c>
      <c r="T2" s="2011" t="s">
        <v>2809</v>
      </c>
      <c r="U2" s="2011" t="s">
        <v>2813</v>
      </c>
      <c r="V2" s="2011" t="s">
        <v>2814</v>
      </c>
      <c r="W2" s="2011" t="s">
        <v>2628</v>
      </c>
      <c r="X2" s="2881"/>
      <c r="Y2" s="2010" t="s">
        <v>2807</v>
      </c>
      <c r="Z2" s="2011" t="s">
        <v>2808</v>
      </c>
      <c r="AA2" s="2011" t="s">
        <v>2809</v>
      </c>
      <c r="AB2" s="2011" t="s">
        <v>2815</v>
      </c>
      <c r="AC2" s="2011" t="s">
        <v>2814</v>
      </c>
      <c r="AD2" s="2011" t="s">
        <v>2628</v>
      </c>
      <c r="AF2" t="s">
        <v>3399</v>
      </c>
      <c r="AG2" t="s">
        <v>673</v>
      </c>
      <c r="AH2" t="s">
        <v>21</v>
      </c>
      <c r="AI2" t="s">
        <v>3400</v>
      </c>
      <c r="AJ2" t="s">
        <v>3</v>
      </c>
      <c r="AK2" t="s">
        <v>3401</v>
      </c>
      <c r="AM2" t="s">
        <v>3399</v>
      </c>
      <c r="AN2" t="s">
        <v>673</v>
      </c>
      <c r="AO2" t="s">
        <v>21</v>
      </c>
      <c r="AP2" t="s">
        <v>3400</v>
      </c>
      <c r="AQ2" t="s">
        <v>3</v>
      </c>
      <c r="AR2" t="s">
        <v>3401</v>
      </c>
    </row>
    <row r="3" spans="1:44" s="2884" customFormat="1" ht="13">
      <c r="A3" s="2882" t="s">
        <v>2816</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3398</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
      <c r="A6" s="2039" t="s">
        <v>3397</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
      <c r="A7" s="2905" t="s">
        <v>3396</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
      <c r="A8" s="2039" t="s">
        <v>3404</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
      <c r="A9" s="2039" t="s">
        <v>3403</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
      <c r="A10" s="2039" t="s">
        <v>3376</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
      <c r="A11" s="2903" t="s">
        <v>3370</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
      <c r="A12" s="2903" t="s">
        <v>3369</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
      <c r="A13" s="2903" t="s">
        <v>3365</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
      <c r="A14" s="2903" t="s">
        <v>3364</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
      <c r="A15" s="2903" t="s">
        <v>3362</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
      <c r="A16" s="2903" t="s">
        <v>3361</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
      <c r="A17" s="2903" t="s">
        <v>3360</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
      <c r="A18" s="2903" t="s">
        <v>3358</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
      <c r="A19" s="2903" t="s">
        <v>3349</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
      <c r="A20" s="2903" t="s">
        <v>2817</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
      <c r="A21" s="2903" t="s">
        <v>2818</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
      <c r="A22" s="2903" t="s">
        <v>2819</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
      <c r="A23" s="2903" t="s">
        <v>2820</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5" thickBot="1">
      <c r="A24" s="2916" t="s">
        <v>2821</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5" thickTop="1"/>
    <row r="26" spans="1:44">
      <c r="A26" s="3141" t="s">
        <v>3375</v>
      </c>
    </row>
    <row r="27" spans="1:44">
      <c r="I27" s="1405" t="s">
        <v>2822</v>
      </c>
    </row>
    <row r="29" spans="1:44" s="2008" customFormat="1" ht="13">
      <c r="B29" s="2927" t="s">
        <v>3373</v>
      </c>
      <c r="C29" s="2928"/>
      <c r="D29" s="2928"/>
      <c r="E29" s="2928"/>
      <c r="F29" s="2928"/>
      <c r="G29" s="2928"/>
      <c r="H29" s="2928"/>
      <c r="I29" s="2928"/>
      <c r="J29" s="2894"/>
      <c r="K29" s="2928" t="s">
        <v>2823</v>
      </c>
      <c r="L29" s="2928"/>
      <c r="M29" s="2928"/>
      <c r="N29" s="2928"/>
      <c r="O29" s="2928"/>
      <c r="P29" s="2928"/>
      <c r="Q29" s="2894"/>
      <c r="R29" s="3493" t="s">
        <v>2824</v>
      </c>
      <c r="S29" s="3494"/>
      <c r="T29" s="3494"/>
      <c r="U29" s="3494"/>
      <c r="V29" s="3494"/>
      <c r="W29" s="3494"/>
      <c r="X29" s="2894"/>
      <c r="Y29" s="3493" t="s">
        <v>2825</v>
      </c>
      <c r="Z29" s="3494"/>
      <c r="AA29" s="3494"/>
      <c r="AB29" s="3494"/>
      <c r="AC29" s="3494"/>
      <c r="AD29" s="3494"/>
    </row>
    <row r="30" spans="1:44" s="2009" customFormat="1" ht="14.5" thickBot="1">
      <c r="B30" s="2879"/>
      <c r="C30" s="2880"/>
      <c r="D30" s="2010" t="s">
        <v>2826</v>
      </c>
      <c r="E30" s="2011" t="s">
        <v>2827</v>
      </c>
      <c r="F30" s="2011" t="s">
        <v>2828</v>
      </c>
      <c r="G30" s="2011" t="s">
        <v>2829</v>
      </c>
      <c r="H30" s="2011"/>
      <c r="I30" s="2011" t="s">
        <v>2830</v>
      </c>
      <c r="J30" s="2881"/>
      <c r="K30" s="2010" t="s">
        <v>2826</v>
      </c>
      <c r="L30" s="2011" t="s">
        <v>2827</v>
      </c>
      <c r="M30" s="2011" t="s">
        <v>2828</v>
      </c>
      <c r="N30" s="2011" t="s">
        <v>2829</v>
      </c>
      <c r="O30" s="2011"/>
      <c r="P30" s="2011" t="s">
        <v>2830</v>
      </c>
      <c r="Q30" s="2881"/>
      <c r="R30" s="2010" t="s">
        <v>2826</v>
      </c>
      <c r="S30" s="2011" t="s">
        <v>2827</v>
      </c>
      <c r="T30" s="2011" t="s">
        <v>2828</v>
      </c>
      <c r="U30" s="2011" t="s">
        <v>2829</v>
      </c>
      <c r="V30" s="2011"/>
      <c r="W30" s="2011" t="s">
        <v>2830</v>
      </c>
      <c r="X30" s="2881"/>
      <c r="Y30" s="2010" t="s">
        <v>2826</v>
      </c>
      <c r="Z30" s="2011" t="s">
        <v>2827</v>
      </c>
      <c r="AA30" s="2011" t="s">
        <v>2828</v>
      </c>
      <c r="AB30" s="2011" t="s">
        <v>2829</v>
      </c>
      <c r="AC30" s="2011"/>
      <c r="AD30" s="2011" t="s">
        <v>2830</v>
      </c>
      <c r="AG30" t="s">
        <v>673</v>
      </c>
      <c r="AH30" t="s">
        <v>21</v>
      </c>
      <c r="AI30" t="s">
        <v>3400</v>
      </c>
      <c r="AJ30"/>
      <c r="AK30" t="s">
        <v>3401</v>
      </c>
      <c r="AN30" t="s">
        <v>673</v>
      </c>
      <c r="AO30" t="s">
        <v>21</v>
      </c>
      <c r="AP30" t="s">
        <v>3400</v>
      </c>
      <c r="AQ30"/>
      <c r="AR30" t="s">
        <v>3401</v>
      </c>
    </row>
    <row r="31" spans="1:44" s="2884" customFormat="1" ht="13">
      <c r="A31" s="2882" t="s">
        <v>2831</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3398</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
      <c r="A34" s="2039" t="s">
        <v>3397</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
      <c r="A35" s="2905" t="s">
        <v>3405</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
      <c r="A36" s="2039" t="s">
        <v>3402</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
      <c r="A37" s="2039" t="s">
        <v>3403</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
      <c r="A38" s="2039" t="s">
        <v>3367</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
      <c r="A39" s="2903" t="s">
        <v>3371</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
      <c r="A40" s="2903" t="s">
        <v>3368</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
      <c r="A41" s="2903" t="s">
        <v>3366</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
      <c r="A42" s="2903" t="s">
        <v>3364</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
      <c r="A43" s="2903" t="s">
        <v>3363</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
      <c r="A44" s="2903" t="s">
        <v>3361</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
      <c r="A45" s="2903" t="s">
        <v>3360</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
      <c r="A46" s="2903" t="s">
        <v>3359</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
      <c r="A47" s="2903" t="s">
        <v>3349</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
      <c r="A48" s="2903" t="s">
        <v>2832</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
      <c r="A49" s="2903" t="s">
        <v>2833</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
      <c r="A50" s="2903" t="s">
        <v>2834</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
      <c r="A51" s="2903" t="s">
        <v>2835</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5" thickBot="1">
      <c r="A52" s="2916" t="s">
        <v>2821</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5" thickTop="1"/>
    <row r="54" spans="1:44">
      <c r="A54" s="3141" t="s">
        <v>3374</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3357</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3354</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3355</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3356</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2108</v>
      </c>
      <c r="B25" s="2048">
        <v>439</v>
      </c>
      <c r="C25" s="2048">
        <v>327</v>
      </c>
      <c r="D25" s="2048">
        <f>C25</f>
        <v>327</v>
      </c>
      <c r="E25" s="2048">
        <v>627</v>
      </c>
      <c r="F25" s="2049">
        <v>283</v>
      </c>
      <c r="G25" s="349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49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49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6">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49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6">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49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结果表101!D116</f>
        <v>出让国有建设用地使用权价值</v>
      </c>
      <c r="E2" s="3190"/>
      <c r="F2" s="3190" t="str">
        <f>结果表101!F116</f>
        <v>在建建筑物价值</v>
      </c>
      <c r="G2" s="3190"/>
      <c r="H2" s="3190" t="str">
        <f>IF(项目基本情况!B9="房地产市场价值","房地产市场价值","房地产价值")</f>
        <v>房地产价值</v>
      </c>
      <c r="I2" s="3190"/>
    </row>
    <row r="3" spans="1:9" ht="16">
      <c r="A3" s="3185"/>
      <c r="B3" s="3185"/>
      <c r="C3" s="3185"/>
      <c r="D3" s="801" t="s">
        <v>925</v>
      </c>
      <c r="E3" s="801" t="s">
        <v>931</v>
      </c>
      <c r="F3" s="801" t="s">
        <v>925</v>
      </c>
      <c r="G3" s="801" t="s">
        <v>926</v>
      </c>
      <c r="H3" s="801" t="s">
        <v>925</v>
      </c>
      <c r="I3" s="801" t="s">
        <v>926</v>
      </c>
    </row>
    <row r="4" spans="1:9" ht="31">
      <c r="A4" s="1403" t="str">
        <f>项目基本情况!S2</f>
        <v>北京市通州区新海东路15号楼1层101、4层501房地产</v>
      </c>
      <c r="B4" s="801">
        <f>项目基本情况!C17</f>
        <v>785.23</v>
      </c>
      <c r="C4" s="801">
        <f>项目基本情况!C18</f>
        <v>0</v>
      </c>
      <c r="D4" s="801">
        <f>结果表101!D118</f>
        <v>0</v>
      </c>
      <c r="E4" s="801">
        <f>结果表101!E118</f>
        <v>0</v>
      </c>
      <c r="F4" s="801">
        <f>结果表101!F118</f>
        <v>0</v>
      </c>
      <c r="G4" s="801">
        <f>结果表101!G118</f>
        <v>0</v>
      </c>
      <c r="H4" s="801">
        <f ca="1">结果表101!H118</f>
        <v>984</v>
      </c>
      <c r="I4" s="801">
        <f ca="1">结果表101!I118</f>
        <v>25881</v>
      </c>
    </row>
    <row r="5" spans="1:9" ht="30" customHeight="1">
      <c r="A5" s="3185" t="s">
        <v>927</v>
      </c>
      <c r="B5" s="3185"/>
      <c r="C5" s="3185"/>
      <c r="D5" s="3185" t="str">
        <f>结果表101!D119</f>
        <v>零元整</v>
      </c>
      <c r="E5" s="3185"/>
      <c r="F5" s="3185" t="str">
        <f>结果表101!F119</f>
        <v>零元整</v>
      </c>
      <c r="G5" s="3185"/>
      <c r="H5" s="3185" t="str">
        <f ca="1">结果表101!H119</f>
        <v>玖佰捌拾肆万元整</v>
      </c>
      <c r="I5" s="3185"/>
    </row>
    <row r="6" spans="1:9" ht="15.5">
      <c r="A6" s="3184" t="str">
        <f>结果表101!A120</f>
        <v>估价师知悉的法定优先受偿款</v>
      </c>
      <c r="B6" s="3184"/>
      <c r="C6" s="3184"/>
      <c r="D6" s="3184">
        <f>结果表101!D120</f>
        <v>0</v>
      </c>
      <c r="E6" s="3184"/>
      <c r="F6" s="3184"/>
      <c r="G6" s="3184"/>
      <c r="H6" s="3184"/>
      <c r="I6" s="3184"/>
    </row>
    <row r="7" spans="1:9" ht="15.5">
      <c r="A7" s="3185" t="s">
        <v>927</v>
      </c>
      <c r="B7" s="3185"/>
      <c r="C7" s="3185"/>
      <c r="D7" s="3186" t="str">
        <f>结果表101!D121</f>
        <v>零元整</v>
      </c>
      <c r="E7" s="3187"/>
      <c r="F7" s="3187"/>
      <c r="G7" s="3187"/>
      <c r="H7" s="3187"/>
      <c r="I7" s="3188"/>
    </row>
    <row r="8" spans="1:9" ht="15.5">
      <c r="A8" s="3184" t="str">
        <f>结果表101!A122</f>
        <v>房地产抵押价值</v>
      </c>
      <c r="B8" s="3184"/>
      <c r="C8" s="3184"/>
      <c r="D8" s="3184">
        <f ca="1">结果表101!D122</f>
        <v>984</v>
      </c>
      <c r="E8" s="3184"/>
      <c r="F8" s="3184"/>
      <c r="G8" s="3184"/>
      <c r="H8" s="3184"/>
      <c r="I8" s="3184"/>
    </row>
    <row r="9" spans="1:9" ht="15.5">
      <c r="A9" s="3185" t="s">
        <v>927</v>
      </c>
      <c r="B9" s="3185"/>
      <c r="C9" s="3185"/>
      <c r="D9" s="3185" t="str">
        <f ca="1">结果表101!D123</f>
        <v>玖佰捌拾肆万元整</v>
      </c>
      <c r="E9" s="3185"/>
      <c r="F9" s="3185"/>
      <c r="G9" s="3185"/>
      <c r="H9" s="3185"/>
      <c r="I9" s="3185"/>
    </row>
    <row r="10" spans="1:9" ht="15.5">
      <c r="A10" s="3184" t="str">
        <f>结果表101!A124</f>
        <v/>
      </c>
      <c r="B10" s="3184"/>
      <c r="C10" s="3184"/>
      <c r="D10" s="3184" t="str">
        <f>结果表101!D124</f>
        <v>——</v>
      </c>
      <c r="E10" s="3184"/>
      <c r="F10" s="3184"/>
      <c r="G10" s="3184"/>
      <c r="H10" s="3184"/>
      <c r="I10" s="3184"/>
    </row>
    <row r="11" spans="1:9" ht="15.5">
      <c r="A11" s="3185" t="s">
        <v>927</v>
      </c>
      <c r="B11" s="3185"/>
      <c r="C11" s="3185"/>
      <c r="D11" s="3185" t="e">
        <f>结果表101!D125</f>
        <v>#VALUE!</v>
      </c>
      <c r="E11" s="3185"/>
      <c r="F11" s="3185"/>
      <c r="G11" s="3185"/>
      <c r="H11" s="3185"/>
      <c r="I11" s="3185"/>
    </row>
    <row r="12" spans="1:9" ht="15.5">
      <c r="A12" s="3184" t="str">
        <f>结果表101!A126</f>
        <v/>
      </c>
      <c r="B12" s="3184"/>
      <c r="C12" s="3184"/>
      <c r="D12" s="3184" t="str">
        <f>结果表101!D126</f>
        <v>——</v>
      </c>
      <c r="E12" s="3184"/>
      <c r="F12" s="3184"/>
      <c r="G12" s="3184"/>
      <c r="H12" s="3184"/>
      <c r="I12" s="3184"/>
    </row>
    <row r="13" spans="1:9" ht="16" thickBot="1">
      <c r="A13" s="3182" t="s">
        <v>927</v>
      </c>
      <c r="B13" s="3182"/>
      <c r="C13" s="3182"/>
      <c r="D13" s="3182" t="e">
        <f>结果表101!D127</f>
        <v>#VALUE!</v>
      </c>
      <c r="E13" s="3182"/>
      <c r="F13" s="3182"/>
      <c r="G13" s="3182"/>
      <c r="H13" s="3182"/>
      <c r="I13" s="3182"/>
    </row>
    <row r="14" spans="1:9" ht="14.5" thickTop="1">
      <c r="A14" s="3183" t="s">
        <v>932</v>
      </c>
      <c r="B14" s="3183"/>
      <c r="C14" s="3183"/>
      <c r="D14" s="3183"/>
      <c r="E14" s="3183"/>
      <c r="F14" s="3183"/>
      <c r="G14" s="3183"/>
      <c r="H14" s="3183"/>
      <c r="I14" s="3183"/>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06" t="s">
        <v>2836</v>
      </c>
      <c r="B1" s="3506"/>
      <c r="C1" s="3506"/>
      <c r="D1" s="3506"/>
      <c r="E1" s="3506"/>
      <c r="F1" s="3506"/>
      <c r="G1" s="3507"/>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2.5"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504"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2.5" thickBot="1">
      <c r="A4" s="3505"/>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2.5"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2.5"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2.5"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2.5"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45910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2306</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7" t="s">
        <v>949</v>
      </c>
      <c r="B1" s="3197"/>
      <c r="C1" s="3197"/>
      <c r="D1" s="3197"/>
    </row>
    <row r="2" spans="1:4" ht="18">
      <c r="A2" s="3198" t="s">
        <v>933</v>
      </c>
      <c r="B2" s="3198"/>
      <c r="C2" s="3198"/>
      <c r="D2" s="3198"/>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9" t="s">
        <v>942</v>
      </c>
      <c r="B11" s="3191"/>
      <c r="C11" s="3191"/>
      <c r="D11" s="3191"/>
    </row>
    <row r="12" spans="1:4" ht="15.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IF(项目基本情况!B8="抵押",结果表101!K120,"——")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4"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5" t="s">
        <v>956</v>
      </c>
      <c r="B15" s="3200" t="s">
        <v>109</v>
      </c>
      <c r="C15" s="3201"/>
    </row>
    <row r="16" spans="1:7" ht="14">
      <c r="A16" s="3206"/>
      <c r="B16" s="3200" t="s">
        <v>42</v>
      </c>
      <c r="C16" s="3201"/>
    </row>
    <row r="17" spans="1:3" ht="14">
      <c r="A17" s="3206"/>
      <c r="B17" s="3203" t="s">
        <v>957</v>
      </c>
      <c r="C17" s="1429" t="s">
        <v>956</v>
      </c>
    </row>
    <row r="18" spans="1:3" ht="14">
      <c r="A18" s="3206"/>
      <c r="B18" s="3203"/>
      <c r="C18" s="1429" t="s">
        <v>958</v>
      </c>
    </row>
    <row r="19" spans="1:3" ht="14">
      <c r="A19" s="3206"/>
      <c r="B19" s="3203"/>
      <c r="C19" s="1429" t="s">
        <v>959</v>
      </c>
    </row>
    <row r="20" spans="1:3" ht="14">
      <c r="A20" s="3207"/>
      <c r="B20" s="3202" t="s">
        <v>960</v>
      </c>
      <c r="C20" s="3201"/>
    </row>
    <row r="21" spans="1:3" ht="14">
      <c r="A21" s="1430" t="s">
        <v>961</v>
      </c>
      <c r="B21" s="1431"/>
      <c r="C21" s="1432"/>
    </row>
    <row r="22" spans="1:3" ht="14">
      <c r="A22" s="3204" t="s">
        <v>962</v>
      </c>
      <c r="B22" s="3202" t="s">
        <v>963</v>
      </c>
      <c r="C22" s="3201"/>
    </row>
    <row r="23" spans="1:3" ht="14">
      <c r="A23" s="3204"/>
      <c r="B23" s="3202" t="s">
        <v>964</v>
      </c>
      <c r="C23" s="3201"/>
    </row>
    <row r="24" spans="1:3" ht="14">
      <c r="A24" s="3204"/>
      <c r="B24" s="3202" t="s">
        <v>965</v>
      </c>
      <c r="C24" s="3201"/>
    </row>
    <row r="25" spans="1:3" ht="14">
      <c r="A25" s="3204"/>
      <c r="B25" s="3203" t="s">
        <v>966</v>
      </c>
      <c r="C25" s="1429" t="s">
        <v>967</v>
      </c>
    </row>
    <row r="26" spans="1:3" ht="14">
      <c r="A26" s="3204"/>
      <c r="B26" s="3203"/>
      <c r="C26" s="1429" t="s">
        <v>968</v>
      </c>
    </row>
    <row r="27" spans="1:3" ht="14">
      <c r="A27" s="3204"/>
      <c r="B27" s="3203"/>
      <c r="C27" s="1429" t="s">
        <v>969</v>
      </c>
    </row>
    <row r="28" spans="1:3" ht="14">
      <c r="A28" s="3204"/>
      <c r="B28" s="3203"/>
      <c r="C28" s="1429" t="s">
        <v>970</v>
      </c>
    </row>
    <row r="29" spans="1:3" ht="14">
      <c r="A29" s="3204"/>
      <c r="B29" s="3203"/>
      <c r="C29" s="1429" t="s">
        <v>971</v>
      </c>
    </row>
    <row r="30" spans="1:3" ht="14">
      <c r="A30" s="3204"/>
      <c r="B30" s="3203"/>
      <c r="C30" s="1429" t="s">
        <v>972</v>
      </c>
    </row>
    <row r="31" spans="1:3" ht="14">
      <c r="A31" s="3204"/>
      <c r="B31" s="3203"/>
      <c r="C31" s="1429" t="s">
        <v>973</v>
      </c>
    </row>
    <row r="32" spans="1:3" ht="14">
      <c r="A32" s="3204"/>
      <c r="B32" s="3203"/>
      <c r="C32" s="1429" t="s">
        <v>974</v>
      </c>
    </row>
    <row r="33" spans="1:3" ht="14">
      <c r="A33" s="3204"/>
      <c r="B33" s="3203"/>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2136</v>
      </c>
      <c r="B2" s="2156">
        <f ca="1">TODAY()</f>
        <v>45910</v>
      </c>
      <c r="C2" s="2157" t="s">
        <v>2137</v>
      </c>
      <c r="D2" s="2157"/>
      <c r="E2" s="2157"/>
      <c r="F2" s="2153"/>
      <c r="G2" s="2153"/>
      <c r="H2" s="2153"/>
    </row>
    <row r="3" spans="1:8" ht="24" customHeight="1">
      <c r="A3" s="2158" t="s">
        <v>2138</v>
      </c>
      <c r="B3" s="1219" t="s">
        <v>2139</v>
      </c>
      <c r="C3" s="1219" t="s">
        <v>2140</v>
      </c>
      <c r="D3" s="2159" t="s">
        <v>2141</v>
      </c>
      <c r="E3" s="2160" t="s">
        <v>2142</v>
      </c>
      <c r="F3" s="1219" t="s">
        <v>2143</v>
      </c>
      <c r="G3" s="1219" t="s">
        <v>2140</v>
      </c>
      <c r="H3" s="2159" t="s">
        <v>2144</v>
      </c>
    </row>
    <row r="4" spans="1:8" ht="24" customHeight="1">
      <c r="A4" s="1219" t="s">
        <v>2145</v>
      </c>
      <c r="B4" s="1219">
        <f ca="1">IF(C4&lt;B2,"已过期",1119970066)</f>
        <v>1119970066</v>
      </c>
      <c r="C4" s="2161">
        <v>45937</v>
      </c>
      <c r="D4" s="2162" t="str">
        <f ca="1">A4&amp;"（注册号："&amp;B4&amp;"）"</f>
        <v>梁津（注册号：1119970066）</v>
      </c>
      <c r="E4" s="2163" t="s">
        <v>2145</v>
      </c>
      <c r="F4" s="1219">
        <f ca="1">IF(G4&lt;B2,"已过期",96010014)</f>
        <v>96010014</v>
      </c>
      <c r="G4" s="2164">
        <v>47118</v>
      </c>
      <c r="H4" s="2165" t="str">
        <f ca="1">E4&amp;"（注册号："&amp;F4&amp;"）"</f>
        <v>梁津（注册号：96010014）</v>
      </c>
    </row>
    <row r="5" spans="1:8" ht="24" customHeight="1">
      <c r="A5" s="1219" t="s">
        <v>2146</v>
      </c>
      <c r="B5" s="1219">
        <f ca="1">IF(C5&lt;B2,"已过期",1119970111)</f>
        <v>1119970111</v>
      </c>
      <c r="C5" s="2161">
        <v>45937</v>
      </c>
      <c r="D5" s="2162" t="str">
        <f t="shared" ref="D5:D15" ca="1" si="0">A5&amp;"（注册号："&amp;B5&amp;"）"</f>
        <v>叶凌（注册号：1119970111）</v>
      </c>
      <c r="E5" s="2163" t="s">
        <v>2146</v>
      </c>
      <c r="F5" s="1219">
        <f ca="1">IF(G5&lt;B2,"已过期",94010078)</f>
        <v>94010078</v>
      </c>
      <c r="G5" s="2164">
        <v>46387</v>
      </c>
      <c r="H5" s="2165" t="str">
        <f t="shared" ref="H5:H16" ca="1" si="1">E5&amp;"（注册号："&amp;F5&amp;"）"</f>
        <v>叶凌（注册号：94010078）</v>
      </c>
    </row>
    <row r="6" spans="1:8" ht="24" customHeight="1">
      <c r="A6" s="1219" t="s">
        <v>2147</v>
      </c>
      <c r="B6" s="1219" t="str">
        <f ca="1">IF(C6&lt;B2,"已过期",1120050019)</f>
        <v>已过期</v>
      </c>
      <c r="C6" s="2161">
        <v>45410</v>
      </c>
      <c r="D6" s="2162" t="str">
        <f t="shared" ca="1" si="0"/>
        <v>王鹏（注册号：已过期）</v>
      </c>
      <c r="E6" s="2163" t="s">
        <v>2147</v>
      </c>
      <c r="F6" s="1219">
        <f ca="1">IF(G6&lt;B2,"已过期",2002110030)</f>
        <v>2002110030</v>
      </c>
      <c r="G6" s="2164">
        <v>46387</v>
      </c>
      <c r="H6" s="2165" t="str">
        <f t="shared" ca="1" si="1"/>
        <v>王鹏（注册号：2002110030）</v>
      </c>
    </row>
    <row r="7" spans="1:8" ht="24" customHeight="1">
      <c r="A7" s="1219" t="s">
        <v>2148</v>
      </c>
      <c r="B7" s="1219">
        <f ca="1">IF(C7&lt;B2,"已过期",1120000080)</f>
        <v>1120000080</v>
      </c>
      <c r="C7" s="2161">
        <v>45937</v>
      </c>
      <c r="D7" s="2162" t="str">
        <f t="shared" ca="1" si="0"/>
        <v>欧红伟（注册号：1120000080）</v>
      </c>
      <c r="E7" s="2163" t="s">
        <v>2148</v>
      </c>
      <c r="F7" s="1219">
        <f ca="1">IF(G7&lt;B2,"已过期",2000110082)</f>
        <v>2000110082</v>
      </c>
      <c r="G7" s="2164">
        <v>46387</v>
      </c>
      <c r="H7" s="2165" t="str">
        <f t="shared" ca="1" si="1"/>
        <v>欧红伟（注册号：2000110082）</v>
      </c>
    </row>
    <row r="8" spans="1:8" ht="24" customHeight="1">
      <c r="A8" s="1219" t="s">
        <v>2149</v>
      </c>
      <c r="B8" s="1219">
        <f ca="1">IF(C8&lt;B2,"已过期",1419970001)</f>
        <v>1419970001</v>
      </c>
      <c r="C8" s="2161">
        <v>45937</v>
      </c>
      <c r="D8" s="2162" t="str">
        <f t="shared" ca="1" si="0"/>
        <v>吴薇（注册号：1419970001）</v>
      </c>
      <c r="E8" s="2163" t="s">
        <v>2149</v>
      </c>
      <c r="F8" s="1219">
        <f ca="1">IF(G8&lt;B2,"已过期",2002110125)</f>
        <v>2002110125</v>
      </c>
      <c r="G8" s="2164">
        <v>47118</v>
      </c>
      <c r="H8" s="2165" t="str">
        <f t="shared" ca="1" si="1"/>
        <v>吴薇（注册号：2002110125）</v>
      </c>
    </row>
    <row r="9" spans="1:8" ht="24" customHeight="1">
      <c r="A9" s="1219" t="s">
        <v>2150</v>
      </c>
      <c r="B9" s="1219" t="str">
        <f ca="1">IF(C9&lt;B2,"已过期",1120060040)</f>
        <v>已过期</v>
      </c>
      <c r="C9" s="2166">
        <v>45592</v>
      </c>
      <c r="D9" s="2162" t="str">
        <f t="shared" ca="1" si="0"/>
        <v>陈颖（注册号：已过期）</v>
      </c>
      <c r="E9" s="2163" t="s">
        <v>2150</v>
      </c>
      <c r="F9" s="1219">
        <f ca="1">IF(G9&lt;B2,"已过期",2004110096)</f>
        <v>2004110096</v>
      </c>
      <c r="G9" s="2164">
        <v>47118</v>
      </c>
      <c r="H9" s="2165" t="str">
        <f t="shared" ca="1" si="1"/>
        <v>陈颖（注册号：2004110096）</v>
      </c>
    </row>
    <row r="10" spans="1:8" ht="24" customHeight="1">
      <c r="A10" s="1219" t="s">
        <v>2151</v>
      </c>
      <c r="B10" s="1219" t="str">
        <f ca="1">IF(C10&lt;B2,"已过期",1120100036)</f>
        <v>已过期</v>
      </c>
      <c r="C10" s="2166">
        <v>45752</v>
      </c>
      <c r="D10" s="2162" t="str">
        <f t="shared" ca="1" si="0"/>
        <v>崔锴（注册号：已过期）</v>
      </c>
      <c r="E10" s="2163" t="s">
        <v>2151</v>
      </c>
      <c r="F10" s="1219">
        <f ca="1">IF(G10&lt;B2,"已过期",2010110070)</f>
        <v>2010110070</v>
      </c>
      <c r="G10" s="2164">
        <v>47907</v>
      </c>
      <c r="H10" s="2165" t="str">
        <f t="shared" ca="1" si="1"/>
        <v>崔锴（注册号：2010110070）</v>
      </c>
    </row>
    <row r="11" spans="1:8" ht="24" customHeight="1">
      <c r="A11" s="1219" t="s">
        <v>2152</v>
      </c>
      <c r="B11" s="1219">
        <f ca="1">IF(C11&lt;B2,"已过期",1120070131)</f>
        <v>1120070131</v>
      </c>
      <c r="C11" s="2161">
        <v>45937</v>
      </c>
      <c r="D11" s="2162" t="str">
        <f t="shared" ca="1" si="0"/>
        <v>郑燚（注册号：1120070131）</v>
      </c>
      <c r="E11" s="2163" t="s">
        <v>2152</v>
      </c>
      <c r="F11" s="1219">
        <f ca="1">IF(G11&lt;B2,"已过期",2014110011)</f>
        <v>2014110011</v>
      </c>
      <c r="G11" s="2164">
        <v>49302</v>
      </c>
      <c r="H11" s="2165" t="str">
        <f t="shared" ca="1" si="1"/>
        <v>郑燚（注册号：2014110011）</v>
      </c>
    </row>
    <row r="12" spans="1:8" ht="24" customHeight="1">
      <c r="A12" s="1219" t="s">
        <v>2153</v>
      </c>
      <c r="B12" s="1219">
        <f ca="1">IF(C12&lt;B2,"已过期",1120040230)</f>
        <v>1120040230</v>
      </c>
      <c r="C12" s="2166">
        <v>45937</v>
      </c>
      <c r="D12" s="2162" t="str">
        <f t="shared" ca="1" si="0"/>
        <v>苏海（注册号：1120040230）</v>
      </c>
      <c r="E12" s="2163" t="s">
        <v>2153</v>
      </c>
      <c r="F12" s="1219">
        <f ca="1">IF(G12&lt;B2,"已过期",98030020)</f>
        <v>98030020</v>
      </c>
      <c r="G12" s="2164">
        <v>47118</v>
      </c>
      <c r="H12" s="2165" t="str">
        <f t="shared" ca="1" si="1"/>
        <v>苏海（注册号：98030020）</v>
      </c>
    </row>
    <row r="13" spans="1:8" ht="24" customHeight="1">
      <c r="A13" s="1219" t="s">
        <v>2154</v>
      </c>
      <c r="B13" s="1219" t="str">
        <f ca="1">IF(C13&lt;B2,"已过期",1120020033)</f>
        <v>已过期</v>
      </c>
      <c r="C13" s="2161">
        <v>45375</v>
      </c>
      <c r="D13" s="2162" t="str">
        <f t="shared" ca="1" si="0"/>
        <v>刘敬东（注册号：已过期）</v>
      </c>
      <c r="E13" s="2163" t="s">
        <v>2154</v>
      </c>
      <c r="F13" s="1219">
        <f ca="1">IF(G13&lt;B2,"已过期",2000110137)</f>
        <v>2000110137</v>
      </c>
      <c r="G13" s="2164">
        <v>46387</v>
      </c>
      <c r="H13" s="2165" t="str">
        <f t="shared" ca="1" si="1"/>
        <v>刘敬东（注册号：2000110137）</v>
      </c>
    </row>
    <row r="14" spans="1:8" ht="24" customHeight="1">
      <c r="A14" s="1219" t="s">
        <v>2155</v>
      </c>
      <c r="B14" s="1219" t="str">
        <f ca="1">IF(C14&lt;B2,"已过期",1119980106)</f>
        <v>已过期</v>
      </c>
      <c r="C14" s="2166">
        <v>44969</v>
      </c>
      <c r="D14" s="2162" t="str">
        <f t="shared" ca="1" si="0"/>
        <v>刘俊财（注册号：已过期）</v>
      </c>
      <c r="E14" s="2163" t="s">
        <v>2155</v>
      </c>
      <c r="F14" s="1219">
        <f ca="1">IF(G14&lt;B2,"已过期",96010063)</f>
        <v>96010063</v>
      </c>
      <c r="G14" s="2164">
        <v>47483</v>
      </c>
      <c r="H14" s="2165" t="str">
        <f t="shared" ca="1" si="1"/>
        <v>刘俊财（注册号：96010063）</v>
      </c>
    </row>
    <row r="15" spans="1:8" ht="24" customHeight="1">
      <c r="A15" s="1219" t="s">
        <v>2434</v>
      </c>
      <c r="B15" s="1219">
        <v>1120210056</v>
      </c>
      <c r="C15" s="2166">
        <v>45410</v>
      </c>
      <c r="D15" s="2162" t="str">
        <f t="shared" si="0"/>
        <v>宁小鳗（注册号：1120210056）</v>
      </c>
      <c r="E15" s="2163" t="s">
        <v>2156</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8" t="s">
        <v>2157</v>
      </c>
      <c r="B17" s="3208"/>
      <c r="C17" s="3208"/>
      <c r="D17" s="3208"/>
      <c r="E17" s="3208"/>
      <c r="F17" s="3208"/>
      <c r="G17" s="3208"/>
      <c r="H17" s="3208"/>
    </row>
    <row r="18" spans="1:8" ht="24" customHeight="1">
      <c r="A18" s="3209" t="s">
        <v>2158</v>
      </c>
      <c r="B18" s="3209"/>
      <c r="C18" s="3209"/>
      <c r="D18" s="2159"/>
      <c r="E18" s="3210" t="s">
        <v>2159</v>
      </c>
      <c r="F18" s="3209"/>
      <c r="G18" s="3209"/>
    </row>
    <row r="19" spans="1:8" s="2169" customFormat="1" ht="24" customHeight="1">
      <c r="A19" s="2168" t="s">
        <v>2160</v>
      </c>
      <c r="B19" s="1219" t="s">
        <v>2161</v>
      </c>
      <c r="C19" s="1219" t="s">
        <v>2140</v>
      </c>
      <c r="D19" s="2159"/>
      <c r="E19" s="2163" t="s">
        <v>2160</v>
      </c>
      <c r="F19" s="1219" t="s">
        <v>2161</v>
      </c>
      <c r="G19" s="1219" t="s">
        <v>2140</v>
      </c>
    </row>
    <row r="20" spans="1:8" s="2169" customFormat="1" ht="24" customHeight="1">
      <c r="A20" s="2170" t="s">
        <v>2162</v>
      </c>
      <c r="B20" s="2170" t="s">
        <v>2163</v>
      </c>
      <c r="C20" s="2164">
        <v>45898</v>
      </c>
      <c r="D20" s="2171"/>
      <c r="E20" s="2172" t="s">
        <v>2164</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比较法-商业</vt:lpstr>
      <vt:lpstr>收益法 (元)101</vt:lpstr>
      <vt:lpstr>典型户型修正</vt:lpstr>
      <vt:lpstr>案例</vt:lpstr>
      <vt:lpstr>Sheet1</vt:lpstr>
      <vt:lpstr>结果表101成本法、收益法</vt:lpstr>
      <vt:lpstr>结果表501成本法、收益法 </vt:lpstr>
      <vt:lpstr>假设开发法</vt:lpstr>
      <vt:lpstr>收益法</vt:lpstr>
      <vt:lpstr>收益法-酒店模型</vt:lpstr>
      <vt:lpstr>收益法（汇总）</vt:lpstr>
      <vt:lpstr>比较法-住宅</vt:lpstr>
      <vt:lpstr>成本法 (元)101</vt:lpstr>
      <vt:lpstr>成本法 (元)501</vt:lpstr>
      <vt:lpstr>基准地价修正</vt:lpstr>
      <vt:lpstr>收益法 (元)501</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(元)101'!Print_Area</vt:lpstr>
      <vt:lpstr>'成本法 (元)501'!Print_Area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结果表101成本法、收益法!Print_Area</vt:lpstr>
      <vt:lpstr>'结果表501成本法、收益法 '!Print_Area</vt:lpstr>
      <vt:lpstr>收益法!Print_Area</vt:lpstr>
      <vt:lpstr>'收益法 (元)101'!Print_Area</vt:lpstr>
      <vt:lpstr>'收益法 (元)501'!Print_Area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2025-09-10T02:17:56Z</dcterms:modified>
</cp:coreProperties>
</file>