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C13" i="39"/>
  <c r="E9" i="6"/>
  <c r="AN17" i="3"/>
  <c r="AL17" i="3"/>
  <c r="AD17" i="3"/>
  <c r="AH17" i="3"/>
  <c r="K14" i="3"/>
  <c r="K16" i="3"/>
  <c r="I13" i="3"/>
  <c r="I15" i="3" l="1"/>
  <c r="F120" i="21" l="1"/>
  <c r="E120" i="21"/>
  <c r="D120" i="21"/>
  <c r="C120" i="21"/>
  <c r="F20" i="6" l="1"/>
  <c r="C20" i="6"/>
  <c r="C8" i="68"/>
  <c r="I48" i="39"/>
  <c r="G48" i="39"/>
  <c r="E48" i="39"/>
  <c r="C40" i="39" l="1"/>
  <c r="F19" i="6" l="1"/>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9" i="67"/>
  <c r="B10" i="67"/>
  <c r="B9" i="67"/>
  <c r="E8" i="67"/>
  <c r="F11" i="67"/>
  <c r="F8" i="67"/>
  <c r="E14" i="67"/>
  <c r="E11" i="67"/>
  <c r="E13" i="67"/>
  <c r="F13" i="67"/>
  <c r="F12" i="67"/>
  <c r="E12" i="67"/>
  <c r="B13" i="67"/>
  <c r="B14" i="67"/>
  <c r="B8" i="67"/>
  <c r="F10" i="67"/>
  <c r="B11" i="67"/>
  <c r="B12" i="67"/>
  <c r="F14" i="67"/>
  <c r="E10"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N4" i="65"/>
  <c r="N5" i="65"/>
  <c r="N6" i="65"/>
  <c r="J3" i="65"/>
  <c r="J6" i="65"/>
  <c r="I5" i="65"/>
  <c r="I7" i="65"/>
  <c r="I4" i="65"/>
  <c r="J5" i="65"/>
  <c r="E20" i="46" l="1"/>
  <c r="J1" i="65"/>
  <c r="C4" i="65"/>
  <c r="B39" i="1" s="1"/>
  <c r="I3" i="65"/>
  <c r="J7" i="65"/>
  <c r="I6"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L21"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J40" i="37" s="1"/>
  <c r="D107" i="37"/>
  <c r="E107" i="37"/>
  <c r="F107" i="37" s="1"/>
  <c r="D105" i="37"/>
  <c r="E105" i="37"/>
  <c r="F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J25" i="36" s="1"/>
  <c r="W25" i="36" s="1"/>
  <c r="B73" i="36"/>
  <c r="J24" i="36"/>
  <c r="W24" i="36" s="1"/>
  <c r="B71" i="36"/>
  <c r="D70" i="36"/>
  <c r="H22" i="36"/>
  <c r="AB22" i="36" s="1"/>
  <c r="D68" i="36"/>
  <c r="E68" i="36" s="1"/>
  <c r="D64" i="36"/>
  <c r="E64" i="36" s="1"/>
  <c r="F64" i="36" s="1"/>
  <c r="G64" i="36" s="1"/>
  <c r="J16" i="36"/>
  <c r="D62" i="36"/>
  <c r="E62" i="36" s="1"/>
  <c r="B59" i="36"/>
  <c r="H13" i="36" s="1"/>
  <c r="AB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J25" i="35" s="1"/>
  <c r="B75" i="35"/>
  <c r="J24" i="35"/>
  <c r="AC24" i="35" s="1"/>
  <c r="B73" i="35"/>
  <c r="B57" i="35"/>
  <c r="B61" i="35"/>
  <c r="B59" i="35"/>
  <c r="H12" i="35" s="1"/>
  <c r="B131" i="34"/>
  <c r="B129" i="34"/>
  <c r="B127" i="34"/>
  <c r="B99" i="34"/>
  <c r="B97" i="34"/>
  <c r="B95" i="34"/>
  <c r="B93" i="34"/>
  <c r="B75" i="34"/>
  <c r="B73" i="34"/>
  <c r="B71" i="34"/>
  <c r="B130" i="33"/>
  <c r="B128" i="33"/>
  <c r="H45" i="33" s="1"/>
  <c r="U45" i="33" s="1"/>
  <c r="B126" i="33"/>
  <c r="H44" i="33" s="1"/>
  <c r="B98" i="33"/>
  <c r="F31" i="33"/>
  <c r="AA31" i="33" s="1"/>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H44" i="21" s="1"/>
  <c r="U44" i="21" s="1"/>
  <c r="B98" i="21"/>
  <c r="B96" i="21"/>
  <c r="B94" i="21"/>
  <c r="B92" i="21"/>
  <c r="F28" i="21" s="1"/>
  <c r="S28" i="21" s="1"/>
  <c r="B90" i="21"/>
  <c r="B74" i="21"/>
  <c r="B72" i="21"/>
  <c r="B70" i="2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H34" i="21"/>
  <c r="U34" i="21" s="1"/>
  <c r="F43" i="21"/>
  <c r="S43" i="21" s="1"/>
  <c r="H38" i="21"/>
  <c r="AB38" i="21" s="1"/>
  <c r="H43" i="21"/>
  <c r="AB43" i="21" s="1"/>
  <c r="F32" i="21"/>
  <c r="F38" i="21"/>
  <c r="S38" i="21" s="1"/>
  <c r="F36" i="21"/>
  <c r="S36" i="21" s="1"/>
  <c r="F39" i="21"/>
  <c r="AA39" i="21" s="1"/>
  <c r="J40" i="21"/>
  <c r="W40" i="21" s="1"/>
  <c r="H35" i="21"/>
  <c r="AB35" i="21" s="1"/>
  <c r="J8" i="21"/>
  <c r="J9" i="21"/>
  <c r="AC9" i="21" s="1"/>
  <c r="H8" i="21"/>
  <c r="AB8" i="21" s="1"/>
  <c r="H9" i="21"/>
  <c r="AB9" i="21" s="1"/>
  <c r="H10" i="21"/>
  <c r="U10" i="21" s="1"/>
  <c r="H39" i="21"/>
  <c r="AB39" i="21" s="1"/>
  <c r="J34" i="21"/>
  <c r="W34" i="21" s="1"/>
  <c r="H36" i="21"/>
  <c r="U36" i="21" s="1"/>
  <c r="F35" i="21"/>
  <c r="AA35" i="21" s="1"/>
  <c r="J10" i="21"/>
  <c r="AC10" i="21" s="1"/>
  <c r="H26" i="21"/>
  <c r="H19" i="21"/>
  <c r="J12" i="21"/>
  <c r="J26" i="21"/>
  <c r="W26" i="21" s="1"/>
  <c r="F26" i="21"/>
  <c r="AA26" i="21" s="1"/>
  <c r="AB41" i="21"/>
  <c r="S41" i="21"/>
  <c r="AA41" i="21"/>
  <c r="S10" i="39"/>
  <c r="U30"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H39" i="37"/>
  <c r="AB27" i="35"/>
  <c r="S10" i="40"/>
  <c r="W10" i="40"/>
  <c r="S11" i="40"/>
  <c r="U11" i="40"/>
  <c r="S36" i="40"/>
  <c r="U36" i="40"/>
  <c r="S36" i="39"/>
  <c r="C23" i="39"/>
  <c r="U36" i="39"/>
  <c r="H32" i="33"/>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s="1"/>
  <c r="J10" i="34"/>
  <c r="AC10" i="34" s="1"/>
  <c r="U9" i="34"/>
  <c r="W8" i="34"/>
  <c r="S38" i="33"/>
  <c r="F36" i="33"/>
  <c r="S36" i="33" s="1"/>
  <c r="F19" i="33"/>
  <c r="S19" i="33" s="1"/>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F14" i="21"/>
  <c r="AA14" i="21" s="1"/>
  <c r="H28" i="2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J29" i="33"/>
  <c r="J31" i="33"/>
  <c r="AC31" i="33" s="1"/>
  <c r="H31" i="33"/>
  <c r="J45" i="33"/>
  <c r="W45" i="33" s="1"/>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H37" i="37"/>
  <c r="U37" i="37" s="1"/>
  <c r="H40" i="37"/>
  <c r="U40" i="37" s="1"/>
  <c r="F40" i="37"/>
  <c r="AA40" i="37" s="1"/>
  <c r="H14" i="33"/>
  <c r="U14" i="33" s="1"/>
  <c r="F14" i="33"/>
  <c r="AA14" i="33" s="1"/>
  <c r="J14" i="33"/>
  <c r="AC14" i="33" s="1"/>
  <c r="H30" i="33"/>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J36" i="37"/>
  <c r="AC36" i="37" s="1"/>
  <c r="G105" i="37"/>
  <c r="AB28" i="36"/>
  <c r="AB31" i="21"/>
  <c r="AA28" i="21"/>
  <c r="W31" i="34"/>
  <c r="S46" i="33"/>
  <c r="U36" i="37"/>
  <c r="AB45" i="33"/>
  <c r="AA27" i="33"/>
  <c r="AC28" i="33"/>
  <c r="G529" i="3"/>
  <c r="G521" i="3"/>
  <c r="G517" i="3"/>
  <c r="G513" i="3"/>
  <c r="G508" i="3"/>
  <c r="G499" i="3"/>
  <c r="G493" i="3"/>
  <c r="G485" i="3"/>
  <c r="G17" i="3"/>
  <c r="G561" i="3"/>
  <c r="G549" i="3"/>
  <c r="G539" i="3"/>
  <c r="AZ569" i="3"/>
  <c r="BL557" i="3"/>
  <c r="BL545" i="3"/>
  <c r="AZ545" i="3" s="1"/>
  <c r="BL535" i="3"/>
  <c r="BL527" i="3"/>
  <c r="BL519" i="3"/>
  <c r="BL511" i="3"/>
  <c r="BL501" i="3"/>
  <c r="BL491" i="3"/>
  <c r="BL483" i="3"/>
  <c r="G16" i="3"/>
  <c r="BL559" i="3"/>
  <c r="BL555" i="3"/>
  <c r="AZ555" i="3" s="1"/>
  <c r="BL541" i="3"/>
  <c r="BL533" i="3"/>
  <c r="BL525" i="3"/>
  <c r="G518" i="3"/>
  <c r="G514" i="3"/>
  <c r="G510" i="3"/>
  <c r="BL503" i="3"/>
  <c r="BL495" i="3"/>
  <c r="BL485" i="3"/>
  <c r="G18" i="3"/>
  <c r="BA569" i="3"/>
  <c r="BA561" i="3"/>
  <c r="AZ561" i="3" s="1"/>
  <c r="BA559" i="3"/>
  <c r="AZ559" i="3" s="1"/>
  <c r="AZ557" i="3"/>
  <c r="AZ551" i="3"/>
  <c r="BA543" i="3"/>
  <c r="BA541" i="3"/>
  <c r="AZ541" i="3"/>
  <c r="BA531" i="3"/>
  <c r="BA521" i="3"/>
  <c r="BA509" i="3"/>
  <c r="BA505" i="3"/>
  <c r="BA501" i="3"/>
  <c r="BA493" i="3"/>
  <c r="BA487" i="3"/>
  <c r="BA19" i="3"/>
  <c r="BA572" i="3"/>
  <c r="BA562" i="3"/>
  <c r="BA558" i="3"/>
  <c r="BA554" i="3"/>
  <c r="BA544" i="3"/>
  <c r="BA540" i="3"/>
  <c r="BA536" i="3"/>
  <c r="BA532" i="3"/>
  <c r="BA528" i="3"/>
  <c r="BA524" i="3"/>
  <c r="BA520" i="3"/>
  <c r="BA516" i="3"/>
  <c r="AZ516" i="3" s="1"/>
  <c r="BA512" i="3"/>
  <c r="BA508" i="3"/>
  <c r="BA502" i="3"/>
  <c r="BA498" i="3"/>
  <c r="BA492" i="3"/>
  <c r="BA488" i="3"/>
  <c r="BA484" i="3"/>
  <c r="BA20" i="3"/>
  <c r="G562" i="3"/>
  <c r="G558" i="3"/>
  <c r="G554" i="3"/>
  <c r="G546" i="3"/>
  <c r="BL543" i="3"/>
  <c r="AZ543" i="3"/>
  <c r="BA542" i="3"/>
  <c r="AC542" i="3"/>
  <c r="G542" i="3" s="1"/>
  <c r="BQ542" i="3"/>
  <c r="BL542" i="3" s="1"/>
  <c r="AZ542" i="3" s="1"/>
  <c r="BQ568" i="3"/>
  <c r="BQ566" i="3"/>
  <c r="BQ564" i="3"/>
  <c r="BL564" i="3"/>
  <c r="BQ562" i="3"/>
  <c r="BL562" i="3"/>
  <c r="BQ560" i="3"/>
  <c r="BQ558" i="3"/>
  <c r="BQ556" i="3"/>
  <c r="BQ554" i="3"/>
  <c r="BQ552" i="3"/>
  <c r="BQ550" i="3"/>
  <c r="BQ548" i="3"/>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F125" i="33"/>
  <c r="G125" i="33" s="1"/>
  <c r="H43" i="33"/>
  <c r="U43" i="33" s="1"/>
  <c r="H17" i="37"/>
  <c r="U17" i="37" s="1"/>
  <c r="F23" i="37"/>
  <c r="S23" i="37" s="1"/>
  <c r="F79" i="37"/>
  <c r="G79" i="37" s="1"/>
  <c r="F39" i="33"/>
  <c r="E123" i="33"/>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W23" i="35"/>
  <c r="S27" i="37"/>
  <c r="AC8" i="37"/>
  <c r="S25" i="37"/>
  <c r="AC36" i="34"/>
  <c r="AC37" i="33"/>
  <c r="AC45" i="33"/>
  <c r="AA36" i="21"/>
  <c r="F43" i="33"/>
  <c r="AA43" i="33" s="1"/>
  <c r="AA23" i="37"/>
  <c r="S10" i="35"/>
  <c r="G107" i="37"/>
  <c r="H107" i="37" s="1"/>
  <c r="I107" i="37" s="1"/>
  <c r="J107" i="37" s="1"/>
  <c r="K107" i="37" s="1"/>
  <c r="L107" i="37" s="1"/>
  <c r="M107" i="37" s="1"/>
  <c r="F37" i="21"/>
  <c r="S37" i="21" s="1"/>
  <c r="H19" i="34"/>
  <c r="AB19" i="34" s="1"/>
  <c r="J10" i="37"/>
  <c r="W10" i="37" s="1"/>
  <c r="F36" i="35"/>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4"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AC26" i="36"/>
  <c r="AZ300" i="3"/>
  <c r="H11" i="37"/>
  <c r="AB11" i="37" s="1"/>
  <c r="AA30" i="33"/>
  <c r="S42" i="33"/>
  <c r="AB17" i="37"/>
  <c r="AZ508" i="3"/>
  <c r="AZ524" i="3"/>
  <c r="AZ546" i="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S45" i="34"/>
  <c r="U31" i="34"/>
  <c r="AC40" i="37"/>
  <c r="W40" i="37"/>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B44" i="21" l="1"/>
  <c r="AZ552" i="3"/>
  <c r="AZ370" i="3"/>
  <c r="AZ356" i="3"/>
  <c r="AZ324" i="3"/>
  <c r="AZ381" i="3"/>
  <c r="AZ358" i="3"/>
  <c r="AZ355" i="3"/>
  <c r="AB31" i="37"/>
  <c r="U31" i="37"/>
  <c r="AA39" i="33"/>
  <c r="S39" i="33"/>
  <c r="AZ488" i="3"/>
  <c r="AZ520" i="3"/>
  <c r="AZ544" i="3"/>
  <c r="AZ562" i="3"/>
  <c r="AZ493" i="3"/>
  <c r="AB40" i="37"/>
  <c r="U13" i="35"/>
  <c r="AB13" i="35"/>
  <c r="AB30" i="33"/>
  <c r="U30" i="33"/>
  <c r="W13" i="36"/>
  <c r="AC13" i="36"/>
  <c r="AB32" i="33"/>
  <c r="U32" i="33"/>
  <c r="AC8" i="21"/>
  <c r="W8" i="21"/>
  <c r="F12" i="21"/>
  <c r="H12" i="21"/>
  <c r="J14" i="21"/>
  <c r="H14" i="21"/>
  <c r="H30" i="21"/>
  <c r="J30" i="21"/>
  <c r="H46" i="21"/>
  <c r="F46" i="21"/>
  <c r="E81" i="21"/>
  <c r="F81" i="21" s="1"/>
  <c r="G81" i="21" s="1"/>
  <c r="F19" i="21"/>
  <c r="J19" i="21"/>
  <c r="W19" i="21" s="1"/>
  <c r="E106" i="21"/>
  <c r="F106" i="21" s="1"/>
  <c r="G106" i="21" s="1"/>
  <c r="H106" i="21" s="1"/>
  <c r="I106" i="21" s="1"/>
  <c r="J106" i="21" s="1"/>
  <c r="K106" i="21" s="1"/>
  <c r="L106" i="21" s="1"/>
  <c r="M106" i="21" s="1"/>
  <c r="F34" i="21"/>
  <c r="H113" i="21"/>
  <c r="J37" i="21"/>
  <c r="W37" i="21" s="1"/>
  <c r="AB9" i="33"/>
  <c r="U9" i="33"/>
  <c r="AA33" i="33"/>
  <c r="S33" i="33"/>
  <c r="AB38" i="33"/>
  <c r="U38" i="33"/>
  <c r="J9" i="33"/>
  <c r="F9" i="33"/>
  <c r="AA9" i="33" s="1"/>
  <c r="F28" i="34"/>
  <c r="J28" i="34"/>
  <c r="H28" i="34"/>
  <c r="AB28" i="34" s="1"/>
  <c r="AC25" i="35"/>
  <c r="W25" i="35"/>
  <c r="U27" i="37"/>
  <c r="AB27" i="37"/>
  <c r="BL558" i="3"/>
  <c r="AZ558" i="3" s="1"/>
  <c r="BL556" i="3"/>
  <c r="AZ556" i="3" s="1"/>
  <c r="BL550" i="3"/>
  <c r="AZ550" i="3" s="1"/>
  <c r="AZ405" i="3"/>
  <c r="S36" i="35"/>
  <c r="AA36" i="35"/>
  <c r="W23" i="37"/>
  <c r="AC23" i="37"/>
  <c r="S36" i="37"/>
  <c r="AA36" i="37"/>
  <c r="W41" i="34"/>
  <c r="AC41" i="34"/>
  <c r="AZ492" i="3"/>
  <c r="S38" i="37"/>
  <c r="AA38" i="37"/>
  <c r="AC37" i="37"/>
  <c r="W37" i="37"/>
  <c r="U31" i="33"/>
  <c r="AB31" i="33"/>
  <c r="W29" i="33"/>
  <c r="AC29" i="33"/>
  <c r="U13" i="21"/>
  <c r="AB13" i="21"/>
  <c r="AB28" i="21"/>
  <c r="U28" i="21"/>
  <c r="AB39" i="37"/>
  <c r="U39" i="37"/>
  <c r="AB19" i="21"/>
  <c r="U19" i="21"/>
  <c r="BL572" i="3"/>
  <c r="AZ572" i="3" s="1"/>
  <c r="BH5" i="3"/>
  <c r="AA10" i="21"/>
  <c r="S10" i="21"/>
  <c r="G123" i="21"/>
  <c r="H123" i="21" s="1"/>
  <c r="I123" i="21" s="1"/>
  <c r="J123" i="21" s="1"/>
  <c r="K123" i="21" s="1"/>
  <c r="L123" i="21" s="1"/>
  <c r="M123" i="21" s="1"/>
  <c r="H42" i="21"/>
  <c r="AB42" i="21" s="1"/>
  <c r="J42" i="21"/>
  <c r="AC42" i="21" s="1"/>
  <c r="B73" i="46"/>
  <c r="C29" i="39"/>
  <c r="S9" i="21"/>
  <c r="AA9" i="21"/>
  <c r="H27" i="33"/>
  <c r="J27" i="33"/>
  <c r="U8" i="34"/>
  <c r="AB8" i="34"/>
  <c r="S13" i="33"/>
  <c r="AA13" i="33"/>
  <c r="U44" i="33"/>
  <c r="AB44" i="33"/>
  <c r="BL560" i="3"/>
  <c r="AZ560" i="3" s="1"/>
  <c r="BL552" i="3"/>
  <c r="AZ392" i="3"/>
  <c r="AZ397" i="3"/>
  <c r="AZ408" i="3"/>
  <c r="H25" i="36"/>
  <c r="AB25" i="36" s="1"/>
  <c r="H25" i="35"/>
  <c r="F44" i="33"/>
  <c r="S44" i="33" s="1"/>
  <c r="F13" i="36"/>
  <c r="S13" i="36" s="1"/>
  <c r="F45" i="33"/>
  <c r="S31" i="33"/>
  <c r="W43" i="34"/>
  <c r="AB40" i="34"/>
  <c r="S10" i="36"/>
  <c r="U24" i="36"/>
  <c r="AC24" i="36"/>
  <c r="W24" i="35"/>
  <c r="S34" i="35"/>
  <c r="AC27" i="35"/>
  <c r="AC31" i="36"/>
  <c r="W22" i="36"/>
  <c r="H5" i="3"/>
  <c r="J12" i="35"/>
  <c r="J36" i="35"/>
  <c r="F26" i="37"/>
  <c r="AA26" i="37" s="1"/>
  <c r="A14" i="55"/>
  <c r="B65" i="63" s="1"/>
  <c r="A2" i="55"/>
  <c r="B55" i="63" s="1"/>
  <c r="A11" i="55"/>
  <c r="B62" i="63" s="1"/>
  <c r="AZ420" i="3"/>
  <c r="AZ424" i="3"/>
  <c r="AZ437" i="3"/>
  <c r="AZ451" i="3"/>
  <c r="AZ457" i="3"/>
  <c r="AZ470" i="3"/>
  <c r="AZ473" i="3"/>
  <c r="AZ318" i="3"/>
  <c r="AZ334" i="3"/>
  <c r="AZ350" i="3"/>
  <c r="AZ206" i="3"/>
  <c r="AZ210" i="3"/>
  <c r="AZ222" i="3"/>
  <c r="AZ226" i="3"/>
  <c r="AZ238" i="3"/>
  <c r="AZ242" i="3"/>
  <c r="AZ254" i="3"/>
  <c r="AZ258" i="3"/>
  <c r="AZ269" i="3"/>
  <c r="AZ272" i="3"/>
  <c r="AZ266" i="3"/>
  <c r="AZ279" i="3"/>
  <c r="AZ291" i="3"/>
  <c r="AZ294" i="3"/>
  <c r="AZ113" i="3"/>
  <c r="AZ116" i="3"/>
  <c r="AZ53" i="3"/>
  <c r="AZ145" i="3"/>
  <c r="AZ148" i="3"/>
  <c r="AZ25" i="3"/>
  <c r="AZ30" i="3"/>
  <c r="AZ41" i="3"/>
  <c r="AZ46" i="3"/>
  <c r="AZ57" i="3"/>
  <c r="BA21" i="3"/>
  <c r="AZ21" i="3" s="1"/>
  <c r="AZ68" i="3"/>
  <c r="AZ72" i="3"/>
  <c r="AZ77" i="3"/>
  <c r="AZ92" i="3"/>
  <c r="AZ97" i="3"/>
  <c r="AZ108" i="3"/>
  <c r="I21" i="57"/>
  <c r="D1" i="57"/>
  <c r="E10" i="57" s="1"/>
  <c r="U17" i="21"/>
  <c r="S45" i="21"/>
  <c r="W41" i="21"/>
  <c r="S43" i="39"/>
  <c r="W14" i="39"/>
  <c r="K12" i="1"/>
  <c r="M12" i="1" s="1"/>
  <c r="K13" i="1"/>
  <c r="M13" i="1" s="1"/>
  <c r="O13" i="1" s="1"/>
  <c r="P13" i="1" s="1"/>
  <c r="G15" i="3"/>
  <c r="G14" i="3"/>
  <c r="F8" i="1"/>
  <c r="G8" i="1" s="1"/>
  <c r="C18" i="9"/>
  <c r="D18" i="9" s="1"/>
  <c r="M44" i="9" s="1"/>
  <c r="A30" i="64"/>
  <c r="A30" i="51"/>
  <c r="F71" i="9"/>
  <c r="BL13" i="3"/>
  <c r="AA38" i="21"/>
  <c r="U9" i="21"/>
  <c r="U43" i="21"/>
  <c r="W42" i="21"/>
  <c r="AA40" i="21"/>
  <c r="U40" i="21"/>
  <c r="AC40" i="21"/>
  <c r="AB36" i="21"/>
  <c r="S35"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M22" i="15"/>
  <c r="F26" i="15"/>
  <c r="M29" i="15"/>
  <c r="M26" i="15"/>
  <c r="M27" i="15"/>
  <c r="M6" i="15"/>
  <c r="M24" i="15"/>
  <c r="M8" i="15"/>
  <c r="M26" i="44"/>
  <c r="F7" i="15"/>
  <c r="J17" i="44"/>
  <c r="M25" i="44"/>
  <c r="M10" i="44"/>
  <c r="F9" i="44"/>
  <c r="M30" i="44"/>
  <c r="F45" i="44"/>
  <c r="M8" i="44"/>
  <c r="M11" i="44"/>
  <c r="F43" i="44"/>
  <c r="F39" i="44"/>
  <c r="M23" i="15"/>
  <c r="F43" i="15"/>
  <c r="F42" i="15"/>
  <c r="F18" i="44"/>
  <c r="L48" i="15"/>
  <c r="M28" i="15"/>
  <c r="J15" i="15"/>
  <c r="F28" i="44"/>
  <c r="F9" i="15"/>
  <c r="F10" i="44"/>
  <c r="L47" i="15"/>
  <c r="F11" i="44"/>
  <c r="F40" i="44"/>
  <c r="L49" i="44"/>
  <c r="F8" i="44"/>
  <c r="L48" i="44"/>
  <c r="M24" i="44"/>
  <c r="F38" i="44"/>
  <c r="M29" i="44"/>
  <c r="F15" i="44"/>
  <c r="M28" i="44"/>
  <c r="F40" i="15"/>
  <c r="C16" i="46" l="1"/>
  <c r="C5" i="46" s="1"/>
  <c r="AC19" i="21"/>
  <c r="U42" i="21"/>
  <c r="AC36" i="35"/>
  <c r="W36" i="35"/>
  <c r="S45" i="33"/>
  <c r="AA45" i="33"/>
  <c r="AC27" i="33"/>
  <c r="W27" i="33"/>
  <c r="S28" i="34"/>
  <c r="AA28" i="34"/>
  <c r="AC9" i="33"/>
  <c r="W9" i="33"/>
  <c r="AA19" i="21"/>
  <c r="S19" i="21"/>
  <c r="AA46" i="21"/>
  <c r="S46" i="21"/>
  <c r="W30" i="21"/>
  <c r="AC30" i="21"/>
  <c r="U14" i="21"/>
  <c r="AB14" i="21"/>
  <c r="U12" i="21"/>
  <c r="AB12" i="21"/>
  <c r="W12" i="35"/>
  <c r="AC12" i="35"/>
  <c r="AB25" i="35"/>
  <c r="U25" i="35"/>
  <c r="U27" i="33"/>
  <c r="AB27" i="33"/>
  <c r="W28" i="34"/>
  <c r="AC28" i="34"/>
  <c r="AA34" i="21"/>
  <c r="S34" i="21"/>
  <c r="AB46" i="21"/>
  <c r="U46" i="21"/>
  <c r="U30" i="21"/>
  <c r="AB30" i="21"/>
  <c r="AC14" i="21"/>
  <c r="W14" i="21"/>
  <c r="S12" i="21"/>
  <c r="AA12" i="21"/>
  <c r="E413" i="3"/>
  <c r="C33" i="2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67" i="15"/>
  <c r="M7" i="15"/>
  <c r="F49" i="15"/>
  <c r="F70" i="15"/>
  <c r="L56" i="15"/>
  <c r="J57" i="15"/>
  <c r="J55" i="15" s="1"/>
  <c r="J58" i="15" s="1"/>
  <c r="Q51" i="15" s="1"/>
  <c r="G66" i="36"/>
  <c r="J18" i="36"/>
  <c r="AE6" i="1"/>
  <c r="AE8" i="1"/>
  <c r="F6" i="15"/>
  <c r="F36" i="15"/>
  <c r="F16" i="15"/>
  <c r="J36" i="15"/>
  <c r="F46" i="44"/>
  <c r="C18" i="44"/>
  <c r="M17" i="15"/>
  <c r="AE7" i="1"/>
  <c r="F37" i="15"/>
  <c r="F38" i="15"/>
  <c r="F13" i="15"/>
  <c r="M9" i="15"/>
  <c r="F8" i="15"/>
  <c r="M19" i="44"/>
  <c r="F33" i="44"/>
  <c r="F31" i="15"/>
  <c r="F50" i="15" l="1"/>
  <c r="Q72" i="15"/>
  <c r="F63" i="15"/>
  <c r="F65" i="15"/>
  <c r="C10" i="15"/>
  <c r="C6" i="15"/>
  <c r="F64" i="15"/>
  <c r="J7" i="36"/>
  <c r="W7" i="36" s="1"/>
  <c r="F7" i="36"/>
  <c r="H7" i="35"/>
  <c r="AB7" i="35" s="1"/>
  <c r="T38" i="35" s="1"/>
  <c r="G38" i="35" s="1"/>
  <c r="G42" i="35" s="1"/>
  <c r="H42" i="35" s="1"/>
  <c r="F7" i="35"/>
  <c r="H7" i="34"/>
  <c r="AB7" i="34" s="1"/>
  <c r="T49" i="34" s="1"/>
  <c r="G49" i="34" s="1"/>
  <c r="G53" i="34" s="1"/>
  <c r="H53" i="34" s="1"/>
  <c r="J7" i="34"/>
  <c r="H33" i="2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E46" i="37"/>
  <c r="F46" i="37" s="1"/>
  <c r="C48" i="33"/>
  <c r="C49" i="33"/>
  <c r="B3" i="33" s="1"/>
  <c r="B2" i="33" s="1"/>
  <c r="C16" i="15"/>
  <c r="F41" i="15"/>
  <c r="F58" i="15"/>
  <c r="L52" i="44"/>
  <c r="F7" i="67"/>
  <c r="K15" i="1" l="1"/>
  <c r="C5" i="15"/>
  <c r="C38" i="15" s="1"/>
  <c r="F68" i="15"/>
  <c r="L19" i="6"/>
  <c r="W33" i="21"/>
  <c r="AC33" i="21"/>
  <c r="AA33" i="21"/>
  <c r="S33" i="21"/>
  <c r="U33" i="21"/>
  <c r="AB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E7" i="67"/>
  <c r="C17" i="15"/>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8" i="15" l="1"/>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R7" i="1" l="1"/>
  <c r="R6" i="1"/>
  <c r="R8" i="1"/>
  <c r="R10" i="1"/>
  <c r="R11" i="1"/>
  <c r="R13" i="1"/>
  <c r="R12" i="1"/>
  <c r="C21" i="44"/>
  <c r="C22" i="44" s="1"/>
  <c r="C25" i="44" s="1"/>
  <c r="C19" i="15"/>
  <c r="C20" i="15" s="1"/>
  <c r="C23" i="15" s="1"/>
  <c r="C18" i="12"/>
  <c r="D31" i="6"/>
  <c r="I6" i="6" s="1"/>
  <c r="I7" i="6" s="1"/>
  <c r="R27" i="6"/>
  <c r="C18" i="43"/>
  <c r="K70" i="39"/>
  <c r="J72" i="39"/>
  <c r="K65" i="40"/>
  <c r="J67" i="40"/>
  <c r="C65" i="15"/>
  <c r="C59" i="15"/>
  <c r="F35" i="15"/>
  <c r="M21" i="15"/>
  <c r="M23" i="44"/>
  <c r="F37" i="44"/>
  <c r="H13" i="39" l="1"/>
  <c r="J13" i="39"/>
  <c r="F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C13" i="39" l="1"/>
  <c r="W13" i="39"/>
  <c r="F11" i="21"/>
  <c r="J11" i="21"/>
  <c r="H11" i="21"/>
  <c r="AA13" i="39"/>
  <c r="S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1" i="21" l="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G53" i="21"/>
  <c r="H53" i="21" s="1"/>
  <c r="G52" i="21"/>
  <c r="H52" i="21" s="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6" i="12" s="1"/>
  <c r="B2" i="12" s="1"/>
  <c r="C35" i="12"/>
  <c r="C33" i="12" s="1"/>
  <c r="L43" i="9"/>
  <c r="B3" i="40"/>
  <c r="B4" i="40"/>
  <c r="B5" i="40"/>
  <c r="B3" i="39"/>
  <c r="B4" i="39"/>
  <c r="B5" i="39"/>
  <c r="D19" i="9"/>
  <c r="C20" i="9"/>
  <c r="C21" i="9"/>
  <c r="L44" i="9" l="1"/>
  <c r="G19" i="9"/>
  <c r="C32" i="9" s="1"/>
  <c r="D22" i="9"/>
  <c r="B3" i="12"/>
  <c r="B4" i="12"/>
  <c r="B5" i="12"/>
  <c r="C45" i="9"/>
  <c r="H14" i="66" s="1"/>
  <c r="B7" i="66" s="1"/>
  <c r="G22" i="9"/>
  <c r="D20" i="9"/>
  <c r="D21" i="9"/>
  <c r="N43" i="9" l="1"/>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<sst xmlns="http://schemas.openxmlformats.org/spreadsheetml/2006/main" count="7033" uniqueCount="3099">
  <si>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</si>
  <si>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</si>
  <si>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</si>
  <si>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</si>
  <si>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</si>
  <si>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</si>
  <si>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</si>
  <si>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</si>
  <si>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</si>
  <si>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</si>
  <si>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</si>
  <si>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</si>
  <si>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</si>
  <si>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</si>
  <si>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</si>
  <si>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</si>
  <si>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</si>
  <si>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</si>
  <si>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</si>
  <si>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</si>
  <si>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</si>
  <si>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</si>
  <si>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</si>
  <si>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</si>
  <si>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</si>
  <si>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</si>
  <si>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</si>
  <si>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</si>
  <si>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</si>
  <si>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</si>
  <si>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</si>
  <si>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</si>
  <si>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</si>
  <si>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</si>
  <si>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</si>
  <si>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</si>
  <si>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</si>
  <si>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</si>
  <si>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</si>
  <si>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</si>
  <si>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</si>
  <si>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</si>
  <si>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</si>
  <si>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</si>
  <si>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</si>
  <si>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</si>
  <si>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</si>
  <si>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</si>
  <si>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</si>
  <si>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</si>
  <si>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</si>
  <si>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</si>
  <si>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</si>
  <si>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</si>
  <si>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</si>
  <si>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</si>
  <si>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</si>
  <si>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</si>
  <si>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</si>
  <si>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</si>
  <si>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</si>
  <si>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</si>
  <si>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</si>
  <si>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</si>
  <si>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</si>
  <si>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</si>
  <si>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</si>
  <si>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</si>
  <si>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</si>
  <si>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</si>
  <si>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</si>
  <si>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</si>
  <si>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</si>
  <si>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</si>
  <si>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</si>
  <si>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</si>
  <si>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</si>
  <si>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</si>
  <si>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</si>
  <si>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</si>
  <si>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</si>
  <si>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</si>
  <si>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</si>
  <si>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</si>
  <si>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</si>
  <si>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</si>
  <si>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</si>
  <si>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</si>
  <si>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</si>
  <si>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</si>
  <si>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</si>
  <si>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</si>
  <si>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</si>
  <si>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</si>
  <si>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</si>
  <si>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</si>
  <si>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</si>
  <si>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</si>
  <si>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</si>
  <si>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</si>
  <si>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</si>
  <si>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</si>
  <si>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</si>
  <si>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</si>
  <si>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</si>
  <si>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</si>
  <si>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</si>
  <si>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</si>
  <si>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</si>
  <si>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</si>
  <si>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</si>
  <si>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</si>
  <si>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</si>
  <si>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</si>
  <si>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</si>
  <si>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</si>
  <si>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</si>
  <si>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</si>
  <si>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</si>
  <si>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</si>
  <si>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</si>
  <si>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</si>
  <si>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</si>
  <si>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</si>
  <si>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</si>
  <si>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</si>
  <si>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</si>
  <si>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</si>
  <si>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</si>
  <si>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</si>
  <si>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</si>
  <si>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</si>
  <si>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</si>
  <si>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</si>
  <si>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</si>
  <si>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</si>
  <si>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</si>
  <si>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</si>
  <si>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</si>
  <si>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</si>
  <si>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</si>
  <si>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</si>
  <si>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</si>
  <si>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</si>
  <si>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</si>
  <si>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</si>
  <si>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</si>
  <si>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</si>
  <si>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</si>
  <si>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</si>
  <si>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</si>
  <si>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</si>
  <si>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</si>
  <si>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</si>
  <si>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</si>
  <si>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</si>
  <si>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</si>
  <si>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</si>
  <si>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</si>
  <si>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</si>
  <si>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</si>
  <si>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</si>
  <si>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</si>
  <si>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</si>
  <si>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</si>
  <si>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</si>
  <si>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</si>
  <si>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</si>
  <si>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</si>
  <si>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</si>
  <si>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</si>
  <si>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</si>
  <si>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</si>
  <si>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</si>
  <si>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</si>
  <si>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</si>
  <si>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</si>
  <si>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</si>
  <si>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</si>
  <si>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</si>
  <si>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</si>
  <si>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</si>
  <si>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</si>
  <si>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</si>
  <si>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</si>
  <si>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</si>
  <si>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</si>
  <si>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</si>
  <si>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</si>
  <si>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</si>
  <si>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</si>
  <si>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</si>
  <si>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</si>
  <si>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</si>
  <si>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</si>
  <si>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</si>
  <si>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</si>
  <si>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</si>
  <si>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</si>
  <si>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</si>
  <si>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</si>
  <si>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</si>
  <si>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</si>
  <si>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</si>
  <si>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</si>
  <si>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</si>
  <si>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</si>
  <si>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</si>
  <si>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</si>
  <si>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</si>
  <si>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</si>
  <si>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</si>
  <si>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</si>
  <si>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</si>
  <si>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</si>
  <si>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</si>
  <si>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</si>
  <si>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</si>
  <si>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</si>
  <si>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</si>
  <si>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</si>
  <si>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</si>
  <si>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</si>
  <si>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</si>
  <si>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</si>
  <si>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</si>
  <si>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</si>
  <si>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</si>
  <si>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</si>
  <si>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</si>
  <si>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</si>
  <si>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</si>
  <si>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</si>
  <si>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</si>
  <si>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</si>
  <si>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</si>
  <si>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</si>
  <si>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</si>
  <si>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</si>
  <si>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</si>
  <si>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</si>
  <si>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</si>
  <si>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</si>
  <si>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</si>
  <si>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</si>
  <si>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</si>
  <si>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</si>
  <si>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</si>
  <si>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</si>
  <si>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</si>
  <si>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</si>
  <si>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</si>
  <si>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</si>
  <si>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</si>
  <si>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</si>
  <si>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</si>
  <si>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</si>
  <si>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</si>
  <si>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</si>
  <si>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</si>
  <si>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</si>
  <si>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</si>
  <si>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</si>
  <si>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</si>
  <si>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</si>
  <si>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</si>
  <si>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</si>
  <si>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</si>
  <si>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</si>
  <si>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</si>
  <si>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</si>
  <si>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</si>
  <si>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</si>
  <si>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</si>
  <si>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</si>
  <si>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</si>
  <si>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</si>
  <si>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</si>
  <si>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</si>
  <si>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</si>
  <si>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</si>
  <si>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</si>
  <si>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</si>
  <si>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</si>
  <si>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</si>
  <si>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</si>
  <si>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</si>
  <si>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</si>
  <si>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</si>
  <si>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</si>
  <si>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</si>
  <si>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</si>
  <si>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</si>
  <si>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</si>
  <si>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</si>
  <si>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</si>
  <si>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</si>
  <si>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</si>
  <si>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</si>
  <si>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</si>
  <si>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</si>
  <si>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</si>
  <si>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</si>
  <si>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</si>
  <si>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</si>
  <si>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</si>
  <si>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</si>
  <si>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</si>
  <si>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</si>
  <si>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</si>
  <si>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</si>
  <si>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</si>
  <si>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</si>
  <si>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</si>
  <si>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</si>
  <si>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</si>
  <si>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</si>
  <si>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</si>
  <si>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</si>
  <si>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</si>
  <si>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</si>
  <si>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</si>
  <si>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</si>
  <si>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</si>
  <si>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</si>
  <si>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</si>
  <si>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</si>
  <si>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</si>
  <si>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</si>
  <si>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</si>
  <si>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</si>
  <si>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</si>
  <si>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</si>
  <si>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</si>
  <si>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</si>
  <si>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</si>
  <si>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</si>
  <si>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</si>
  <si>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</si>
  <si>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</si>
  <si>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</si>
  <si>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</si>
  <si>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</si>
  <si>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</si>
  <si>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</si>
  <si>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</si>
  <si>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</si>
  <si>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</si>
  <si>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</si>
  <si>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</si>
  <si>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</si>
  <si>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</si>
  <si>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</si>
  <si>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</si>
  <si>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</si>
  <si>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</si>
  <si>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</si>
  <si>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</si>
  <si>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</si>
  <si>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</si>
  <si>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</si>
  <si>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</si>
  <si>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</si>
  <si>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</si>
  <si>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</si>
  <si>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</si>
  <si>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</si>
  <si>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</si>
  <si>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</si>
  <si>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</si>
  <si>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</si>
  <si>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</si>
  <si>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</si>
  <si>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</si>
  <si>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</si>
  <si>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</si>
  <si>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</si>
  <si>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</si>
  <si>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</si>
  <si>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</si>
  <si>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</si>
  <si>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</si>
  <si>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</si>
  <si>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</si>
  <si>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</si>
  <si>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</si>
  <si>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</si>
  <si>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</si>
  <si>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</si>
  <si>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</si>
  <si>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</si>
  <si>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</si>
  <si>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</si>
  <si>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</si>
  <si>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</si>
  <si>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</si>
  <si>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</si>
  <si>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</si>
  <si>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</si>
  <si>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</si>
  <si>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</si>
  <si>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</si>
  <si>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</si>
  <si>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</si>
  <si>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</si>
  <si>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</si>
  <si>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</si>
  <si>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</si>
  <si>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</si>
  <si>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</si>
  <si>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</si>
  <si>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</si>
  <si>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</si>
  <si>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</si>
  <si>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</si>
  <si>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</si>
  <si>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</si>
  <si>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</si>
  <si>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</si>
  <si>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</si>
  <si>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</si>
  <si>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</si>
  <si>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</si>
  <si>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</si>
  <si>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</si>
  <si>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</si>
  <si>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</si>
  <si>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</si>
  <si>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</si>
  <si>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</si>
  <si>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</si>
  <si>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</si>
  <si>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</si>
  <si>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</si>
  <si>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</si>
  <si>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</si>
  <si>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</si>
  <si>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</si>
  <si>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</si>
  <si>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</si>
  <si>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</si>
  <si>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</si>
  <si>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</si>
  <si>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</si>
  <si>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</si>
  <si>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</si>
  <si>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</si>
  <si>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</si>
  <si>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</si>
  <si>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</si>
  <si>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</si>
  <si>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</si>
  <si>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</si>
  <si>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</si>
  <si>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</si>
  <si>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</si>
  <si>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</si>
  <si>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</si>
  <si>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</si>
  <si>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</si>
  <si>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</si>
  <si>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</si>
  <si>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</si>
  <si>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</si>
  <si>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</si>
  <si>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</si>
  <si>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</si>
  <si>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</si>
  <si>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</si>
  <si>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</si>
  <si>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</si>
  <si>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</si>
  <si>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</si>
  <si>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</si>
  <si>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</si>
  <si>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</si>
  <si>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</si>
  <si>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</si>
  <si>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</si>
  <si>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</si>
  <si>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</si>
  <si>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</si>
  <si>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</si>
  <si>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</si>
  <si>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</si>
  <si>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</si>
  <si>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</si>
  <si>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</si>
  <si>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</si>
  <si>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</si>
  <si>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</si>
  <si>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</si>
  <si>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</si>
  <si>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</si>
  <si>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</si>
  <si>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</si>
  <si>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</si>
  <si>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</si>
  <si>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</si>
  <si>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</si>
  <si>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</si>
  <si>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</si>
  <si>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</si>
  <si>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</si>
  <si>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</si>
  <si>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</si>
  <si>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</si>
  <si>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</si>
  <si>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</si>
  <si>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</si>
  <si>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</si>
  <si>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</si>
  <si>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</si>
  <si>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</si>
  <si>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</si>
  <si>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</si>
  <si>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</si>
  <si>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</si>
  <si>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</si>
  <si>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</si>
  <si>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</si>
  <si>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</si>
  <si>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</si>
  <si>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</si>
  <si>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</si>
  <si>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</si>
  <si>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</si>
  <si>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</si>
  <si>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</si>
  <si>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</si>
  <si>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</si>
  <si>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</si>
  <si>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</si>
  <si>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</si>
  <si>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</si>
  <si>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</si>
  <si>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</si>
  <si>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</si>
  <si>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</si>
  <si>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</si>
  <si>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</si>
  <si>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</si>
  <si>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</si>
  <si>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</si>
  <si>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</si>
  <si>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</si>
  <si>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</si>
  <si>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</si>
  <si>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</si>
  <si>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</si>
  <si>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</si>
  <si>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</si>
  <si>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</si>
  <si>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</si>
  <si>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</si>
  <si>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</si>
  <si>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</si>
  <si>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</si>
  <si>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</si>
  <si>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</si>
  <si>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</si>
  <si>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</si>
  <si>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</si>
  <si>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</si>
  <si>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</si>
  <si>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</si>
  <si>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</si>
  <si>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</si>
  <si>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</si>
  <si>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</si>
  <si>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</si>
  <si>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</si>
  <si>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</si>
  <si>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</si>
  <si>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</si>
  <si>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</si>
  <si>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</si>
  <si>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</si>
  <si>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</si>
  <si>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</si>
  <si>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</si>
  <si>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</si>
  <si>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</si>
  <si>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</si>
  <si>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</si>
  <si>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</si>
  <si>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</si>
  <si>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</si>
  <si>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</si>
  <si>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</si>
  <si>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</si>
  <si>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</si>
  <si>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</si>
  <si>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</si>
  <si>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</si>
  <si>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</si>
  <si>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</si>
  <si>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</si>
  <si>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</si>
  <si>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</si>
  <si>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</si>
  <si>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</si>
  <si>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</si>
  <si>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</si>
  <si>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</si>
  <si>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</si>
  <si>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</si>
  <si>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</si>
  <si>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</si>
  <si>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</si>
  <si>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</si>
  <si>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</si>
  <si>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</si>
  <si>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</si>
  <si>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</si>
  <si>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</si>
  <si>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</si>
  <si>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</si>
  <si>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</si>
  <si>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</si>
  <si>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</si>
  <si>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</si>
  <si>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</si>
  <si>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</si>
  <si>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</si>
  <si>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</si>
  <si>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</si>
  <si>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</si>
  <si>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</si>
  <si>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</si>
  <si>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</si>
  <si>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</si>
  <si>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</si>
  <si>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</si>
  <si>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</si>
  <si>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</si>
  <si>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</si>
  <si>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</si>
  <si>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</si>
  <si>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</si>
  <si>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</si>
  <si>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</si>
  <si>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</si>
  <si>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</si>
  <si>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</si>
  <si>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</si>
  <si>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</si>
  <si>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</si>
  <si>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</si>
  <si>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</si>
  <si>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</si>
  <si>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</si>
  <si>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</si>
  <si>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</si>
  <si>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</si>
  <si>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</si>
  <si>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</si>
  <si>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</si>
  <si>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</si>
  <si>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</si>
  <si>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</si>
  <si>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</si>
  <si>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</si>
  <si>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</si>
  <si>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</si>
  <si>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</si>
  <si>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</si>
  <si>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</si>
  <si>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</si>
  <si>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</si>
  <si>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</si>
  <si>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</si>
  <si>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</si>
  <si>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</si>
  <si>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</si>
  <si>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</si>
  <si>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</si>
  <si>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</si>
  <si>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</si>
  <si>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</si>
  <si>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</si>
  <si>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</si>
  <si>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</si>
  <si>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</si>
  <si>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</si>
  <si>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</si>
  <si>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</si>
  <si>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</si>
  <si>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</si>
  <si>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</si>
  <si>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</si>
  <si>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</si>
  <si>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</si>
  <si>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</si>
  <si>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</si>
  <si>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</si>
  <si>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</si>
  <si>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</si>
  <si>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</si>
  <si>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</si>
  <si>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</si>
  <si>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</si>
  <si>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</si>
  <si>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</si>
  <si>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</si>
  <si>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</si>
  <si>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</si>
  <si>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</si>
  <si>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</si>
  <si>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</si>
  <si>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</si>
  <si>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</si>
  <si>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</si>
  <si>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</si>
  <si>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</si>
  <si>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</si>
  <si>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</si>
  <si>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</si>
  <si>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</si>
  <si>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</si>
  <si>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</si>
  <si>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</si>
  <si>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</si>
  <si>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</si>
  <si>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</si>
  <si>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</si>
  <si>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</si>
  <si>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</si>
  <si>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</si>
  <si>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</si>
  <si>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</si>
  <si>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</si>
  <si>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</si>
  <si>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</si>
  <si>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</si>
  <si>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</si>
  <si>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</si>
  <si>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</si>
  <si>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</si>
  <si>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</si>
  <si>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</si>
  <si>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</si>
  <si>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</si>
  <si>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</si>
  <si>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</si>
  <si>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</si>
  <si>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</si>
  <si>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</si>
  <si>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</si>
  <si>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</si>
  <si>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</si>
  <si>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</si>
  <si>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</si>
  <si>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</si>
  <si>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</si>
  <si>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</si>
  <si>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</si>
  <si>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</si>
  <si>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</si>
  <si>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</si>
  <si>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</si>
  <si>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</si>
  <si>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</si>
  <si>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</si>
  <si>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</si>
  <si>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</si>
  <si>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</si>
  <si>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</si>
  <si>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</si>
  <si>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</si>
  <si>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</si>
  <si>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</si>
  <si>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</si>
  <si>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</si>
  <si>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</si>
  <si>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</si>
  <si>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</si>
  <si>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</si>
  <si>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</si>
  <si>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</si>
  <si>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</si>
  <si>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</si>
  <si>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</si>
  <si>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</si>
  <si>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</si>
  <si>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</si>
  <si>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</si>
  <si>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</si>
  <si>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</si>
  <si>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</si>
  <si>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</si>
  <si>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</si>
  <si>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</si>
  <si>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</si>
  <si>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</si>
  <si>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</si>
  <si>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</si>
  <si>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</si>
  <si>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</si>
  <si>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</si>
  <si>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</si>
  <si>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</si>
  <si>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</si>
  <si>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</si>
  <si>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</si>
  <si>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</si>
  <si>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</si>
  <si>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</si>
  <si>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</si>
  <si>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</si>
  <si>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</si>
  <si>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</si>
  <si>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</si>
  <si>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</si>
  <si>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</si>
  <si>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</si>
  <si>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</si>
  <si>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</si>
  <si>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</si>
  <si>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</si>
  <si>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</si>
  <si>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</si>
  <si>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</si>
  <si>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</si>
  <si>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</si>
  <si>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</si>
  <si>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</si>
  <si>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</si>
  <si>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</si>
  <si>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</si>
  <si>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</si>
  <si>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</si>
  <si>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</si>
  <si>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</si>
  <si>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</si>
  <si>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</si>
  <si>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</si>
  <si>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</si>
  <si>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</si>
  <si>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</si>
  <si>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</si>
  <si>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</si>
  <si>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</si>
  <si>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</si>
  <si>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</si>
  <si>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</si>
  <si>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</si>
  <si>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</si>
  <si>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</si>
  <si>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</si>
  <si>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</si>
  <si>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</si>
  <si>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</si>
  <si>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</si>
  <si>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</si>
  <si>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</si>
  <si>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</si>
  <si>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</si>
  <si>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</si>
  <si>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</si>
  <si>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</si>
  <si>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</si>
  <si>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</si>
  <si>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</si>
  <si>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</si>
  <si>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</si>
  <si>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</si>
  <si>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</si>
  <si>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</si>
  <si>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</si>
  <si>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</si>
  <si>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</si>
  <si>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</si>
  <si>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</si>
  <si>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</si>
  <si>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</si>
  <si>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</si>
  <si>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</si>
  <si>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</si>
  <si>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</si>
  <si>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</si>
  <si>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</si>
  <si>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</si>
  <si>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</si>
  <si>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</si>
  <si>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</si>
  <si>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</si>
  <si>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</si>
  <si>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</si>
  <si>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</si>
  <si>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</si>
  <si>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</si>
  <si>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</si>
  <si>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</si>
  <si>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</si>
  <si>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</si>
  <si>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</si>
  <si>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</si>
  <si>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</si>
  <si>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</si>
  <si>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</si>
  <si>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</si>
  <si>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</si>
  <si>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</si>
  <si>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</si>
  <si>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</si>
  <si>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</si>
  <si>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</si>
  <si>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</si>
  <si>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</si>
  <si>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</si>
  <si>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</si>
  <si>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</si>
  <si>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</si>
  <si>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</si>
  <si>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</si>
  <si>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</si>
  <si>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</si>
  <si>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</si>
  <si>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</si>
  <si>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</si>
  <si>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</si>
  <si>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</si>
  <si>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</si>
  <si>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</si>
  <si>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</si>
  <si>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</si>
  <si>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</si>
  <si>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</si>
  <si>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</si>
  <si>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</si>
  <si>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</si>
  <si>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</si>
  <si>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</si>
  <si>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</si>
  <si>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</si>
  <si>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</si>
  <si>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</si>
  <si>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</si>
  <si>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</si>
  <si>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</si>
  <si>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</si>
  <si>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</si>
  <si>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</si>
  <si>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</si>
  <si>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</si>
  <si>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</si>
  <si>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</si>
  <si>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</si>
  <si>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</si>
  <si>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</si>
  <si>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</si>
  <si>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</si>
  <si>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</si>
  <si>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</si>
  <si>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</si>
  <si>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</si>
  <si>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</si>
  <si>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</si>
  <si>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</si>
  <si>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</si>
  <si>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</si>
  <si>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</si>
  <si>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</si>
  <si>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</si>
  <si>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</si>
  <si>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</si>
  <si>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</si>
  <si>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</si>
  <si>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</si>
  <si>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</si>
  <si>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</si>
  <si>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</si>
  <si>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</si>
  <si>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</si>
  <si>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</si>
  <si>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</si>
  <si>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</si>
  <si>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</si>
  <si>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</si>
  <si>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</si>
  <si>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</si>
  <si>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</si>
  <si>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</si>
  <si>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</si>
  <si>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</si>
  <si>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</si>
  <si>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</si>
  <si>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</si>
  <si>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</si>
  <si>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</si>
  <si>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</si>
  <si>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</si>
  <si>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</si>
  <si>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</si>
  <si>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</si>
  <si>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</si>
  <si>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</si>
  <si>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</si>
  <si>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</si>
  <si>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</si>
  <si>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</si>
  <si>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</si>
  <si>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</si>
  <si>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</si>
  <si>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</si>
  <si>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</si>
  <si>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</si>
  <si>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</si>
  <si>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</si>
  <si>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</si>
  <si>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</si>
  <si>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</si>
  <si>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</si>
  <si>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</si>
  <si>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</si>
  <si>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</si>
  <si>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</si>
  <si>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</si>
  <si>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</si>
  <si>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</si>
  <si>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</si>
  <si>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</si>
  <si>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</si>
  <si>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</si>
  <si>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</si>
  <si>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</si>
  <si>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</si>
  <si>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</si>
  <si>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</si>
  <si>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</si>
  <si>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</si>
  <si>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</si>
  <si>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</si>
  <si>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</si>
  <si>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</si>
  <si>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</si>
  <si>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</si>
  <si>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</si>
  <si>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</si>
  <si>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</si>
  <si>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</si>
  <si>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</si>
  <si>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</si>
  <si>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</si>
  <si>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</si>
  <si>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</si>
  <si>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</si>
  <si>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</si>
  <si>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</si>
  <si>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</si>
  <si>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</si>
  <si>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</si>
  <si>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</si>
  <si>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</si>
  <si>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</si>
  <si>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</si>
  <si>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</si>
  <si>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</si>
  <si>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</si>
  <si>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</si>
  <si>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</si>
  <si>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</si>
  <si>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</si>
  <si>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</si>
  <si>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</si>
  <si>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</si>
  <si>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</si>
  <si>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</si>
  <si>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</si>
  <si>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</si>
  <si>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</si>
  <si>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</si>
  <si>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</si>
  <si>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</si>
  <si>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</si>
  <si>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</si>
  <si>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</si>
  <si>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</si>
  <si>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</si>
  <si>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</si>
  <si>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</si>
  <si>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</si>
  <si>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</si>
  <si>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</si>
  <si>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</si>
  <si>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</si>
  <si>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</si>
  <si>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</si>
  <si>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</si>
  <si>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</si>
  <si>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</si>
  <si>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</si>
  <si>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</si>
  <si>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</si>
  <si>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</si>
  <si>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</si>
  <si>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</si>
  <si>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</si>
  <si>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</si>
  <si>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</si>
  <si>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</si>
  <si>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</si>
  <si>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</si>
  <si>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</si>
  <si>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</si>
  <si>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</si>
  <si>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</si>
  <si>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</si>
  <si>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</si>
  <si>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</si>
  <si>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</si>
  <si>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</si>
  <si>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</si>
  <si>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</si>
  <si>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</si>
  <si>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</si>
  <si>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</si>
  <si>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</si>
  <si>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</si>
  <si>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</si>
  <si>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</si>
  <si>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</si>
  <si>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</si>
  <si>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</si>
  <si>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</si>
  <si>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</si>
  <si>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</si>
  <si>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</si>
  <si>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</si>
  <si>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</si>
  <si>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</si>
  <si>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</si>
  <si>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</si>
  <si>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</si>
  <si>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</si>
  <si>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</si>
  <si>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</si>
  <si>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</si>
  <si>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</si>
  <si>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</si>
  <si>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</si>
  <si>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</si>
  <si>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</si>
  <si>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</si>
  <si>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</si>
  <si>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</si>
  <si>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</si>
  <si>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</si>
  <si>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</si>
  <si>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</si>
  <si>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</si>
  <si>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</si>
  <si>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</si>
  <si>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</si>
  <si>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</si>
  <si>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</si>
  <si>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</si>
  <si>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</si>
  <si>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</si>
  <si>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</si>
  <si>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</si>
  <si>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</si>
  <si>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</si>
  <si>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</si>
  <si>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</si>
  <si>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</si>
  <si>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</si>
  <si>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</si>
  <si>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</si>
  <si>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</si>
  <si>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</si>
  <si>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</si>
  <si>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</si>
  <si>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</si>
  <si>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</si>
  <si>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</si>
  <si>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</si>
  <si>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</si>
  <si>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</si>
  <si>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</si>
  <si>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</si>
  <si>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</si>
  <si>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</si>
  <si>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</si>
  <si>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</si>
  <si>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</si>
  <si>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</si>
  <si>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</si>
  <si>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</si>
  <si>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</si>
  <si>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</si>
  <si>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</si>
  <si>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</si>
  <si>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</si>
  <si>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</si>
  <si>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</si>
  <si>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</si>
  <si>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</si>
  <si>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</si>
  <si>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</si>
  <si>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</si>
  <si>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</si>
  <si>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</si>
  <si>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</si>
  <si>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</si>
  <si>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</si>
  <si>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</si>
  <si>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</si>
  <si>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</si>
  <si>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</si>
  <si>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</si>
  <si>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</si>
  <si>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</si>
  <si>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</si>
  <si>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</si>
  <si>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</si>
  <si>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</si>
  <si>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</si>
  <si>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</si>
  <si>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</si>
  <si>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</si>
  <si>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</si>
  <si>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</si>
  <si>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</si>
  <si>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</si>
  <si>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</si>
  <si>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</si>
  <si>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</si>
  <si>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</si>
  <si>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</si>
  <si>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</si>
  <si>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</si>
  <si>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</si>
  <si>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</si>
  <si>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</si>
  <si>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</si>
  <si>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</si>
  <si>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</si>
  <si>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</si>
  <si>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</si>
  <si>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</si>
  <si>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</si>
  <si>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</si>
  <si>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</si>
  <si>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</si>
  <si>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</si>
  <si>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</si>
  <si>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</si>
  <si>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</si>
  <si>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</si>
  <si>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</si>
  <si>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</si>
  <si>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</si>
  <si>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</si>
  <si>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</si>
  <si>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</si>
  <si>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</si>
  <si>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</si>
  <si>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</si>
  <si>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</si>
  <si>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</si>
  <si>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</si>
  <si>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</si>
  <si>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</si>
  <si>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</si>
  <si>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</si>
  <si>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</si>
  <si>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</si>
  <si>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</si>
  <si>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</si>
  <si>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</si>
  <si>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</si>
  <si>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</si>
  <si>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</si>
  <si>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</si>
  <si>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</si>
  <si>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</si>
  <si>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</si>
  <si>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</si>
  <si>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</si>
  <si>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</si>
  <si>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</si>
  <si>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</si>
  <si>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</si>
  <si>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</si>
  <si>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</si>
  <si>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</si>
  <si>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</si>
  <si>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</si>
  <si>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</si>
  <si>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</si>
  <si>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</si>
  <si>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</si>
  <si>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</si>
  <si>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</si>
  <si>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</si>
  <si>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</si>
  <si>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</si>
  <si>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</si>
  <si>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</si>
  <si>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</si>
  <si>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</si>
  <si>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</si>
  <si>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</si>
  <si>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</si>
  <si>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</si>
  <si>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</si>
  <si>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</si>
  <si>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</si>
  <si>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</si>
  <si>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</si>
  <si>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</si>
  <si>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</si>
  <si>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</si>
  <si>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</si>
  <si>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</si>
  <si>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</si>
  <si>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</si>
  <si>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</si>
  <si>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</si>
  <si>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</si>
  <si>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</si>
  <si>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</si>
  <si>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</si>
  <si>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</si>
  <si>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</si>
  <si>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</si>
  <si>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</si>
  <si>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</si>
  <si>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</si>
  <si>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</si>
  <si>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</si>
  <si>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</si>
  <si>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</si>
  <si>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</si>
  <si>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</si>
  <si>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</si>
  <si>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</si>
  <si>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</si>
  <si>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</si>
  <si>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</si>
  <si>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</si>
  <si>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</si>
  <si>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</si>
  <si>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</si>
  <si>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</si>
  <si>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</si>
  <si>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</si>
  <si>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</si>
  <si>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</si>
  <si>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</si>
  <si>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</si>
  <si>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</si>
  <si>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</si>
  <si>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</si>
  <si>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</si>
  <si>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</si>
  <si>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</si>
  <si>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</si>
  <si>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</si>
  <si>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</si>
  <si>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</si>
  <si>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</si>
  <si>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</si>
  <si>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</si>
  <si>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</si>
  <si>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</si>
  <si>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</si>
  <si>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</si>
  <si>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</si>
  <si>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</si>
  <si>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</si>
  <si>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</si>
  <si>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</si>
  <si>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</si>
  <si>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</si>
  <si>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</si>
  <si>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</si>
  <si>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</si>
  <si>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</si>
  <si>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</si>
  <si>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</si>
  <si>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</si>
  <si>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</si>
  <si>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</si>
  <si>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</si>
  <si>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</si>
  <si>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</si>
  <si>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</si>
  <si>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</si>
  <si>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</si>
  <si>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</si>
  <si>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</si>
  <si>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</si>
  <si>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</si>
  <si>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</si>
  <si>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</si>
  <si>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</si>
  <si>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</si>
  <si>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</si>
  <si>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</si>
  <si>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</si>
  <si>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</si>
  <si>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</si>
  <si>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</si>
  <si>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</si>
  <si>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</si>
  <si>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</si>
  <si>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</si>
  <si>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</si>
  <si>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</si>
  <si>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</si>
  <si>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</si>
  <si>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</si>
  <si>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</si>
  <si>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</si>
  <si>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</si>
  <si>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</si>
  <si>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</si>
  <si>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</si>
  <si>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</si>
  <si>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</si>
  <si>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</si>
  <si>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</si>
  <si>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</si>
  <si>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</si>
  <si>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</si>
  <si>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</si>
  <si>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</si>
  <si>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</si>
  <si>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</si>
  <si>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</si>
  <si>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</si>
  <si>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</si>
  <si>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</si>
  <si>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</si>
  <si>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</si>
  <si>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</si>
  <si>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</si>
  <si>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</si>
  <si>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</si>
  <si>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</si>
  <si>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</si>
  <si>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</si>
  <si>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</si>
  <si>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</si>
  <si>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</si>
  <si>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</si>
  <si>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</si>
  <si>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</si>
  <si>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</si>
  <si>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</si>
  <si>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</si>
  <si>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</si>
  <si>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</si>
  <si>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</si>
  <si>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</si>
  <si>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</si>
  <si>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</si>
  <si>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</si>
  <si>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</si>
  <si>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</si>
  <si>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</si>
  <si>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</si>
  <si>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</si>
  <si>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</si>
  <si>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</si>
  <si>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</si>
  <si>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</si>
  <si>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</si>
  <si>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</si>
  <si>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</si>
  <si>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</si>
  <si>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</si>
  <si>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</si>
  <si>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</si>
  <si>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</si>
  <si>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</si>
  <si>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</si>
  <si>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</si>
  <si>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</si>
  <si>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</si>
  <si>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</si>
  <si>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</si>
  <si>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</si>
  <si>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</si>
  <si>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</si>
  <si>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</si>
  <si>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</si>
  <si>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</si>
  <si>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</si>
  <si>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</si>
  <si>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</si>
  <si>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</si>
  <si>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</si>
  <si>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</si>
  <si>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</si>
  <si>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</si>
  <si>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</si>
  <si>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</si>
  <si>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</si>
  <si>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</si>
  <si>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</si>
  <si>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</si>
  <si>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</si>
  <si>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</si>
  <si>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</si>
  <si>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</si>
  <si>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</si>
  <si>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</si>
  <si>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</si>
  <si>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</si>
  <si>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</si>
  <si>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</si>
  <si>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</si>
  <si>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</si>
  <si>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</si>
  <si>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</si>
  <si>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</si>
  <si>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</si>
  <si>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</si>
  <si>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</si>
  <si>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</si>
  <si>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</si>
  <si>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</si>
  <si>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</si>
  <si>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</si>
  <si>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</si>
  <si>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</si>
  <si>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</si>
  <si>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</si>
  <si>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</si>
  <si>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</si>
  <si>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</si>
  <si>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</si>
  <si>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</si>
  <si>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</si>
  <si>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</si>
  <si>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</si>
  <si>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</si>
  <si>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</si>
  <si>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</si>
  <si>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</si>
  <si>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</si>
  <si>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</si>
  <si>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</si>
  <si>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</si>
  <si>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</si>
  <si>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</si>
  <si>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</si>
  <si>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</si>
  <si>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</si>
  <si>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</si>
  <si>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</si>
  <si>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</si>
  <si>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</si>
  <si>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</si>
  <si>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</si>
  <si>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</si>
  <si>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</si>
  <si>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</si>
  <si>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</si>
  <si>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</si>
  <si>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</si>
  <si>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</si>
  <si>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</si>
  <si>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</si>
  <si>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</si>
  <si>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</si>
  <si>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</si>
  <si>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</si>
  <si>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</si>
  <si>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</si>
  <si>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</si>
  <si>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</si>
  <si>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</si>
  <si>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</si>
  <si>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</si>
  <si>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</si>
  <si>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</si>
  <si>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</si>
  <si>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</si>
  <si>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</si>
  <si>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</si>
  <si>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</si>
  <si>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</si>
  <si>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</si>
  <si>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</si>
  <si>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</si>
  <si>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</si>
  <si>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</si>
  <si>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</si>
  <si>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</si>
  <si>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</si>
  <si>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</si>
  <si>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</si>
  <si>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</si>
  <si>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</si>
  <si>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</si>
  <si>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</si>
  <si>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</si>
  <si>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</si>
  <si>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</si>
  <si>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</si>
  <si>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</si>
  <si>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</si>
  <si>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</si>
  <si>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</si>
  <si>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</si>
  <si>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</si>
  <si>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</si>
  <si>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</si>
  <si>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</si>
  <si>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</si>
  <si>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</si>
  <si>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</si>
  <si>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</si>
  <si>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</si>
  <si>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</si>
  <si>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</si>
  <si>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</si>
  <si>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</si>
  <si>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</si>
  <si>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</si>
  <si>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</si>
  <si>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</si>
  <si>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</si>
  <si>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</si>
  <si>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</si>
  <si>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</si>
  <si>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</si>
  <si>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</si>
  <si>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</si>
  <si>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</si>
  <si>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</si>
  <si>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</si>
  <si>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</si>
  <si>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</si>
  <si>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</si>
  <si>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</si>
  <si>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</si>
  <si>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</si>
  <si>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</si>
  <si>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</si>
  <si>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</si>
  <si>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</si>
  <si>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</si>
  <si>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</si>
  <si>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</si>
  <si>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</si>
  <si>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</si>
  <si>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</si>
  <si>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</si>
  <si>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</si>
  <si>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</si>
  <si>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</si>
  <si>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</si>
  <si>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</si>
  <si>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</si>
  <si>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</si>
  <si>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</si>
  <si>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</si>
  <si>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</si>
  <si>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</si>
  <si>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</si>
  <si>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</si>
  <si>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</si>
  <si>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</si>
  <si>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</si>
  <si>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</si>
  <si>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</si>
  <si>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</si>
  <si>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</si>
  <si>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</si>
  <si>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</si>
  <si>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</si>
  <si>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</si>
  <si>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</si>
  <si>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</si>
  <si>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</si>
  <si>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</si>
  <si>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</si>
  <si>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</si>
  <si>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</si>
  <si>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</si>
  <si>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</si>
  <si>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</si>
  <si>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</si>
  <si>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</si>
  <si>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</si>
  <si>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</si>
  <si>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</si>
  <si>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</si>
  <si>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</si>
  <si>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</si>
  <si>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</si>
  <si>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</si>
  <si>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</si>
  <si>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</si>
  <si>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</si>
  <si>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</si>
  <si>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</si>
  <si>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</si>
  <si>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</si>
  <si>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</si>
  <si>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</si>
  <si>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</si>
  <si>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</si>
  <si>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</si>
  <si>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</si>
  <si>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</si>
  <si>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</si>
  <si>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</si>
  <si>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</si>
  <si>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</si>
  <si>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</si>
  <si>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</si>
  <si>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</si>
  <si>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</si>
  <si>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</si>
  <si>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</si>
  <si>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</si>
  <si>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</si>
  <si>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</si>
  <si>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</si>
  <si>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</si>
  <si>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</si>
  <si>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</si>
  <si>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</si>
  <si>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</si>
  <si>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</si>
  <si>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</si>
  <si>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</si>
  <si>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</si>
  <si>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</si>
  <si>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</si>
  <si>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</si>
  <si>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</si>
  <si>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</si>
  <si>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</si>
  <si>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</si>
  <si>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</si>
  <si>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</si>
  <si>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</si>
  <si>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</si>
  <si>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</si>
  <si>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</si>
  <si>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</si>
  <si>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</si>
  <si>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</si>
  <si>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</si>
  <si>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</si>
  <si>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</si>
  <si>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</si>
  <si>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</si>
  <si>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</si>
  <si>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</si>
  <si>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</si>
  <si>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</si>
  <si>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</si>
  <si>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</si>
  <si>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</si>
  <si>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</si>
  <si>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</si>
  <si>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</si>
  <si>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</si>
  <si>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</si>
  <si>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</si>
  <si>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</si>
  <si>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</si>
  <si>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</si>
  <si>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</si>
  <si>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</si>
  <si>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</si>
  <si>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</si>
  <si>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</si>
  <si>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</si>
  <si>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</si>
  <si>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</si>
  <si>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</si>
  <si>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</si>
  <si>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</si>
  <si>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</si>
  <si>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</si>
  <si>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</si>
  <si>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</si>
  <si>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</si>
  <si>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</si>
  <si>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</si>
  <si>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</si>
  <si>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</si>
  <si>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</si>
  <si>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</si>
  <si>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</si>
  <si>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</si>
  <si>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</si>
  <si>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</si>
  <si>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</si>
  <si>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</si>
  <si>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</si>
  <si>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</si>
  <si>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</si>
  <si>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</si>
  <si>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</si>
  <si>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</si>
  <si>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</si>
  <si>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</si>
  <si>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</si>
  <si>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</si>
  <si>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</si>
  <si>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</si>
  <si>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</si>
  <si>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</si>
  <si>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</si>
  <si>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</si>
  <si>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</si>
  <si>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</si>
  <si>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</si>
  <si>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</si>
  <si>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</si>
  <si>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</si>
  <si>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</si>
  <si>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</si>
  <si>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</si>
  <si>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</si>
  <si>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</si>
  <si>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</si>
  <si>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</si>
  <si>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</si>
  <si>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</si>
  <si>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</si>
  <si>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</si>
  <si>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</si>
  <si>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</si>
  <si>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</si>
  <si>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</si>
  <si>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</si>
  <si>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</si>
  <si>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</si>
  <si>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</si>
  <si>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</si>
  <si>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</si>
  <si>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</si>
  <si>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</si>
  <si>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</si>
  <si>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</si>
  <si>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</si>
  <si>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</si>
  <si>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</si>
  <si>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</si>
  <si>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</si>
  <si>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</si>
  <si>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</si>
  <si>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</si>
  <si>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</si>
  <si>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</si>
  <si>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</si>
  <si>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</si>
  <si>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</si>
  <si>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</si>
  <si>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</si>
  <si>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</si>
  <si>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</si>
  <si>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</si>
  <si>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</si>
  <si>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</si>
  <si>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</si>
  <si>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</si>
  <si>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</si>
  <si>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</si>
  <si>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</si>
  <si>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</si>
  <si>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</si>
  <si>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</si>
  <si>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</si>
  <si>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</si>
  <si>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</si>
  <si>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</si>
  <si>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</si>
  <si>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</si>
  <si>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</si>
  <si>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</si>
  <si>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</si>
  <si>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</si>
  <si>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</si>
  <si>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</si>
  <si>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</si>
  <si>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</si>
  <si>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</si>
  <si>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</si>
  <si>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</si>
  <si>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</si>
  <si>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</si>
  <si>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</si>
  <si>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</si>
  <si>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</si>
  <si>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</si>
  <si>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</si>
  <si>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</si>
  <si>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</si>
  <si>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</si>
  <si>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</si>
  <si>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</si>
  <si>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</si>
  <si>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</si>
  <si>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</si>
  <si>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</si>
  <si>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</si>
  <si>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</si>
  <si>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</si>
  <si>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</si>
  <si>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</si>
  <si>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</si>
  <si>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</si>
  <si>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</si>
  <si>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</si>
  <si>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</si>
  <si>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</si>
  <si>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</si>
  <si>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</si>
  <si>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</si>
  <si>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</si>
  <si>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</si>
  <si>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</si>
  <si>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</si>
  <si>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</si>
  <si>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</si>
  <si>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</si>
  <si>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</si>
  <si>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</si>
  <si>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</si>
  <si>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</si>
  <si>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</si>
  <si>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</si>
  <si>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</si>
  <si>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</si>
  <si>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</si>
  <si>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</si>
  <si>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</si>
  <si>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</si>
  <si>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</si>
  <si>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</si>
  <si>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</si>
  <si>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</si>
  <si>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</si>
  <si>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</si>
  <si>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</si>
  <si>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</si>
  <si>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</si>
  <si>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</si>
  <si>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</si>
  <si>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</si>
  <si>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</si>
  <si>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</si>
  <si>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</si>
  <si>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</si>
  <si>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</si>
  <si>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</si>
  <si>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</si>
  <si>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</si>
  <si>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</si>
  <si>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</si>
  <si>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</si>
  <si>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</si>
  <si>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</si>
  <si>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</si>
  <si>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</si>
  <si>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</si>
  <si>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</si>
  <si>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</si>
  <si>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</si>
  <si>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</si>
  <si>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</si>
  <si>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</si>
  <si>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</si>
  <si>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</si>
  <si>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</si>
  <si>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</si>
  <si>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</si>
  <si>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</si>
  <si>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</si>
  <si>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</si>
  <si>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</si>
  <si>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</si>
  <si>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</si>
  <si>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</si>
  <si>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</si>
  <si>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</si>
  <si>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</si>
  <si>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</si>
  <si>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</si>
  <si>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</si>
  <si>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</si>
  <si>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</si>
  <si>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</si>
  <si>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</si>
  <si>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</si>
  <si>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</si>
  <si>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</si>
  <si>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</si>
  <si>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</si>
  <si>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</si>
  <si>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</si>
  <si>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</si>
  <si>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</si>
  <si>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</si>
  <si>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</si>
  <si>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</si>
  <si>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</si>
  <si>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</si>
  <si>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</si>
  <si>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</si>
  <si>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</si>
  <si>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</si>
  <si>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</si>
  <si>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</si>
  <si>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</si>
  <si>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</si>
  <si>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</si>
  <si>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</si>
  <si>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</si>
  <si>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</si>
  <si>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</si>
  <si>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</si>
  <si>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</si>
  <si>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</si>
  <si>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</si>
  <si>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</si>
  <si>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</si>
  <si>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</si>
  <si>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</si>
  <si>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</si>
  <si>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</si>
  <si>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</si>
  <si>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</si>
  <si>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</si>
  <si>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</si>
  <si>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</si>
  <si>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</si>
  <si>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</si>
  <si>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</si>
  <si>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</si>
  <si>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</si>
  <si>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</si>
  <si>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</si>
  <si>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</si>
  <si>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</si>
  <si>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</si>
  <si>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</si>
  <si>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</si>
  <si>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</si>
  <si>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</si>
  <si>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</si>
  <si>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</si>
  <si>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</si>
  <si>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</si>
  <si>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</si>
  <si>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</si>
  <si>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</si>
  <si>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</si>
  <si>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</si>
  <si>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</si>
  <si>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</si>
  <si>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</si>
  <si>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</si>
  <si>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</si>
  <si>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</si>
  <si>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</si>
  <si>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</si>
  <si>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</si>
  <si>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</si>
  <si>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</si>
  <si>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</si>
  <si>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</si>
  <si>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</si>
  <si>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</si>
  <si>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</si>
  <si>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</si>
  <si>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</si>
  <si>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</si>
  <si>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</si>
  <si>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</si>
  <si>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</si>
  <si>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</si>
  <si>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</si>
  <si>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</si>
  <si>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</si>
  <si>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</si>
  <si>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</si>
  <si>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</si>
  <si>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</si>
  <si>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</si>
  <si>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</si>
  <si>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</si>
  <si>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</si>
  <si>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</si>
  <si>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</si>
  <si>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</si>
  <si>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</si>
  <si>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</si>
  <si>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</si>
  <si>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</si>
  <si>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</si>
  <si>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</si>
  <si>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</si>
  <si>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</si>
  <si>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</si>
  <si>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</si>
  <si>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</si>
  <si>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</si>
  <si>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</si>
  <si>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</si>
  <si>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</si>
  <si>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</si>
  <si>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</si>
  <si>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</si>
  <si>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</si>
  <si>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</si>
  <si>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</si>
  <si>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</si>
  <si>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</si>
  <si>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</si>
  <si>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</si>
  <si>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</si>
  <si>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</si>
  <si>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</si>
  <si>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</si>
  <si>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</si>
  <si>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</si>
  <si>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</si>
  <si>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</si>
  <si>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</si>
  <si>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</si>
  <si>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</si>
  <si>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</si>
  <si>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</si>
  <si>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</si>
  <si>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</si>
  <si>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</si>
  <si>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</si>
  <si>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</si>
  <si>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</si>
  <si>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</si>
  <si>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</si>
  <si>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</si>
  <si>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</si>
  <si>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</si>
  <si>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</si>
  <si>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</si>
  <si>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</si>
  <si>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</si>
  <si>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</si>
  <si>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</si>
  <si>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</si>
  <si>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</si>
  <si>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</si>
  <si>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</si>
  <si>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</si>
  <si>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</si>
  <si>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</si>
  <si>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</si>
  <si>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</si>
  <si>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</si>
  <si>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</si>
  <si>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</si>
  <si>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</si>
  <si>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</si>
  <si>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</si>
  <si>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</si>
  <si>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</si>
  <si>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</si>
  <si>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</si>
  <si>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</si>
  <si>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</si>
  <si>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</si>
  <si>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</si>
  <si>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</si>
  <si>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</si>
  <si>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</si>
  <si>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</si>
  <si>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</si>
  <si>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</si>
  <si>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</si>
  <si>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</si>
  <si>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</si>
  <si>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</si>
  <si>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</si>
  <si>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</si>
  <si>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</si>
  <si>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</si>
  <si>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</si>
  <si>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</si>
  <si>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</si>
  <si>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</si>
  <si>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</si>
  <si>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</si>
  <si>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</si>
  <si>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</si>
  <si>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</si>
  <si>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</si>
  <si>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</si>
  <si>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</si>
  <si>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</si>
  <si>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</si>
  <si>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</si>
  <si>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</si>
  <si>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</si>
  <si>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</si>
  <si>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</si>
  <si>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</si>
  <si>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</si>
  <si>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</si>
  <si>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</si>
  <si>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</si>
  <si>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</si>
  <si>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</si>
  <si>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</si>
  <si>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</si>
  <si>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</si>
  <si>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</si>
  <si>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</si>
  <si>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</si>
  <si>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</si>
  <si>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</si>
  <si>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</si>
  <si>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</si>
  <si>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</si>
  <si>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</si>
  <si>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</si>
  <si>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</si>
  <si>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</si>
  <si>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</si>
  <si>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</si>
  <si>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</si>
  <si>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</si>
  <si>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</si>
  <si>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</si>
  <si>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</si>
  <si>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</si>
  <si>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</si>
  <si>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</si>
  <si>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</si>
  <si>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</si>
  <si>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</si>
  <si>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</si>
  <si>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</si>
  <si>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</si>
  <si>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</si>
  <si>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</si>
  <si>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</si>
  <si>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</si>
  <si>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</si>
  <si>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</si>
  <si>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</si>
  <si>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</si>
  <si>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</si>
  <si>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</si>
  <si>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</si>
  <si>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</si>
  <si>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</si>
  <si>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</si>
  <si>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</si>
  <si>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</si>
  <si>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</si>
  <si>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</si>
  <si>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</si>
  <si>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</si>
  <si>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</si>
  <si>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</si>
  <si>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</si>
  <si>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</si>
  <si>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</si>
  <si>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</si>
  <si>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</si>
  <si>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</si>
  <si>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</si>
  <si>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</si>
  <si>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</si>
  <si>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</si>
  <si>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</si>
  <si>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</si>
  <si>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</si>
  <si>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</si>
  <si>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</si>
  <si>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</si>
  <si>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</si>
  <si>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</si>
  <si>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</si>
  <si>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</si>
  <si>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</si>
  <si>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</si>
  <si>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</si>
  <si>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</si>
  <si>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</si>
  <si>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</si>
  <si>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</si>
  <si>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</si>
  <si>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</si>
  <si>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</si>
  <si>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</si>
  <si>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</si>
  <si>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</si>
  <si>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</si>
  <si>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</si>
  <si>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</si>
  <si>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</si>
  <si>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</si>
  <si>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</si>
  <si>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</si>
  <si>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</si>
  <si>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</si>
  <si>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</si>
  <si>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</si>
  <si>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</si>
  <si>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</si>
  <si>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</si>
  <si>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</si>
  <si>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</si>
  <si>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</si>
  <si>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</si>
  <si>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</si>
  <si>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</si>
  <si>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</si>
  <si>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</si>
  <si>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</si>
  <si>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</si>
  <si>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</si>
  <si>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</si>
  <si>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</si>
  <si>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</si>
  <si>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</si>
  <si>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</si>
  <si>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</si>
  <si>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</si>
  <si>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</si>
  <si>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</si>
  <si>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</si>
  <si>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</si>
  <si>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</si>
  <si>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</si>
  <si>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</si>
  <si>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</si>
  <si>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</si>
  <si>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</si>
  <si>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</si>
  <si>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</si>
  <si>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</si>
  <si>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</si>
  <si>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</si>
  <si>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</si>
  <si>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</si>
  <si>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</si>
  <si>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</si>
  <si>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</si>
  <si>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</si>
  <si>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</si>
  <si>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</si>
  <si>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</si>
  <si>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</si>
  <si>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</si>
  <si>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</si>
  <si>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</si>
  <si>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</si>
  <si>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</si>
  <si>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</si>
  <si>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</si>
  <si>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</si>
  <si>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</si>
  <si>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</si>
  <si>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</si>
  <si>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</si>
  <si>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</si>
  <si>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</si>
  <si>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</si>
  <si>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</si>
  <si>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</si>
  <si>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</si>
  <si>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</si>
  <si>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</si>
  <si>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</si>
  <si>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</si>
  <si>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</si>
  <si>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</si>
  <si>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</si>
  <si>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</si>
  <si>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</si>
  <si>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</si>
  <si>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</si>
  <si>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</si>
  <si>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</si>
  <si>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</si>
  <si>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</si>
  <si>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</si>
  <si>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</si>
  <si>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</si>
  <si>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</si>
  <si>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</si>
  <si>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</si>
  <si>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</si>
  <si>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</si>
  <si>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</si>
  <si>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</si>
  <si>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</si>
  <si>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</si>
  <si>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</si>
  <si>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</si>
  <si>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</si>
  <si>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</si>
  <si>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</si>
  <si>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</si>
  <si>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</si>
  <si>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</si>
  <si>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</si>
  <si>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</si>
  <si>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</si>
  <si>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</si>
  <si>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</si>
  <si>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</si>
  <si>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</si>
  <si>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</si>
  <si>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</si>
  <si>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</si>
  <si>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</si>
  <si>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</si>
  <si>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</si>
  <si>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</si>
  <si>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</si>
  <si>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</si>
  <si>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</si>
  <si>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</si>
  <si>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</si>
  <si>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</si>
  <si>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</si>
  <si>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</si>
  <si>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</si>
  <si>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</si>
  <si>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</si>
  <si>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</si>
  <si>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</si>
  <si>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</si>
  <si>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</si>
  <si>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</si>
  <si>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</si>
  <si>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</si>
  <si>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</si>
  <si>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</si>
  <si>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</si>
  <si>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</si>
  <si>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</si>
  <si>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</si>
  <si>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</si>
  <si>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</si>
  <si>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</si>
  <si>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</si>
  <si>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</si>
  <si>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</si>
  <si>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</si>
  <si>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</si>
  <si>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</si>
  <si>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</si>
  <si>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</si>
  <si>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</si>
  <si>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</si>
  <si>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</si>
  <si>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</si>
  <si>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</si>
  <si>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</si>
  <si>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</si>
  <si>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</si>
  <si>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</si>
  <si>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</si>
  <si>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</si>
  <si>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</si>
  <si>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</si>
  <si>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</si>
  <si>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</si>
  <si>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</si>
  <si>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</si>
  <si>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</si>
  <si>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</si>
  <si>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</si>
  <si>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</si>
  <si>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</si>
  <si>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</si>
  <si>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</si>
  <si>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</si>
  <si>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</si>
  <si>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</si>
  <si>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</si>
  <si>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</si>
  <si>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</si>
  <si>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</si>
  <si>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</si>
  <si>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</si>
  <si>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</si>
  <si>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</si>
  <si>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</si>
  <si>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</si>
  <si>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</si>
  <si>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</si>
  <si>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</si>
  <si>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</si>
  <si>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</si>
  <si>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</si>
  <si>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</si>
  <si>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</si>
  <si>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</si>
  <si>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</si>
  <si>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</si>
  <si>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</si>
  <si>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</si>
  <si>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</si>
  <si>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</si>
  <si>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</si>
  <si>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</si>
  <si>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</si>
  <si>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</si>
  <si>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</si>
  <si>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</si>
  <si>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</si>
  <si>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</si>
  <si>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</si>
  <si>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</si>
  <si>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</si>
  <si>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</si>
  <si>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</si>
  <si>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</si>
  <si>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</si>
  <si>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</si>
  <si>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</si>
  <si>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</si>
  <si>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</si>
  <si>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</si>
  <si>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</si>
  <si>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</si>
  <si>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</si>
  <si>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</si>
  <si>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</si>
  <si>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</si>
  <si>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</si>
  <si>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</si>
  <si>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</si>
  <si>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</si>
  <si>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</si>
  <si>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</si>
  <si>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</si>
  <si>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</si>
  <si>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</si>
  <si>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</si>
  <si>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</si>
  <si>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</si>
  <si>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</si>
  <si>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</si>
  <si>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</si>
  <si>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</si>
  <si>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</si>
  <si>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</si>
  <si>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</si>
  <si>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</si>
  <si>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</si>
  <si>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</si>
  <si>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</si>
  <si>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</si>
  <si>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</si>
  <si>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</si>
  <si>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</si>
  <si>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</si>
  <si>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</si>
  <si>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</si>
  <si>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</si>
  <si>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</si>
  <si>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</si>
  <si>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</si>
  <si>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</si>
  <si>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</si>
  <si>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</si>
  <si>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</si>
  <si>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</si>
  <si>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</si>
  <si>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</si>
  <si>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</si>
  <si>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</si>
  <si>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</si>
  <si>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</si>
  <si>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</si>
  <si>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</si>
  <si>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</si>
  <si>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</si>
  <si>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</si>
  <si>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</si>
  <si>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</si>
  <si>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</si>
  <si>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</si>
  <si>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</si>
  <si>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</si>
  <si>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</si>
  <si>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</si>
  <si>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</si>
  <si>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</si>
  <si>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</si>
  <si>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</si>
  <si>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</si>
  <si>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</si>
  <si>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</si>
  <si>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</si>
  <si>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</si>
  <si>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</si>
  <si>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</si>
  <si>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</si>
  <si>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</si>
  <si>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</si>
  <si>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</si>
  <si>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</si>
  <si>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</si>
  <si>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</si>
  <si>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</si>
  <si>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</si>
  <si>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</si>
  <si>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</si>
  <si>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</si>
  <si>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</si>
  <si>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</si>
  <si>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</si>
  <si>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</si>
  <si>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</si>
  <si>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</si>
  <si>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</si>
  <si>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</si>
  <si>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</si>
  <si>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</si>
  <si>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</si>
  <si>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</si>
  <si>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</si>
  <si>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</si>
  <si>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</si>
  <si>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</si>
  <si>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</si>
  <si>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</si>
  <si>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</si>
  <si>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</si>
  <si>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</si>
  <si>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</si>
  <si>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</si>
  <si>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</si>
  <si>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</si>
  <si>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</si>
  <si>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</si>
  <si>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</si>
  <si>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</si>
  <si>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</si>
  <si>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</si>
  <si>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</si>
  <si>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</si>
  <si>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</si>
  <si>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</si>
  <si>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</si>
  <si>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</si>
  <si>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</si>
  <si>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</si>
  <si>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</si>
  <si>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</si>
  <si>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</si>
  <si>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</si>
  <si>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</si>
  <si>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</si>
  <si>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</si>
  <si>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</si>
  <si>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</si>
  <si>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</si>
  <si>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</si>
  <si>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</si>
  <si>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</si>
  <si>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</si>
  <si>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</si>
  <si>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</si>
  <si>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</si>
  <si>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</si>
  <si>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</si>
  <si>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</si>
  <si>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</si>
  <si>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</si>
  <si>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</si>
  <si>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</si>
  <si>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</si>
  <si>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</si>
  <si>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</si>
  <si>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</si>
  <si>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</si>
  <si>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</si>
  <si>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</si>
  <si>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</si>
  <si>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</si>
  <si>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</si>
  <si>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</si>
  <si>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</si>
  <si>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</si>
  <si>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</si>
  <si>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</si>
  <si>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</si>
  <si>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</si>
  <si>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</si>
  <si>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</si>
  <si>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</si>
  <si>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</si>
  <si>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</si>
  <si>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</si>
  <si>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</si>
  <si>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</si>
  <si>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</si>
  <si>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</si>
  <si>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</si>
  <si>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</si>
  <si>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</si>
  <si>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</si>
  <si>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</si>
  <si>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</si>
  <si>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</si>
  <si>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</si>
  <si>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</si>
  <si>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</si>
  <si>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</si>
  <si>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</si>
  <si>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</si>
  <si>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</si>
  <si>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</si>
  <si>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</si>
  <si>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</si>
  <si>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</si>
  <si>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</si>
  <si>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</si>
  <si>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</si>
  <si>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</si>
  <si>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</si>
  <si>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</si>
  <si>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</si>
  <si>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</si>
  <si>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</si>
  <si>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</si>
  <si>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</si>
  <si>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</si>
  <si>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</si>
  <si>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</si>
  <si>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</si>
  <si>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</si>
  <si>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</si>
  <si>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</si>
  <si>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</si>
  <si>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</si>
  <si>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</si>
  <si>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</si>
  <si>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</si>
  <si>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</si>
  <si>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</si>
  <si>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</si>
  <si>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</si>
  <si>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</si>
  <si>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</si>
  <si>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</si>
  <si>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</si>
  <si>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</si>
  <si>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</si>
  <si>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</si>
  <si>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</si>
  <si>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</si>
  <si>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</si>
  <si>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</si>
  <si>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</si>
  <si>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</si>
  <si>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</si>
  <si>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</si>
  <si>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</si>
  <si>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</si>
  <si>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</si>
  <si>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</si>
  <si>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</si>
  <si>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</si>
  <si>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</si>
  <si>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</si>
  <si>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</si>
  <si>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</si>
  <si>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</si>
  <si>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</si>
  <si>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</si>
  <si>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</si>
  <si>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</si>
  <si>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</si>
  <si>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</si>
  <si>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</si>
  <si>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</si>
  <si>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</si>
  <si>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</si>
  <si>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</si>
  <si>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</si>
  <si>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</si>
  <si>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</si>
  <si>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</si>
  <si>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</si>
  <si>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</si>
  <si>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</si>
  <si>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</si>
  <si>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</si>
  <si>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</si>
  <si>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</si>
  <si>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</si>
  <si>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</si>
  <si>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</si>
  <si>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</si>
  <si>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</si>
  <si>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</si>
  <si>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</si>
  <si>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</si>
  <si>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</si>
  <si>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</si>
  <si>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</si>
  <si>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</si>
  <si>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</si>
  <si>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</si>
  <si>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</si>
  <si>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</si>
  <si>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</si>
  <si>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</si>
  <si>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</si>
  <si>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</si>
  <si>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</si>
  <si>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</si>
  <si>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</si>
  <si>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</si>
  <si>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</si>
  <si>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</si>
  <si>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</si>
  <si>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</si>
  <si>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</si>
  <si>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</si>
  <si>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</si>
  <si>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</si>
  <si>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</si>
  <si>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</si>
  <si>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</si>
  <si>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</si>
  <si>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</si>
  <si>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</si>
  <si>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</si>
  <si>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</si>
  <si>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</si>
  <si>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</si>
  <si>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</si>
  <si>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</si>
  <si>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</si>
  <si>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</si>
  <si>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</si>
  <si>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</si>
  <si>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</si>
  <si>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</si>
  <si>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</si>
  <si>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</si>
  <si>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</si>
  <si>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</si>
  <si>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</si>
  <si>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</si>
  <si>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</si>
  <si>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</si>
  <si>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</si>
  <si>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</si>
  <si>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</si>
  <si>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</si>
  <si>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</si>
  <si>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</si>
  <si>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</si>
  <si>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</si>
  <si>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</si>
  <si>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</si>
  <si>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</si>
  <si>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</si>
  <si>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</si>
  <si>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</si>
  <si>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</si>
  <si>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</si>
  <si>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</si>
  <si>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</si>
  <si>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</si>
  <si>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</si>
  <si>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</si>
  <si>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</si>
  <si>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</si>
  <si>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</si>
  <si>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</si>
  <si>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</si>
  <si>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</si>
  <si>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</si>
  <si>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</si>
  <si>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</si>
  <si>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</si>
  <si>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</si>
  <si>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</si>
  <si>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</si>
  <si>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</si>
  <si>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</si>
  <si>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</si>
  <si>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</si>
  <si>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</si>
  <si>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</si>
  <si>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</si>
  <si>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</si>
  <si>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</si>
  <si>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</si>
  <si>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</si>
  <si>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</si>
  <si>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</si>
  <si>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</si>
  <si>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</si>
  <si>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</si>
  <si>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</si>
  <si>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</si>
  <si>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</si>
  <si>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</si>
  <si>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</si>
  <si>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</si>
  <si>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</si>
  <si>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</si>
  <si>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</si>
  <si>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</si>
  <si>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</si>
  <si>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</si>
  <si>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</si>
  <si>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</si>
  <si>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</si>
  <si>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</si>
  <si>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</si>
  <si>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</si>
  <si>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</si>
  <si>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</si>
  <si>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</si>
  <si>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</si>
  <si>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</si>
  <si>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</si>
  <si>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</si>
  <si>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</si>
  <si>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</si>
  <si>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</si>
  <si>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</si>
  <si>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</si>
  <si>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</si>
  <si>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</si>
  <si>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</si>
  <si>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</si>
  <si>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</si>
  <si>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</si>
  <si>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</si>
  <si>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</si>
  <si>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</si>
  <si>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</si>
  <si>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</si>
  <si>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</si>
  <si>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</si>
  <si>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</si>
  <si>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</si>
  <si>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</si>
  <si>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</si>
  <si>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</si>
  <si>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</si>
  <si>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</si>
  <si>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</si>
  <si>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</si>
  <si>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</si>
  <si>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</si>
  <si>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</si>
  <si>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</si>
  <si>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</si>
  <si>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</si>
  <si>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</si>
  <si>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</si>
  <si>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</si>
  <si>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</si>
  <si>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</si>
  <si>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</si>
  <si>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</si>
  <si>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</si>
  <si>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</si>
  <si>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</si>
  <si>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</si>
  <si>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</si>
  <si>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</si>
  <si>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</si>
  <si>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</si>
  <si>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</si>
  <si>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</si>
  <si>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</si>
  <si>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</si>
  <si>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</si>
  <si>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</si>
  <si>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</si>
  <si>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</si>
  <si>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</si>
  <si>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</si>
  <si>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</si>
  <si>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</si>
  <si>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</si>
  <si>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</si>
  <si>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</si>
  <si>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</si>
  <si>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</si>
  <si>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</si>
  <si>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</si>
  <si>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</si>
  <si>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</si>
  <si>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</si>
  <si>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</si>
  <si>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</si>
  <si>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</si>
  <si>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</si>
  <si>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</si>
  <si>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</si>
  <si>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</si>
  <si>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</si>
  <si>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</si>
  <si>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</si>
  <si>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</si>
  <si>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</si>
  <si>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</si>
  <si>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</si>
  <si>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</si>
  <si>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</si>
  <si>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</si>
  <si>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</si>
  <si>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</si>
  <si>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</si>
  <si>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</si>
  <si>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</si>
  <si>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</si>
  <si>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</si>
  <si>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</si>
  <si>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</si>
  <si>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</si>
  <si>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</si>
  <si>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</si>
  <si>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</si>
  <si>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</si>
  <si>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</si>
  <si>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</si>
  <si>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</si>
  <si>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</si>
  <si>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</si>
  <si>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</si>
  <si>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</si>
  <si>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</si>
  <si>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</si>
  <si>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</si>
  <si>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比较法-住宅、综合</t>
  </si>
  <si>
    <t>剩余法-待开发</t>
  </si>
  <si>
    <t>时间</t>
  </si>
  <si>
    <t>水平值</t>
  </si>
  <si>
    <t>环比增长率</t>
  </si>
  <si>
    <t>指数</t>
  </si>
  <si>
    <t>公寓</t>
  </si>
  <si>
    <t>核心区北二路南地块</t>
    <phoneticPr fontId="3" type="noConversion"/>
  </si>
  <si>
    <t>东、南至国环三路，西至青六路，北至北二路</t>
    <phoneticPr fontId="3" type="noConversion"/>
  </si>
  <si>
    <t>住宅、商业</t>
  </si>
  <si>
    <t>住宅、商业</t>
    <phoneticPr fontId="3" type="noConversion"/>
  </si>
  <si>
    <t>限地价、竞自持、竞配建</t>
    <phoneticPr fontId="26" type="noConversion"/>
  </si>
  <si>
    <t>义蓬街道住宅地块</t>
    <phoneticPr fontId="3" type="noConversion"/>
  </si>
  <si>
    <t>东至青六路，南至向阳路，西至规划道路，北至规划地块</t>
    <phoneticPr fontId="3" type="noConversion"/>
  </si>
  <si>
    <t>六通一平</t>
  </si>
  <si>
    <t>六通</t>
  </si>
  <si>
    <t>空港新城</t>
    <phoneticPr fontId="3" type="noConversion"/>
  </si>
  <si>
    <t>空港新城，东至南阳大道，南至港城大道，西至南庄路，北至南义路</t>
    <phoneticPr fontId="3" type="noConversion"/>
  </si>
  <si>
    <t>杭州监测指标情况一览表</t>
  </si>
  <si>
    <t>底商</t>
  </si>
  <si>
    <t>不动产收益法</t>
  </si>
  <si>
    <t>售价</t>
  </si>
  <si>
    <t>土地（套用方法）</t>
  </si>
  <si>
    <t>60-70（含）</t>
  </si>
  <si>
    <t>是</t>
    <phoneticPr fontId="26" type="noConversion"/>
  </si>
  <si>
    <t>否</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</si>
  <si>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</si>
  <si>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</si>
  <si>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押一</t>
  </si>
  <si>
    <t>融创东麟府</t>
    <phoneticPr fontId="3" type="noConversion"/>
  </si>
  <si>
    <t>95-115</t>
    <phoneticPr fontId="21" type="noConversion"/>
  </si>
  <si>
    <t>主干道</t>
    <phoneticPr fontId="21" type="noConversion"/>
  </si>
  <si>
    <t>明华名港城</t>
    <phoneticPr fontId="3" type="noConversion"/>
  </si>
  <si>
    <t>92-101</t>
    <phoneticPr fontId="21" type="noConversion"/>
  </si>
  <si>
    <t>毛坯</t>
  </si>
  <si>
    <t>旭辉宝龙东湖城</t>
    <phoneticPr fontId="3" type="noConversion"/>
  </si>
  <si>
    <t>40-60</t>
    <phoneticPr fontId="21" type="noConversion"/>
  </si>
  <si>
    <t>中档</t>
  </si>
  <si>
    <t>普通</t>
  </si>
  <si>
    <t>一般</t>
  </si>
  <si>
    <t>可售住宅</t>
  </si>
  <si>
    <t>可售商业</t>
  </si>
  <si>
    <t>可售住宅</t>
    <phoneticPr fontId="3" type="noConversion"/>
  </si>
  <si>
    <t>可售商业</t>
    <phoneticPr fontId="3" type="noConversion"/>
  </si>
  <si>
    <t>自持住宅</t>
    <phoneticPr fontId="3" type="noConversion"/>
  </si>
  <si>
    <t>否</t>
  </si>
  <si>
    <t>http://www.diguagua.net/news/content-24439.html</t>
  </si>
  <si>
    <t>自持商业</t>
    <phoneticPr fontId="3" type="noConversion"/>
  </si>
  <si>
    <t>否</t>
    <phoneticPr fontId="3" type="noConversion"/>
  </si>
  <si>
    <t>符合</t>
  </si>
  <si>
    <t>其他用房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</si>
</sst>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2"/>
      <color theme="1"/>
      <name val="仿宋_GB2312"/>
      <family val="3"/>
      <charset val="134"/>
    </font>
    <font>
      <b/>
      <sz val="10"/>
      <color theme="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83" fontId="281" fillId="18" borderId="2" xfId="0" applyNumberFormat="1" applyFont="1" applyFill="1" applyBorder="1" applyAlignment="1" applyProtection="1">
      <alignment horizontal="center" vertical="center" shrinkToFit="1"/>
      <protection locked="0"/>
    </xf>
    <xf numFmtId="176" fontId="282" fillId="18" borderId="2" xfId="0" applyNumberFormat="1" applyFont="1" applyFill="1" applyBorder="1" applyAlignment="1" applyProtection="1">
      <alignment vertical="center" wrapText="1"/>
      <protection locked="0"/>
    </xf>
    <xf numFmtId="0" fontId="282" fillId="18" borderId="2" xfId="0" applyFont="1" applyFill="1" applyBorder="1" applyAlignment="1" applyProtection="1">
      <alignment horizontal="center" vertical="center" wrapText="1"/>
      <protection locked="0"/>
    </xf>
    <xf numFmtId="0" fontId="156" fillId="18" borderId="12" xfId="0" applyFont="1" applyFill="1" applyBorder="1" applyAlignment="1" applyProtection="1">
      <alignment vertical="center"/>
      <protection locked="0"/>
    </xf>
    <xf numFmtId="176" fontId="156" fillId="18" borderId="12" xfId="2" applyNumberFormat="1" applyFont="1" applyFill="1" applyBorder="1" applyAlignment="1" applyProtection="1">
      <alignment horizontal="center" vertical="center"/>
      <protection locked="0"/>
    </xf>
    <xf numFmtId="0" fontId="156" fillId="18" borderId="9" xfId="0" applyNumberFormat="1" applyFont="1" applyFill="1" applyBorder="1" applyAlignment="1" applyProtection="1">
      <alignment horizontal="center" vertical="center" wrapText="1"/>
      <protection locked="0"/>
    </xf>
    <xf numFmtId="0" fontId="156" fillId="18"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7" fillId="18" borderId="25"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受贵公司委托，我公司对出让国有建设用地使用权抵押价格进行了预评估。</v>
      </c>
      <c r="AM6" s="2930"/>
    </row>
    <row r="7" spans="1:55" s="2904" customFormat="1">
      <c r="A7" s="2905" t="s">
        <v>2666</v>
      </c>
      <c r="B7" s="2906" t="str">
        <f>'预评函-1'!A6</f>
        <v>估价对象为使用的、位于出让国有建设用地使用权。根据《国有土地使用证》[]，估价对象（分摊）出让国有建设用地使用权面积为25391.93平方米。根据《建设工程规划许可证》[]、《出让合同》[]，估价对象规划建筑面积为68728.65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2668</v>
      </c>
      <c r="B10" s="2906" t="str">
        <f>'预评函-1'!A11</f>
        <v>2018年1月23日（评估专业人员勘察现场之日）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根据《国有土地使用证》[]，估价对象（分摊）出让国有建设用地使用权面积为25391.93平方米。根据《建设工程规划许可证》[]、《出让合同》[]，估价对象规划建筑面积为68728.65平方米。</v>
      </c>
    </row>
    <row r="16" spans="1:55" s="2904" customFormat="1">
      <c r="A16" s="2905" t="s">
        <v>2678</v>
      </c>
      <c r="B16" s="2906" t="str">
        <f>'预评函-1'!A22</f>
        <v>本次估价对象为出让国有建设用地使用权，《国有土地使用证》[]证载土地终止日期为住宅2086年11月24日、商业2056年11月24日。截至估价期日，出让国有建设用地使用权剩余土地使用年限为。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估价期日：2018年1月23日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25391.93</v>
      </c>
    </row>
    <row r="44" spans="1:2">
      <c r="A44" s="2905" t="s">
        <v>2749</v>
      </c>
      <c r="B44" s="2906" t="str">
        <f>'预评函-2'!O3</f>
        <v>规划建筑面积/㎡</v>
      </c>
    </row>
    <row r="45" spans="1:2">
      <c r="A45" s="2905" t="s">
        <v>2731</v>
      </c>
      <c r="B45" s="2906">
        <f>'预评函-2'!O5</f>
        <v>68728.649999999994</v>
      </c>
    </row>
    <row r="46" spans="1:2">
      <c r="A46" s="2905" t="s">
        <v>2732</v>
      </c>
      <c r="B46" s="2906">
        <f ca="1">'预评函-2'!P5</f>
        <v>11061</v>
      </c>
    </row>
    <row r="47" spans="1:2">
      <c r="A47" s="2905" t="s">
        <v>2733</v>
      </c>
      <c r="B47" s="2906">
        <f ca="1">'预评函-2'!Q5</f>
        <v>4087</v>
      </c>
    </row>
    <row r="48" spans="1:2">
      <c r="A48" s="2905" t="s">
        <v>2734</v>
      </c>
      <c r="B48" s="2906">
        <f ca="1">'预评函-2'!R5</f>
        <v>28086</v>
      </c>
    </row>
    <row r="49" spans="1:2">
      <c r="A49" s="2905" t="s">
        <v>2750</v>
      </c>
      <c r="B49" s="2906" t="str">
        <f>'预评函-2'!A6</f>
        <v>抵押价格</v>
      </c>
    </row>
    <row r="50" spans="1:2">
      <c r="A50" s="2905" t="s">
        <v>2735</v>
      </c>
      <c r="B50" s="2906">
        <f ca="1">'预评函-2'!R6</f>
        <v>28086</v>
      </c>
    </row>
    <row r="51" spans="1:2">
      <c r="A51" s="2905" t="s">
        <v>2751</v>
      </c>
      <c r="B51" s="2906" t="str">
        <f>'预评函-2'!A7</f>
        <v>——</v>
      </c>
    </row>
    <row r="52" spans="1:2">
      <c r="A52" s="2905" t="s">
        <v>2736</v>
      </c>
      <c r="B52" s="2906" t="str">
        <f>'预评函-2'!R7</f>
        <v>——</v>
      </c>
    </row>
    <row r="53" spans="1:2">
      <c r="A53" s="2905" t="s">
        <v>2752</v>
      </c>
      <c r="B53" s="2906" t="str">
        <f>'预评函-2'!A8</f>
        <v>抵押净值</v>
      </c>
    </row>
    <row r="54" spans="1:2" s="2920" customFormat="1" ht="15" thickBot="1">
      <c r="A54" s="2927" t="s">
        <v>2737</v>
      </c>
      <c r="B54" s="2928">
        <f ca="1">'预评函-2'!R8</f>
        <v>18135</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王鹏</v>
      </c>
    </row>
    <row r="70" spans="1:2">
      <c r="A70" s="2905" t="s">
        <v>2699</v>
      </c>
      <c r="B70" s="2912">
        <f ca="1">'预评函-3'!B20</f>
        <v>2002110030</v>
      </c>
    </row>
    <row r="71" spans="1:2">
      <c r="A71" s="2905" t="s">
        <v>2700</v>
      </c>
      <c r="B71" s="2906" t="str">
        <f>'预评函-3'!A21</f>
        <v>郑燚</v>
      </c>
    </row>
    <row r="72" spans="1:2" s="2920" customFormat="1" ht="15" thickBot="1">
      <c r="A72" s="2927" t="s">
        <v>2700</v>
      </c>
      <c r="B72" s="2933">
        <f>'预评函-3'!B21</f>
        <v>2014110011</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7" sqref="G27"/>
    </sheetView>
  </sheetViews>
  <sheetFormatPr defaultColWidth="10" defaultRowHeight="14.25"/>
  <cols>
    <col min="1" max="1" width="15.375" style="1691" customWidth="1"/>
    <col min="2" max="2" width="11.375" style="1691" customWidth="1"/>
    <col min="3" max="3" width="12.625" style="1691" customWidth="1"/>
    <col min="4" max="5" width="16.37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4" t="str">
        <f>IF(B10="北京市","北京市",C10)&amp;F10&amp;B16&amp;"国有建设用地使用权"&amp;B9&amp;"预评估"</f>
        <v>出让国有建设用地使用权抵押价格预评估</v>
      </c>
      <c r="C1" s="3235"/>
      <c r="D1" s="3235"/>
      <c r="E1" s="3235"/>
      <c r="F1" s="3235"/>
      <c r="G1" s="3235"/>
      <c r="H1" s="3235"/>
      <c r="I1" s="3236"/>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43123</v>
      </c>
      <c r="C3" s="1663" t="s">
        <v>1999</v>
      </c>
      <c r="D3" s="1662">
        <v>43123</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2973</v>
      </c>
      <c r="C4" s="1846">
        <f ca="1">SUMIF(土地估价师,B4,估价师及机构信息!E3:E24)</f>
        <v>2002110030</v>
      </c>
      <c r="D4" s="1843" t="s">
        <v>2974</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2975</v>
      </c>
      <c r="C8" s="1671"/>
      <c r="D8" s="3240" t="s">
        <v>1948</v>
      </c>
      <c r="E8" s="1844" t="s">
        <v>2976</v>
      </c>
      <c r="F8" s="1672"/>
      <c r="G8" s="1660"/>
      <c r="H8" s="1660"/>
      <c r="I8" s="1707"/>
      <c r="J8" s="1694"/>
      <c r="K8" s="1774"/>
      <c r="L8" s="1723"/>
      <c r="M8" s="1723"/>
      <c r="N8" s="1694"/>
      <c r="O8" s="1695"/>
      <c r="P8" s="1694"/>
      <c r="Q8" s="1694"/>
      <c r="R8" s="1694"/>
      <c r="S8" s="1694"/>
      <c r="T8" s="1694"/>
      <c r="U8" s="1694"/>
    </row>
    <row r="9" spans="1:21" ht="15" thickBot="1">
      <c r="A9" s="1673" t="s">
        <v>1947</v>
      </c>
      <c r="B9" s="1674" t="s">
        <v>2976</v>
      </c>
      <c r="C9" s="1675"/>
      <c r="D9" s="3241"/>
      <c r="E9" s="1674" t="s">
        <v>2862</v>
      </c>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7"/>
      <c r="C12" s="3238"/>
      <c r="D12" s="3239"/>
      <c r="E12" s="1699" t="s">
        <v>2065</v>
      </c>
      <c r="F12" s="3255" t="s">
        <v>2897</v>
      </c>
      <c r="G12" s="3256"/>
      <c r="H12" s="3256"/>
      <c r="I12" s="3257"/>
      <c r="J12" s="1694"/>
      <c r="K12" s="1774"/>
      <c r="L12" s="1723"/>
      <c r="M12" s="1723"/>
      <c r="N12" s="1694"/>
      <c r="O12" s="1695"/>
      <c r="P12" s="1694"/>
      <c r="Q12" s="1694"/>
      <c r="R12" s="1694"/>
      <c r="S12" s="1694"/>
      <c r="T12" s="1694"/>
      <c r="U12" s="1694"/>
    </row>
    <row r="13" spans="1:21">
      <c r="A13" s="1687" t="s">
        <v>2063</v>
      </c>
      <c r="B13" s="3237"/>
      <c r="C13" s="3238"/>
      <c r="D13" s="3239"/>
      <c r="E13" s="1699" t="s">
        <v>2065</v>
      </c>
      <c r="F13" s="3255" t="s">
        <v>2898</v>
      </c>
      <c r="G13" s="3256"/>
      <c r="H13" s="3256"/>
      <c r="I13" s="3257"/>
      <c r="J13" s="1694"/>
      <c r="K13" s="1774"/>
      <c r="L13" s="1723"/>
      <c r="M13" s="1723"/>
      <c r="N13" s="1694"/>
      <c r="O13" s="1695"/>
      <c r="P13" s="1694"/>
      <c r="Q13" s="1694"/>
      <c r="R13" s="1694"/>
      <c r="S13" s="1694"/>
      <c r="T13" s="1694"/>
      <c r="U13" s="1694"/>
    </row>
    <row r="14" spans="1:21">
      <c r="A14" s="1661" t="s">
        <v>2066</v>
      </c>
      <c r="B14" s="1699"/>
      <c r="C14" s="1845" t="s">
        <v>2978</v>
      </c>
      <c r="D14" s="1733" t="str">
        <f>IF(C14="不一致","是否符合证载地类范围","")</f>
        <v/>
      </c>
      <c r="E14" s="1699"/>
      <c r="F14" s="1790" t="s">
        <v>3097</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2977</v>
      </c>
      <c r="C16" s="1699" t="s">
        <v>1952</v>
      </c>
      <c r="D16" s="2672" t="s">
        <v>1953</v>
      </c>
      <c r="E16" s="1722" t="s">
        <v>3046</v>
      </c>
      <c r="F16" s="1722"/>
      <c r="G16" s="1722"/>
      <c r="H16" s="1722"/>
      <c r="I16" s="1686" t="s">
        <v>1958</v>
      </c>
      <c r="J16" s="1694"/>
      <c r="K16" s="2481" t="str">
        <f>IF(D17="","",D16&amp;TEXT(D17,"yyyy年m月d日;;"))</f>
        <v>住宅2086年11月24日</v>
      </c>
      <c r="L16" s="1699" t="str">
        <f>IF(OR(K16="",M16=""),"","、")</f>
        <v>、</v>
      </c>
      <c r="M16" s="2481" t="str">
        <f>IF(E17="","",E16&amp;TEXT(E17,"yyyy年m月d日;;"))</f>
        <v>商业2056年11月24日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184">
        <v>68265</v>
      </c>
      <c r="E17" s="3184">
        <v>57308</v>
      </c>
      <c r="F17" s="1700"/>
      <c r="G17" s="1700"/>
      <c r="H17" s="1700"/>
      <c r="I17" s="1700"/>
      <c r="J17" s="1694"/>
      <c r="K17" s="2480" t="str">
        <f>CONCATENATE(K16,L16,M16,N16,O16,P16,Q16,R16,S16,T16,,U16)</f>
        <v>住宅2086年11月24日、商业2056年11月24日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68.88</v>
      </c>
      <c r="E19" s="1685">
        <f>IF(B16="出让",IF(E17="","",ROUNDDOWN(MIN((E17-$D$3)/365,E18),2)),E18)</f>
        <v>38.86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2"/>
      <c r="E20" s="3253"/>
      <c r="F20" s="3253"/>
      <c r="G20" s="3253"/>
      <c r="H20" s="3253"/>
      <c r="I20" s="3254"/>
      <c r="J20" s="1694"/>
      <c r="K20" s="1774"/>
      <c r="L20" s="1723"/>
      <c r="M20" s="1723"/>
      <c r="N20" s="1694"/>
      <c r="O20" s="1695"/>
      <c r="P20" s="1694"/>
      <c r="Q20" s="1694"/>
      <c r="R20" s="1694"/>
      <c r="S20" s="1694"/>
      <c r="T20" s="1694"/>
      <c r="U20" s="1694"/>
    </row>
    <row r="21" spans="1:21">
      <c r="A21" s="1763" t="s">
        <v>1962</v>
      </c>
      <c r="B21" s="1764" t="s">
        <v>1963</v>
      </c>
      <c r="C21" s="1759">
        <f>'数据-汇总表'!E3</f>
        <v>68728.649999999994</v>
      </c>
      <c r="D21" s="1760" t="s">
        <v>1964</v>
      </c>
      <c r="E21" s="3242" t="s">
        <v>2002</v>
      </c>
      <c r="F21" s="3243"/>
      <c r="G21" s="3243"/>
      <c r="H21" s="3243"/>
      <c r="I21" s="3244"/>
      <c r="J21" s="1694"/>
      <c r="K21" s="1774"/>
      <c r="L21" s="1723"/>
      <c r="M21" s="1723"/>
      <c r="N21" s="1694"/>
      <c r="O21" s="1695"/>
      <c r="P21" s="1694"/>
      <c r="Q21" s="1694"/>
      <c r="R21" s="1694"/>
      <c r="S21" s="1694"/>
      <c r="T21" s="1694"/>
      <c r="U21" s="1694"/>
    </row>
    <row r="22" spans="1:21">
      <c r="A22" s="2663" t="s">
        <v>953</v>
      </c>
      <c r="B22" s="1661" t="s">
        <v>1965</v>
      </c>
      <c r="C22" s="1686">
        <f>'数据-汇总表'!D3</f>
        <v>25391.93</v>
      </c>
      <c r="D22" s="1687" t="s">
        <v>1964</v>
      </c>
      <c r="E22" s="3242" t="s">
        <v>2899</v>
      </c>
      <c r="F22" s="3243"/>
      <c r="G22" s="3243"/>
      <c r="H22" s="3243"/>
      <c r="I22" s="3244"/>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5" t="s">
        <v>1970</v>
      </c>
      <c r="C24" s="3246"/>
      <c r="D24" s="3247" t="s">
        <v>1971</v>
      </c>
      <c r="E24" s="3248"/>
      <c r="F24" s="1708" t="s">
        <v>1972</v>
      </c>
      <c r="G24" s="1694"/>
      <c r="H24" s="1694"/>
      <c r="I24" s="1707"/>
      <c r="J24" s="1694"/>
      <c r="K24" s="323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19" t="s">
        <v>2005</v>
      </c>
      <c r="B31" s="1764" t="s">
        <v>2006</v>
      </c>
      <c r="C31" s="3258"/>
      <c r="D31" s="3259"/>
      <c r="E31" s="1694"/>
      <c r="F31" s="1694"/>
      <c r="G31" s="1694"/>
      <c r="H31" s="1694"/>
      <c r="I31" s="1707"/>
      <c r="J31" s="1694"/>
      <c r="K31" s="2483"/>
      <c r="L31" s="1694"/>
      <c r="M31" s="1694"/>
      <c r="N31" s="1694"/>
      <c r="O31" s="1694"/>
      <c r="P31" s="1694"/>
      <c r="Q31" s="1694"/>
      <c r="R31" s="1694"/>
      <c r="S31" s="1694"/>
      <c r="T31" s="1694"/>
      <c r="U31" s="1694"/>
    </row>
    <row r="32" spans="1:21">
      <c r="A32" s="3219"/>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19"/>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0"/>
      <c r="B34" s="1661" t="s">
        <v>2009</v>
      </c>
      <c r="C34" s="3221"/>
      <c r="D34" s="3222"/>
      <c r="E34" s="1694"/>
      <c r="F34" s="1694"/>
      <c r="G34" s="1694"/>
      <c r="H34" s="1694"/>
      <c r="I34" s="1707"/>
      <c r="J34" s="1694"/>
      <c r="K34" s="2483"/>
      <c r="L34" s="1694"/>
      <c r="M34" s="1694"/>
      <c r="N34" s="1694"/>
      <c r="O34" s="1694"/>
      <c r="P34" s="1694"/>
      <c r="Q34" s="1694"/>
      <c r="R34" s="1694"/>
      <c r="S34" s="1694"/>
      <c r="T34" s="1694"/>
      <c r="U34" s="1694"/>
    </row>
    <row r="35" spans="1:21">
      <c r="A35" s="3223" t="s">
        <v>848</v>
      </c>
      <c r="B35" s="1722"/>
      <c r="C35" s="1776" t="str">
        <f>IF(B35="场地平整","——","具体情况：")</f>
        <v>具体情况：</v>
      </c>
      <c r="D35" s="3225"/>
      <c r="E35" s="3226"/>
      <c r="F35" s="3226"/>
      <c r="G35" s="3226"/>
      <c r="H35" s="3226"/>
      <c r="I35" s="3227"/>
      <c r="J35" s="1694"/>
      <c r="K35" s="1775"/>
      <c r="L35" s="1723"/>
      <c r="M35" s="1723"/>
      <c r="N35" s="1694"/>
      <c r="O35" s="1695"/>
      <c r="P35" s="1694"/>
      <c r="Q35" s="1694"/>
      <c r="R35" s="1694"/>
      <c r="S35" s="1694"/>
      <c r="T35" s="1694"/>
      <c r="U35" s="1694"/>
    </row>
    <row r="36" spans="1:21">
      <c r="A36" s="3219"/>
      <c r="B36" s="3228" t="s">
        <v>2058</v>
      </c>
      <c r="C36" s="3229"/>
      <c r="D36" s="1792"/>
      <c r="E36" s="3230"/>
      <c r="F36" s="3230"/>
      <c r="G36" s="1687" t="str">
        <f>IF(B35="场地未平整","估价结果处理","")</f>
        <v/>
      </c>
      <c r="H36" s="3231"/>
      <c r="I36" s="3231"/>
      <c r="J36" s="1694"/>
      <c r="K36" s="1775"/>
      <c r="L36" s="1723"/>
      <c r="M36" s="1723"/>
      <c r="N36" s="1694"/>
      <c r="O36" s="1695"/>
      <c r="P36" s="1694"/>
      <c r="Q36" s="1694"/>
      <c r="R36" s="1694"/>
      <c r="S36" s="1694"/>
      <c r="T36" s="1694"/>
      <c r="U36" s="1694"/>
    </row>
    <row r="37" spans="1:21" ht="28.5">
      <c r="A37" s="3219"/>
      <c r="B37" s="324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9"/>
      <c r="B38" s="3250"/>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20"/>
      <c r="B39" s="32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2" t="s">
        <v>1989</v>
      </c>
      <c r="T40" s="1731" t="str">
        <f>NUMBERSTRING(7-K40,1)&amp;"通"</f>
        <v>七通</v>
      </c>
      <c r="U40" s="1694"/>
    </row>
    <row r="41" spans="1:21">
      <c r="A41" s="1663"/>
      <c r="B41" s="3224" t="s">
        <v>1723</v>
      </c>
      <c r="C41" s="3224"/>
      <c r="D41" s="3224"/>
      <c r="E41" s="322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K10" sqref="K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48543</v>
      </c>
      <c r="B3" s="22">
        <f>IF(C3="否",G5-AT5,G5)</f>
        <v>131391.96</v>
      </c>
      <c r="C3" s="23" t="s">
        <v>3093</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131391.96</v>
      </c>
      <c r="H5" s="27">
        <f t="shared" ref="H5:AT5" si="0">SUM(H13:H641)</f>
        <v>93527.319999999992</v>
      </c>
      <c r="I5" s="27">
        <f t="shared" si="0"/>
        <v>88957.04</v>
      </c>
      <c r="J5" s="27">
        <f t="shared" si="0"/>
        <v>0</v>
      </c>
      <c r="K5" s="27">
        <f t="shared" si="0"/>
        <v>4570.28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37864.639999999999</v>
      </c>
      <c r="AD5" s="27">
        <f t="shared" si="0"/>
        <v>1391.5700000000002</v>
      </c>
      <c r="AE5" s="27">
        <f t="shared" si="0"/>
        <v>0</v>
      </c>
      <c r="AF5" s="27">
        <f t="shared" si="0"/>
        <v>0</v>
      </c>
      <c r="AG5" s="27">
        <f t="shared" si="0"/>
        <v>0</v>
      </c>
      <c r="AH5" s="27">
        <f t="shared" si="0"/>
        <v>682.16000000000008</v>
      </c>
      <c r="AI5" s="27">
        <f t="shared" si="0"/>
        <v>0</v>
      </c>
      <c r="AJ5" s="27">
        <f t="shared" si="0"/>
        <v>0</v>
      </c>
      <c r="AK5" s="27">
        <f t="shared" si="0"/>
        <v>0</v>
      </c>
      <c r="AL5" s="27">
        <f t="shared" si="0"/>
        <v>1211.29</v>
      </c>
      <c r="AM5" s="27">
        <f t="shared" si="0"/>
        <v>0</v>
      </c>
      <c r="AN5" s="27">
        <f t="shared" si="0"/>
        <v>34579.619999999995</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68728.649999999994</v>
      </c>
      <c r="BA5" s="29">
        <f t="shared" si="1"/>
        <v>30864.009999999991</v>
      </c>
      <c r="BB5" s="29">
        <f t="shared" si="1"/>
        <v>29355.819999999992</v>
      </c>
      <c r="BC5" s="29">
        <f t="shared" si="1"/>
        <v>1508.1899999999996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37864.639999999999</v>
      </c>
      <c r="BM5" s="29">
        <f t="shared" si="1"/>
        <v>1391.5700000000002</v>
      </c>
      <c r="BN5" s="29">
        <f t="shared" si="1"/>
        <v>0</v>
      </c>
      <c r="BO5" s="29">
        <f t="shared" si="1"/>
        <v>682.16000000000008</v>
      </c>
      <c r="BP5" s="29">
        <f t="shared" si="1"/>
        <v>0</v>
      </c>
      <c r="BQ5" s="29">
        <f t="shared" si="1"/>
        <v>1211.29</v>
      </c>
      <c r="BR5" s="29">
        <f t="shared" si="1"/>
        <v>34579.619999999995</v>
      </c>
      <c r="BS5" s="29">
        <f t="shared" si="1"/>
        <v>0</v>
      </c>
      <c r="BT5" s="30">
        <f t="shared" si="1"/>
        <v>0</v>
      </c>
    </row>
    <row r="6" spans="1:72" s="37" customFormat="1" ht="12.75">
      <c r="A6" s="26" t="s">
        <v>169</v>
      </c>
      <c r="B6" s="31"/>
      <c r="C6" s="31"/>
      <c r="D6" s="32"/>
      <c r="E6" s="27">
        <f>H6+AC6+AT6</f>
        <v>48543</v>
      </c>
      <c r="F6" s="27" t="s">
        <v>1</v>
      </c>
      <c r="G6" s="27" t="s">
        <v>2</v>
      </c>
      <c r="H6" s="33">
        <f>SUMIF(I$12:AB$12,"总值",I6:AB6)</f>
        <v>34553.839999999997</v>
      </c>
      <c r="I6" s="27">
        <f t="shared" ref="I6:AB6" si="2">ROUND($A$3*I5/$B$3,2)</f>
        <v>32865.339999999997</v>
      </c>
      <c r="J6" s="27">
        <f t="shared" si="2"/>
        <v>0</v>
      </c>
      <c r="K6" s="27">
        <f t="shared" si="2"/>
        <v>1688.5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13989.16</v>
      </c>
      <c r="AD6" s="27">
        <f t="shared" ref="AD6:AS6" si="3">ROUND($A$3*AD5/$B$3,2)</f>
        <v>514.12</v>
      </c>
      <c r="AE6" s="27">
        <f t="shared" si="3"/>
        <v>0</v>
      </c>
      <c r="AF6" s="27">
        <f t="shared" si="3"/>
        <v>0</v>
      </c>
      <c r="AG6" s="27">
        <f t="shared" si="3"/>
        <v>0</v>
      </c>
      <c r="AH6" s="27">
        <f t="shared" si="3"/>
        <v>252.03</v>
      </c>
      <c r="AI6" s="27">
        <f t="shared" si="3"/>
        <v>0</v>
      </c>
      <c r="AJ6" s="27">
        <f t="shared" si="3"/>
        <v>0</v>
      </c>
      <c r="AK6" s="27">
        <f t="shared" si="3"/>
        <v>0</v>
      </c>
      <c r="AL6" s="27">
        <f t="shared" si="3"/>
        <v>447.51</v>
      </c>
      <c r="AM6" s="27">
        <f t="shared" si="3"/>
        <v>0</v>
      </c>
      <c r="AN6" s="27">
        <f t="shared" si="3"/>
        <v>12775.5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25391.93</v>
      </c>
      <c r="AZ6" s="27" t="s">
        <v>3</v>
      </c>
      <c r="BA6" s="27">
        <f>ROUND($AY$6*BA5/$AZ$5,2)</f>
        <v>11402.77</v>
      </c>
      <c r="BB6" s="27">
        <f>ROUND($AY$6*BB5/$AZ$5,2)</f>
        <v>10845.56</v>
      </c>
      <c r="BC6" s="27">
        <f t="shared" ref="BC6:BH6" si="4">ROUND($AY$6*BC5/$AZ$5,2)</f>
        <v>557.20000000000005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13989.16</v>
      </c>
      <c r="BM6" s="27">
        <f t="shared" si="5"/>
        <v>514.12</v>
      </c>
      <c r="BN6" s="27">
        <f t="shared" si="5"/>
        <v>0</v>
      </c>
      <c r="BO6" s="27">
        <f t="shared" si="5"/>
        <v>252.03</v>
      </c>
      <c r="BP6" s="27">
        <f t="shared" si="5"/>
        <v>0</v>
      </c>
      <c r="BQ6" s="27">
        <f t="shared" si="5"/>
        <v>447.51</v>
      </c>
      <c r="BR6" s="27">
        <f t="shared" si="5"/>
        <v>12775.51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3047</v>
      </c>
      <c r="J9" s="51"/>
      <c r="K9" s="3044" t="s">
        <v>3047</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924</v>
      </c>
      <c r="J10" s="51"/>
      <c r="K10" s="3046" t="s">
        <v>3046</v>
      </c>
      <c r="L10" s="51"/>
      <c r="M10" s="3046"/>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3054</v>
      </c>
      <c r="J11" s="71"/>
      <c r="K11" s="3045" t="s">
        <v>3067</v>
      </c>
      <c r="L11" s="71"/>
      <c r="M11" s="70"/>
      <c r="N11" s="71"/>
      <c r="O11" s="70"/>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0"/>
      <c r="B13" s="3040"/>
      <c r="C13" s="3040" t="s">
        <v>3090</v>
      </c>
      <c r="D13" s="3041" t="s">
        <v>1680</v>
      </c>
      <c r="E13" s="27">
        <f t="shared" ref="E13:E20" si="6">IF($C$3="是",ROUND($A$3*G13/$B$3,2),ROUND($A$3*(G13-AT13)/$B$3,2))</f>
        <v>10845.56</v>
      </c>
      <c r="F13" s="81"/>
      <c r="G13" s="82">
        <f t="shared" ref="G13:G20" si="7">H13+AC13+AT13</f>
        <v>29355.819999999992</v>
      </c>
      <c r="H13" s="33">
        <f t="shared" ref="H13:H20" si="8">SUMIF(I$12:AB$12,"总值",I13:AB13)</f>
        <v>29355.819999999992</v>
      </c>
      <c r="I13" s="3185">
        <f>88957.04-I15</f>
        <v>29355.819999999992</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可售住宅</v>
      </c>
      <c r="AY13" s="997">
        <f t="shared" ref="AY13:AY20" si="11">ROUND($AY$6*AZ13/$AZ$5,2)</f>
        <v>10845.56</v>
      </c>
      <c r="AZ13" s="27">
        <f t="shared" ref="AZ13:AZ20" si="12">BA13+BL13</f>
        <v>29355.819999999992</v>
      </c>
      <c r="BA13" s="27">
        <f t="shared" ref="BA13:BA20" si="13">SUM(BB13:BK13)</f>
        <v>29355.819999999992</v>
      </c>
      <c r="BB13" s="27">
        <f t="shared" ref="BB13:BB20" si="14">IF($D13="是",I13-J13,0)</f>
        <v>29355.819999999992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3091</v>
      </c>
      <c r="D14" s="3041" t="s">
        <v>1680</v>
      </c>
      <c r="E14" s="27">
        <f t="shared" si="6"/>
        <v>557.20000000000005</v>
      </c>
      <c r="F14" s="81"/>
      <c r="G14" s="82">
        <f t="shared" si="7"/>
        <v>1508.1899999999996</v>
      </c>
      <c r="H14" s="33">
        <f t="shared" si="8"/>
        <v>1508.1899999999996</v>
      </c>
      <c r="I14" s="3043"/>
      <c r="J14" s="3043"/>
      <c r="K14" s="3185">
        <f>4570.28-K16</f>
        <v>1508.1899999999996</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可售商业</v>
      </c>
      <c r="AY14" s="997">
        <f t="shared" si="11"/>
        <v>557.20000000000005</v>
      </c>
      <c r="AZ14" s="27">
        <f t="shared" si="12"/>
        <v>1508.1899999999996</v>
      </c>
      <c r="BA14" s="27">
        <f t="shared" si="13"/>
        <v>1508.1899999999996</v>
      </c>
      <c r="BB14" s="27">
        <f t="shared" si="14"/>
        <v>0</v>
      </c>
      <c r="BC14" s="27">
        <f t="shared" si="15"/>
        <v>1508.1899999999996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3092</v>
      </c>
      <c r="D15" s="3041" t="s">
        <v>3093</v>
      </c>
      <c r="E15" s="27">
        <f t="shared" si="6"/>
        <v>22019.78</v>
      </c>
      <c r="F15" s="81"/>
      <c r="G15" s="82">
        <f t="shared" si="7"/>
        <v>59601.22</v>
      </c>
      <c r="H15" s="33">
        <f t="shared" si="8"/>
        <v>59601.22</v>
      </c>
      <c r="I15" s="3043">
        <f>ROUND(88957.04*0.67,2)</f>
        <v>59601.22</v>
      </c>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自持住宅</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186" t="s">
        <v>3095</v>
      </c>
      <c r="D16" s="3041" t="s">
        <v>3096</v>
      </c>
      <c r="E16" s="27">
        <f t="shared" si="6"/>
        <v>1131.29</v>
      </c>
      <c r="F16" s="81"/>
      <c r="G16" s="82">
        <f t="shared" si="7"/>
        <v>3062.09</v>
      </c>
      <c r="H16" s="33">
        <f t="shared" si="8"/>
        <v>3062.09</v>
      </c>
      <c r="I16" s="3043"/>
      <c r="J16" s="3043"/>
      <c r="K16" s="3185">
        <f>ROUND(4570.28*0.67,2)</f>
        <v>3062.09</v>
      </c>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自持商业</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186" t="s">
        <v>3098</v>
      </c>
      <c r="D17" s="3041" t="s">
        <v>1680</v>
      </c>
      <c r="E17" s="27">
        <f t="shared" si="6"/>
        <v>13989.16</v>
      </c>
      <c r="F17" s="81"/>
      <c r="G17" s="82">
        <f t="shared" si="7"/>
        <v>37864.639999999999</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37864.639999999999</v>
      </c>
      <c r="AD17" s="3047">
        <f>400.85+801.49+99.74+89.49</f>
        <v>1391.5700000000002</v>
      </c>
      <c r="AE17" s="3047"/>
      <c r="AF17" s="3047"/>
      <c r="AG17" s="3047"/>
      <c r="AH17" s="3047">
        <f>293.5+388.66</f>
        <v>682.16000000000008</v>
      </c>
      <c r="AI17" s="3047"/>
      <c r="AJ17" s="3047"/>
      <c r="AK17" s="3047"/>
      <c r="AL17" s="3047">
        <f>67.23+80.81+431.73+631.52</f>
        <v>1211.29</v>
      </c>
      <c r="AM17" s="3047"/>
      <c r="AN17" s="3047">
        <f>30138.17+4441.45</f>
        <v>34579.619999999995</v>
      </c>
      <c r="AO17" s="3047"/>
      <c r="AP17" s="3047"/>
      <c r="AQ17" s="3047"/>
      <c r="AR17" s="3047"/>
      <c r="AS17" s="3047"/>
      <c r="AT17" s="3048"/>
      <c r="AU17" s="3049"/>
      <c r="AV17" s="17">
        <f t="shared" si="10"/>
        <v>0</v>
      </c>
      <c r="AW17" s="17">
        <f t="shared" si="10"/>
        <v>0</v>
      </c>
      <c r="AX17" s="17" t="str">
        <f t="shared" si="10"/>
        <v>其他用房</v>
      </c>
      <c r="AY17" s="997">
        <f t="shared" si="11"/>
        <v>13989.16</v>
      </c>
      <c r="AZ17" s="27">
        <f t="shared" si="12"/>
        <v>37864.639999999999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37864.639999999999</v>
      </c>
      <c r="BM17" s="27">
        <f t="shared" si="25"/>
        <v>1391.5700000000002</v>
      </c>
      <c r="BN17" s="27">
        <f t="shared" si="26"/>
        <v>0</v>
      </c>
      <c r="BO17" s="27">
        <f t="shared" si="27"/>
        <v>682.16000000000008</v>
      </c>
      <c r="BP17" s="27">
        <f t="shared" si="28"/>
        <v>0</v>
      </c>
      <c r="BQ17" s="27">
        <f t="shared" si="29"/>
        <v>1211.29</v>
      </c>
      <c r="BR17" s="27">
        <f t="shared" si="30"/>
        <v>34579.619999999995</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39" sqref="E39:F3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1" t="s">
        <v>203</v>
      </c>
      <c r="B2" s="3271"/>
      <c r="C2" s="3271"/>
      <c r="D2" s="1976" t="s">
        <v>204</v>
      </c>
      <c r="E2" s="106" t="s">
        <v>205</v>
      </c>
      <c r="F2" s="1985"/>
      <c r="G2" s="1199"/>
      <c r="H2" s="1200"/>
      <c r="I2" s="1201" t="s">
        <v>858</v>
      </c>
      <c r="J2" s="1985"/>
      <c r="K2" s="1985"/>
      <c r="L2" s="1985"/>
    </row>
    <row r="3" spans="1:16" ht="15.75" thickBot="1">
      <c r="A3" s="3272" t="s">
        <v>206</v>
      </c>
      <c r="B3" s="3272"/>
      <c r="C3" s="3272"/>
      <c r="D3" s="107">
        <f>'数据-基础表'!AY6</f>
        <v>25391.93</v>
      </c>
      <c r="E3" s="107">
        <f>'数据-基础表'!AZ5</f>
        <v>68728.649999999994</v>
      </c>
      <c r="F3" s="1985"/>
      <c r="G3" s="279" t="s">
        <v>859</v>
      </c>
      <c r="H3" s="274" t="s">
        <v>860</v>
      </c>
      <c r="I3" s="1977">
        <f>ROUND('数据-基础表'!B3/'数据-基础表'!A3,2)</f>
        <v>2.71</v>
      </c>
      <c r="J3" s="1985"/>
      <c r="K3" s="1985"/>
      <c r="L3" s="1985"/>
    </row>
    <row r="4" spans="1:16" ht="15">
      <c r="A4" s="3273"/>
      <c r="B4" s="3274"/>
      <c r="C4" s="3275"/>
      <c r="D4" s="108" t="s">
        <v>204</v>
      </c>
      <c r="E4" s="109" t="s">
        <v>205</v>
      </c>
      <c r="F4" s="1985"/>
      <c r="G4" s="1202"/>
      <c r="H4" s="274" t="s">
        <v>861</v>
      </c>
      <c r="I4" s="1977">
        <f>ROUND(SUMIF('数据-基础表'!I9:AS9,"地上",'数据-基础表'!I5:AS5)/'数据-基础表'!A3,2)</f>
        <v>1.99</v>
      </c>
      <c r="J4" s="1985"/>
      <c r="K4" s="1985"/>
      <c r="L4" s="1985"/>
    </row>
    <row r="5" spans="1:16">
      <c r="A5" s="110" t="s">
        <v>207</v>
      </c>
      <c r="B5" s="3276" t="s">
        <v>230</v>
      </c>
      <c r="C5" s="3276"/>
      <c r="D5" s="111">
        <f>ROUND($D$3*E5/$E$3,2)</f>
        <v>10845.56</v>
      </c>
      <c r="E5" s="112">
        <f>SUMIF('数据-基础表'!$11:$11,"住宅",'数据-基础表'!$5:$5)</f>
        <v>29355.819999999992</v>
      </c>
      <c r="F5" s="1985"/>
      <c r="G5" s="279" t="s">
        <v>862</v>
      </c>
      <c r="H5" s="274" t="s">
        <v>860</v>
      </c>
      <c r="I5" s="1977">
        <f>ROUND(E31/D31,2)</f>
        <v>2.71</v>
      </c>
      <c r="J5" s="1985"/>
      <c r="K5" s="1985"/>
      <c r="L5" s="1985"/>
    </row>
    <row r="6" spans="1:16" ht="15" thickBot="1">
      <c r="A6" s="113"/>
      <c r="B6" s="3276" t="s">
        <v>208</v>
      </c>
      <c r="C6" s="3276"/>
      <c r="D6" s="111">
        <f>ROUND($D$3*E6/$E$3,2)</f>
        <v>14546.37</v>
      </c>
      <c r="E6" s="112">
        <f>E3-E5</f>
        <v>39372.83</v>
      </c>
      <c r="F6" s="1985"/>
      <c r="G6" s="1202"/>
      <c r="H6" s="274" t="s">
        <v>861</v>
      </c>
      <c r="I6" s="1977">
        <f>ROUND(F31/D31,2)</f>
        <v>1.34</v>
      </c>
      <c r="J6" s="1985"/>
      <c r="K6" s="1985"/>
      <c r="L6" s="1985"/>
    </row>
    <row r="7" spans="1:16" ht="15">
      <c r="A7" s="3268"/>
      <c r="B7" s="3269"/>
      <c r="C7" s="3270"/>
      <c r="D7" s="108" t="s">
        <v>204</v>
      </c>
      <c r="E7" s="114" t="s">
        <v>231</v>
      </c>
      <c r="F7" s="1985"/>
      <c r="G7" s="1157" t="s">
        <v>1647</v>
      </c>
      <c r="H7" s="1158"/>
      <c r="I7" s="1847">
        <f>I6</f>
        <v>1.34</v>
      </c>
      <c r="J7" s="1985"/>
      <c r="K7" s="1985"/>
      <c r="L7" s="1985"/>
    </row>
    <row r="8" spans="1:16">
      <c r="A8" s="110" t="s">
        <v>209</v>
      </c>
      <c r="B8" s="115" t="s">
        <v>210</v>
      </c>
      <c r="C8" s="111" t="s">
        <v>211</v>
      </c>
      <c r="D8" s="111">
        <f t="shared" ref="D8:D15" si="0">ROUND($D$3*E8/$E$3,2)</f>
        <v>11402.77</v>
      </c>
      <c r="E8" s="116">
        <f>SUMIF('数据-基础表'!BB10:BK10,"地上",'数据-基础表'!BB5:BK5)</f>
        <v>30864.009999999991</v>
      </c>
      <c r="F8" s="1985"/>
      <c r="G8" s="1987"/>
      <c r="H8" s="1987"/>
      <c r="I8" s="1985"/>
      <c r="J8" s="1985"/>
      <c r="K8" s="1985"/>
      <c r="L8" s="1985"/>
    </row>
    <row r="9" spans="1:16" ht="15">
      <c r="A9" s="117"/>
      <c r="B9" s="118"/>
      <c r="C9" s="111" t="s">
        <v>212</v>
      </c>
      <c r="D9" s="111">
        <f t="shared" si="0"/>
        <v>252.03</v>
      </c>
      <c r="E9" s="3187">
        <f>'数据-基础表'!AH17</f>
        <v>682.16000000000008</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11654.800000000001</v>
      </c>
      <c r="E16" s="119">
        <f>SUM(E8:E15)</f>
        <v>31546.169999999991</v>
      </c>
      <c r="F16" s="1985"/>
      <c r="G16" s="1987"/>
      <c r="H16" s="969" t="s">
        <v>219</v>
      </c>
      <c r="I16" s="970"/>
      <c r="J16" s="1985"/>
      <c r="K16" s="3262" t="s">
        <v>2573</v>
      </c>
      <c r="L16" s="3263"/>
      <c r="M16" s="3263"/>
      <c r="N16" s="3263"/>
      <c r="O16" s="3263"/>
      <c r="P16" s="3264"/>
    </row>
    <row r="17" spans="1:19" ht="15">
      <c r="A17" s="120" t="s">
        <v>216</v>
      </c>
      <c r="B17" s="121" t="s">
        <v>217</v>
      </c>
      <c r="C17" s="2299" t="s">
        <v>2317</v>
      </c>
      <c r="D17" s="108" t="s">
        <v>204</v>
      </c>
      <c r="E17" s="123" t="s">
        <v>205</v>
      </c>
      <c r="F17" s="124"/>
      <c r="G17" s="1367"/>
      <c r="H17" s="971" t="s">
        <v>218</v>
      </c>
      <c r="I17" s="972" t="s">
        <v>2316</v>
      </c>
      <c r="J17" s="1985"/>
      <c r="K17" s="3265" t="s">
        <v>2574</v>
      </c>
      <c r="L17" s="3266"/>
      <c r="M17" s="3267"/>
      <c r="N17" s="3265" t="s">
        <v>2575</v>
      </c>
      <c r="O17" s="3266"/>
      <c r="P17" s="3267"/>
      <c r="R17" s="2300" t="s">
        <v>2315</v>
      </c>
      <c r="S17" s="143"/>
    </row>
    <row r="18" spans="1:19" ht="15">
      <c r="A18" s="117"/>
      <c r="B18" s="127"/>
      <c r="C18" s="128"/>
      <c r="D18" s="2668"/>
      <c r="E18" s="129" t="s">
        <v>220</v>
      </c>
      <c r="F18" s="130" t="s">
        <v>221</v>
      </c>
      <c r="G18" s="1368"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2"/>
      <c r="B19" s="115" t="s">
        <v>225</v>
      </c>
      <c r="C19" s="3050" t="str">
        <f>'数据-基础表'!C13</f>
        <v>可售住宅</v>
      </c>
      <c r="D19" s="111">
        <f t="shared" ref="D19:D26" si="1">ROUND($D$3*E19/$E$3,2)</f>
        <v>10845.56</v>
      </c>
      <c r="E19" s="133">
        <f t="shared" ref="E19:E26" si="2">SUM(F19:G19)</f>
        <v>29355.819999999992</v>
      </c>
      <c r="F19" s="134">
        <f>'数据-基础表'!I13</f>
        <v>29355.819999999992</v>
      </c>
      <c r="G19" s="1369"/>
      <c r="H19" s="975">
        <f>ROUND($D$3*I19/$E$3,2)</f>
        <v>13343.01</v>
      </c>
      <c r="I19" s="116">
        <f>IF($I$17="自定义",P19,M19)</f>
        <v>36115.69</v>
      </c>
      <c r="J19" s="1985"/>
      <c r="K19" s="2633">
        <f t="shared" ref="K19:K26" si="3">ROUND(E$28*E19/E$27,2)</f>
        <v>34041.96</v>
      </c>
      <c r="L19" s="274">
        <f t="shared" ref="L19:L26" si="4">ROUND(IF(COUNTIF(C19,"*住宅*")&gt;0,E$29*E19/E$32,0),2)</f>
        <v>2073.73</v>
      </c>
      <c r="M19" s="2634">
        <f>K19+L19</f>
        <v>36115.69</v>
      </c>
      <c r="N19" s="2635"/>
      <c r="O19" s="2636"/>
      <c r="P19" s="2637">
        <f>N19+O19</f>
        <v>0</v>
      </c>
      <c r="R19" s="274">
        <f t="shared" ref="R19:S26" si="5">D19+H19</f>
        <v>24188.57</v>
      </c>
      <c r="S19" s="2302">
        <f t="shared" si="5"/>
        <v>65471.509999999995</v>
      </c>
    </row>
    <row r="20" spans="1:19">
      <c r="A20" s="137"/>
      <c r="B20" s="115" t="s">
        <v>226</v>
      </c>
      <c r="C20" s="3050" t="str">
        <f>'数据-基础表'!C14</f>
        <v>可售商业</v>
      </c>
      <c r="D20" s="111">
        <f t="shared" si="1"/>
        <v>557.20000000000005</v>
      </c>
      <c r="E20" s="133">
        <f t="shared" si="2"/>
        <v>1508.1899999999996</v>
      </c>
      <c r="F20" s="134">
        <f>'数据-基础表'!K14</f>
        <v>1508.1899999999996</v>
      </c>
      <c r="G20" s="1369"/>
      <c r="H20" s="975">
        <f t="shared" ref="H20:H26" si="6">ROUND($D$3*I20/$E$3,2)</f>
        <v>646.15</v>
      </c>
      <c r="I20" s="116">
        <f t="shared" ref="I20:I26" si="7">IF($I$17="自定义",P20,M20)</f>
        <v>1748.95</v>
      </c>
      <c r="J20" s="1985"/>
      <c r="K20" s="2633">
        <f t="shared" si="3"/>
        <v>1748.95</v>
      </c>
      <c r="L20" s="274">
        <f t="shared" si="4"/>
        <v>0</v>
      </c>
      <c r="M20" s="2634">
        <f t="shared" ref="M20:M26" si="8">K20+L20</f>
        <v>1748.95</v>
      </c>
      <c r="N20" s="2635"/>
      <c r="O20" s="2636"/>
      <c r="P20" s="2637">
        <f t="shared" ref="P20:P26" si="9">N20+O20</f>
        <v>0</v>
      </c>
      <c r="R20" s="274">
        <f t="shared" si="5"/>
        <v>1203.3499999999999</v>
      </c>
      <c r="S20" s="2302">
        <f t="shared" si="5"/>
        <v>3257.1399999999994</v>
      </c>
    </row>
    <row r="21" spans="1:19" hidden="1">
      <c r="A21" s="137"/>
      <c r="B21" s="115" t="s">
        <v>226</v>
      </c>
      <c r="C21" s="3050"/>
      <c r="D21" s="111">
        <f t="shared" si="1"/>
        <v>0</v>
      </c>
      <c r="E21" s="133">
        <f t="shared" si="2"/>
        <v>0</v>
      </c>
      <c r="F21" s="134"/>
      <c r="G21" s="1369"/>
      <c r="H21" s="975">
        <f t="shared" si="6"/>
        <v>0</v>
      </c>
      <c r="I21" s="116">
        <f t="shared" si="7"/>
        <v>0</v>
      </c>
      <c r="J21" s="1985"/>
      <c r="K21" s="2633">
        <f t="shared" si="3"/>
        <v>0</v>
      </c>
      <c r="L21" s="274">
        <f t="shared" si="4"/>
        <v>0</v>
      </c>
      <c r="M21" s="2634">
        <f t="shared" si="8"/>
        <v>0</v>
      </c>
      <c r="N21" s="2635"/>
      <c r="O21" s="2636"/>
      <c r="P21" s="2637">
        <f t="shared" si="9"/>
        <v>0</v>
      </c>
      <c r="R21" s="274">
        <f t="shared" si="5"/>
        <v>0</v>
      </c>
      <c r="S21" s="2302">
        <f t="shared" si="5"/>
        <v>0</v>
      </c>
    </row>
    <row r="22" spans="1:19" hidden="1">
      <c r="A22" s="137"/>
      <c r="B22" s="115" t="s">
        <v>226</v>
      </c>
      <c r="C22" s="1366"/>
      <c r="D22" s="111">
        <f t="shared" si="1"/>
        <v>0</v>
      </c>
      <c r="E22" s="133">
        <f t="shared" si="2"/>
        <v>0</v>
      </c>
      <c r="F22" s="139"/>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5" t="s">
        <v>226</v>
      </c>
      <c r="C23" s="138"/>
      <c r="D23" s="111">
        <f>ROUND($D$3*E23/$E$3,2)</f>
        <v>0</v>
      </c>
      <c r="E23" s="133">
        <f>SUM(F23:G23)</f>
        <v>0</v>
      </c>
      <c r="F23" s="139"/>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5" t="s">
        <v>226</v>
      </c>
      <c r="C24" s="138"/>
      <c r="D24" s="111">
        <f>ROUND($D$3*E24/$E$3,2)</f>
        <v>0</v>
      </c>
      <c r="E24" s="133">
        <f>SUM(F24:G24)</f>
        <v>0</v>
      </c>
      <c r="F24" s="139"/>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5" t="s">
        <v>226</v>
      </c>
      <c r="C25" s="138"/>
      <c r="D25" s="111">
        <f t="shared" si="1"/>
        <v>0</v>
      </c>
      <c r="E25" s="133">
        <f t="shared" si="2"/>
        <v>0</v>
      </c>
      <c r="F25" s="139"/>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5" t="s">
        <v>226</v>
      </c>
      <c r="C26" s="141"/>
      <c r="D26" s="111">
        <f t="shared" si="1"/>
        <v>0</v>
      </c>
      <c r="E26" s="133">
        <f t="shared" si="2"/>
        <v>0</v>
      </c>
      <c r="F26" s="139"/>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29.25" thickBot="1">
      <c r="A27" s="137"/>
      <c r="B27" s="111"/>
      <c r="C27" s="126" t="s">
        <v>215</v>
      </c>
      <c r="D27" s="133">
        <f>SUM(D19:D26)</f>
        <v>11402.76</v>
      </c>
      <c r="E27" s="142">
        <f>IF(SUM(E19:E26)='数据-基础表'!BA5,SUM(E19:E26),IF(F27="地上面积有误","面积有误","地下面积有误"))</f>
        <v>30864.009999999991</v>
      </c>
      <c r="F27" s="133">
        <f>IF(SUM(F19:F26)=E8,SUM(F19:F26),"地上面积有误")</f>
        <v>30864.009999999991</v>
      </c>
      <c r="G27" s="112">
        <f>SUM(G19:G26)</f>
        <v>0</v>
      </c>
      <c r="H27" s="976">
        <f>SUM(H19:H26)</f>
        <v>13989.16</v>
      </c>
      <c r="I27" s="977">
        <f>SUM(I19:I26)</f>
        <v>37864.639999999999</v>
      </c>
      <c r="J27" s="1985"/>
      <c r="K27" s="2642">
        <f>SUM(K19:K26)</f>
        <v>35790.909999999996</v>
      </c>
      <c r="L27" s="2643">
        <f>SUM(L19:L26)</f>
        <v>2073.73</v>
      </c>
      <c r="M27" s="2644">
        <f>SUM(M19:M26)</f>
        <v>37864.639999999999</v>
      </c>
      <c r="N27" s="2642">
        <f t="shared" ref="N27:O27" si="10">SUM(N19:N26)</f>
        <v>0</v>
      </c>
      <c r="O27" s="2643">
        <f t="shared" si="10"/>
        <v>0</v>
      </c>
      <c r="P27" s="2645">
        <f>SUM(P19:P26)</f>
        <v>0</v>
      </c>
      <c r="R27" s="2306" t="str">
        <f>IF(SUM(R19:R26)=$D$3,SUM(R19:R26),SUM(R19:R26)&amp;"误差"&amp;ROUND(SUM(R19:R26)-$D$3,2))</f>
        <v>25391.92误差-0.01</v>
      </c>
      <c r="S27" s="274">
        <f>IF(SUM(S19:S26)=$E$3,SUM(S19:S26),SUM(S19:S26)&amp;"误差"&amp;ROUND(SUM(S19:S26)-E3,2))</f>
        <v>68728.649999999994</v>
      </c>
    </row>
    <row r="28" spans="1:19">
      <c r="A28" s="137"/>
      <c r="B28" s="115" t="s">
        <v>227</v>
      </c>
      <c r="C28" s="135" t="s">
        <v>228</v>
      </c>
      <c r="D28" s="111">
        <f>ROUND($D$3*E28/$E$3,2)</f>
        <v>13223.02</v>
      </c>
      <c r="E28" s="133">
        <f>SUM(F28:G28)</f>
        <v>35790.909999999996</v>
      </c>
      <c r="F28" s="143">
        <f>'数据-基础表'!BQ5+'数据-基础表'!BS5</f>
        <v>1211.29</v>
      </c>
      <c r="G28" s="144">
        <f>'数据-基础表'!BR5+'数据-基础表'!BT5</f>
        <v>34579.619999999995</v>
      </c>
      <c r="H28" s="1985"/>
      <c r="I28" s="1985"/>
      <c r="J28" s="1985"/>
      <c r="K28" s="1985"/>
      <c r="L28" s="1985"/>
    </row>
    <row r="29" spans="1:19">
      <c r="A29" s="137"/>
      <c r="B29" s="115" t="s">
        <v>227</v>
      </c>
      <c r="C29" s="2314" t="s">
        <v>2324</v>
      </c>
      <c r="D29" s="111">
        <f>ROUND($D$3*E29/$E$3,2)</f>
        <v>766.14</v>
      </c>
      <c r="E29" s="133">
        <f>SUM(F29:G29)</f>
        <v>2073.7300000000005</v>
      </c>
      <c r="F29" s="143">
        <f>'数据-基础表'!BM5+'数据-基础表'!BO5</f>
        <v>2073.7300000000005</v>
      </c>
      <c r="G29" s="145">
        <f>'数据-基础表'!BN5+'数据-基础表'!BP5</f>
        <v>0</v>
      </c>
      <c r="H29" s="1985"/>
      <c r="I29" s="1985"/>
      <c r="J29" s="1985"/>
      <c r="K29" s="1985"/>
      <c r="L29" s="1985"/>
    </row>
    <row r="30" spans="1:19">
      <c r="A30" s="137"/>
      <c r="B30" s="111"/>
      <c r="C30" s="146" t="s">
        <v>215</v>
      </c>
      <c r="D30" s="133">
        <f>SUM(D28:D29)</f>
        <v>13989.16</v>
      </c>
      <c r="E30" s="133">
        <f>SUM(E28:E29)</f>
        <v>37864.639999999999</v>
      </c>
      <c r="F30" s="133">
        <f>SUM(F28:F29)</f>
        <v>3285.0200000000004</v>
      </c>
      <c r="G30" s="112">
        <f>SUM(G28:G29)</f>
        <v>34579.619999999995</v>
      </c>
      <c r="H30" s="1985"/>
      <c r="I30" s="1985"/>
      <c r="J30" s="1985"/>
      <c r="K30" s="1985"/>
      <c r="L30" s="1985"/>
    </row>
    <row r="31" spans="1:19" ht="32.25" customHeight="1" thickBot="1">
      <c r="A31" s="1371"/>
      <c r="B31" s="1372" t="s">
        <v>229</v>
      </c>
      <c r="C31" s="2331" t="s">
        <v>2326</v>
      </c>
      <c r="D31" s="1373">
        <f>D27+D30</f>
        <v>25391.919999999998</v>
      </c>
      <c r="E31" s="1373">
        <f>E27+E30</f>
        <v>68728.649999999994</v>
      </c>
      <c r="F31" s="1374">
        <f>F27+F30</f>
        <v>34149.029999999992</v>
      </c>
      <c r="G31" s="1375">
        <f>G27+G30</f>
        <v>34579.619999999995</v>
      </c>
      <c r="H31" s="1985"/>
      <c r="I31" s="1985"/>
      <c r="J31" s="1985"/>
      <c r="K31" s="1985"/>
      <c r="L31" s="1985"/>
    </row>
    <row r="32" spans="1:19">
      <c r="A32" s="1985"/>
      <c r="B32" s="2364" t="s">
        <v>2325</v>
      </c>
      <c r="C32" s="2673"/>
      <c r="D32" s="1202"/>
      <c r="E32" s="1202">
        <f>SUMIF(C19:C26,"*住宅*",E19:E26)</f>
        <v>29355.819999999992</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G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43123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2836</v>
      </c>
      <c r="O5" s="162" t="s">
        <v>246</v>
      </c>
      <c r="P5" s="164" t="s">
        <v>247</v>
      </c>
      <c r="Q5" s="165" t="s">
        <v>248</v>
      </c>
      <c r="R5" s="166" t="s">
        <v>249</v>
      </c>
      <c r="S5" s="2646" t="s">
        <v>2579</v>
      </c>
      <c r="T5" s="167" t="s">
        <v>250</v>
      </c>
      <c r="U5" s="168" t="s">
        <v>251</v>
      </c>
      <c r="V5" s="158" t="s">
        <v>252</v>
      </c>
      <c r="W5" s="158" t="s">
        <v>253</v>
      </c>
      <c r="X5" s="1819"/>
      <c r="Y5" s="169" t="s">
        <v>254</v>
      </c>
      <c r="Z5" s="170" t="s">
        <v>255</v>
      </c>
      <c r="AA5" s="158" t="s">
        <v>252</v>
      </c>
      <c r="AB5" s="158" t="s">
        <v>253</v>
      </c>
      <c r="AC5" s="1820"/>
      <c r="AD5" s="171" t="s">
        <v>254</v>
      </c>
      <c r="AE5" s="1" t="s">
        <v>871</v>
      </c>
      <c r="AF5" s="158" t="s">
        <v>256</v>
      </c>
      <c r="AG5" s="169" t="s">
        <v>257</v>
      </c>
      <c r="AH5" s="1820" t="s">
        <v>2327</v>
      </c>
      <c r="AI5" s="170" t="s">
        <v>2296</v>
      </c>
      <c r="AJ5" s="170" t="s">
        <v>258</v>
      </c>
      <c r="AK5" s="158" t="s">
        <v>259</v>
      </c>
      <c r="AL5" s="158" t="s">
        <v>260</v>
      </c>
      <c r="AM5" s="171"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可售住宅</v>
      </c>
      <c r="B6" s="2338" t="str">
        <f>IF(A6=0,"","经营性")</f>
        <v>经营性</v>
      </c>
      <c r="C6" s="172" t="s">
        <v>924</v>
      </c>
      <c r="D6" s="2309">
        <f>SUMIF(项目基本情况!D$15:I$15,C6,项目基本情况!D$18:I$18)</f>
        <v>70</v>
      </c>
      <c r="E6" s="2310">
        <f>IF(B6="","",SUMIF(项目基本情况!D$15:I$15,C6,项目基本情况!D$17:I$17))</f>
        <v>68265</v>
      </c>
      <c r="F6" s="173">
        <f>SUMIF(项目基本情况!D$15:I$15,C6,项目基本情况!D$19:I$19)</f>
        <v>68.88</v>
      </c>
      <c r="G6" s="174">
        <f>IF(ISERROR(ROUND(POWER(1+H6,D6-F6)*(POWER(1+H6,F6)-1)/(POWER(1+H6,D6)-1),3)),0,ROUND(POWER(1+H6,D6-F6)*(POWER(1+H6,F6)-1)/(POWER(1+H6,D6)-1),3))</f>
        <v>0.998</v>
      </c>
      <c r="H6" s="3051">
        <v>4.4999999999999998E-2</v>
      </c>
      <c r="I6" s="3051">
        <v>0.05</v>
      </c>
      <c r="J6" s="175">
        <v>8.5000000000000006E-2</v>
      </c>
      <c r="K6" s="178">
        <f>SUMIF('数据-汇总表'!C$19:C$33,'数据-取费表'!A6,'数据-汇总表'!E$19:E$33)</f>
        <v>29355.819999999992</v>
      </c>
      <c r="L6" s="3052">
        <v>1800</v>
      </c>
      <c r="M6" s="176">
        <f t="shared" ref="M6:M14" si="0">ROUND(K6*L6/10000,0)</f>
        <v>5284</v>
      </c>
      <c r="N6" s="3053">
        <v>0</v>
      </c>
      <c r="O6" s="176">
        <f>IF($N$5="成新度","——",ROUND(M6*N6,0))</f>
        <v>0</v>
      </c>
      <c r="P6" s="177">
        <f>IF($N$5="成新度","——",M6-O6)</f>
        <v>5284</v>
      </c>
      <c r="Q6" s="3054">
        <v>0.1</v>
      </c>
      <c r="R6" s="178">
        <f>SUMIF('数据-汇总表'!C$19:C$33,A6,'数据-汇总表'!R$19:R$33)</f>
        <v>24188.57</v>
      </c>
      <c r="S6" s="131">
        <f>IF('数据-汇总表'!$I$17="按面积比例",SUMIF('数据-汇总表'!C$19:C$33,A6,'数据-汇总表'!K$19:K$33),SUMIF('数据-汇总表'!C$19:C$33,A6,'数据-汇总表'!N$19:N$33))</f>
        <v>34041.96</v>
      </c>
      <c r="T6" s="2235">
        <f>IF($T$4="按面积比例",IF(ISERROR(ROUND($M$14*S6/S$16,0)),"0",ROUND($M$14*S6/S$16,0)),"需自行计算录入")</f>
        <v>6127</v>
      </c>
      <c r="U6" s="179"/>
      <c r="V6" s="180"/>
      <c r="W6" s="180"/>
      <c r="X6" s="2322"/>
      <c r="Y6" s="181"/>
      <c r="Z6" s="182"/>
      <c r="AA6" s="175"/>
      <c r="AB6" s="175"/>
      <c r="AC6" s="2325"/>
      <c r="AD6" s="183"/>
      <c r="AE6" s="973">
        <f ca="1">IF(AN6="",0,SUMIF(INDIRECT("'"&amp;AN6&amp;"'"&amp;"!E:E"),$AE$5,INDIRECT("'"&amp;AN6&amp;"'"&amp;"!F:F")))</f>
        <v>0</v>
      </c>
      <c r="AF6" s="140"/>
      <c r="AG6" s="1214">
        <f>IF(AF6="",0,AE6-AF6)</f>
        <v>0</v>
      </c>
      <c r="AH6" s="140"/>
      <c r="AI6" s="186"/>
      <c r="AJ6" s="187"/>
      <c r="AK6" s="188"/>
      <c r="AL6" s="189"/>
      <c r="AM6" s="3065"/>
      <c r="AN6" s="2417"/>
      <c r="AO6" s="2001"/>
      <c r="AP6" s="1205">
        <f>ROUND(1-1/(1+H6)^F6,3)</f>
        <v>0.95199999999999996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可售商业</v>
      </c>
      <c r="B7" s="2338" t="str">
        <f t="shared" ref="B7:B13" si="1">IF(A7=0,"","经营性")</f>
        <v>经营性</v>
      </c>
      <c r="C7" s="172" t="s">
        <v>3046</v>
      </c>
      <c r="D7" s="2309">
        <f>SUMIF(项目基本情况!D$15:I$15,C7,项目基本情况!D$18:I$18)</f>
        <v>40</v>
      </c>
      <c r="E7" s="2310">
        <f>IF(B7="","",SUMIF(项目基本情况!D$15:I$15,C7,项目基本情况!D$17:I$17))</f>
        <v>57308</v>
      </c>
      <c r="F7" s="173">
        <f>SUMIF(项目基本情况!D$15:I$15,C7,项目基本情况!D$19:I$19)</f>
        <v>38.86</v>
      </c>
      <c r="G7" s="174">
        <f t="shared" ref="G7:G11" si="2">IF(ISERROR(ROUND(POWER(1+H7,D7-F7)*(POWER(1+H7,F7)-1)/(POWER(1+H7,D7)-1),3)),0,ROUND(POWER(1+H7,D7-F7)*(POWER(1+H7,F7)-1)/(POWER(1+H7,D7)-1),3))</f>
        <v>0.99099999999999999</v>
      </c>
      <c r="H7" s="3051">
        <v>0.05</v>
      </c>
      <c r="I7" s="3051">
        <v>5.5E-2</v>
      </c>
      <c r="J7" s="175">
        <v>8.5000000000000006E-2</v>
      </c>
      <c r="K7" s="178">
        <f>SUMIF('数据-汇总表'!C$19:C$33,'数据-取费表'!A7,'数据-汇总表'!E$19:E$33)</f>
        <v>1508.1899999999996</v>
      </c>
      <c r="L7" s="3052">
        <v>2000</v>
      </c>
      <c r="M7" s="176">
        <f t="shared" si="0"/>
        <v>302</v>
      </c>
      <c r="N7" s="3053">
        <v>0</v>
      </c>
      <c r="O7" s="176">
        <f t="shared" ref="O7:O14" si="3">IF($N$5="成新度","——",ROUND(M7*N7,0))</f>
        <v>0</v>
      </c>
      <c r="P7" s="177">
        <f t="shared" ref="P7:P14" si="4">IF($N$5="成新度","——",M7-O7)</f>
        <v>302</v>
      </c>
      <c r="Q7" s="3054">
        <v>0.1</v>
      </c>
      <c r="R7" s="178">
        <f>SUMIF('数据-汇总表'!C$19:C$33,A7,'数据-汇总表'!R$19:R$33)</f>
        <v>1203.3499999999999</v>
      </c>
      <c r="S7" s="131">
        <f>IF('数据-汇总表'!$I$17="按面积比例",SUMIF('数据-汇总表'!C$19:C$33,A7,'数据-汇总表'!K$19:K$33),SUMIF('数据-汇总表'!C$19:C$33,A7,'数据-汇总表'!N$19:N$33))</f>
        <v>1748.95</v>
      </c>
      <c r="T7" s="2235">
        <f t="shared" ref="T7:T13" si="5">IF($T$4="按面积比例",IF(ISERROR(ROUND($M$14*S7/S$16,0)),"0",ROUND($M$14*S7/S$16,0)),"需自行计算录入")</f>
        <v>315</v>
      </c>
      <c r="U7" s="179">
        <v>3</v>
      </c>
      <c r="V7" s="180">
        <v>0.03</v>
      </c>
      <c r="W7" s="180">
        <v>0.1</v>
      </c>
      <c r="X7" s="2322"/>
      <c r="Y7" s="181">
        <v>1</v>
      </c>
      <c r="Z7" s="182"/>
      <c r="AA7" s="175"/>
      <c r="AB7" s="175"/>
      <c r="AC7" s="2325"/>
      <c r="AD7" s="183"/>
      <c r="AE7" s="973">
        <f t="shared" ref="AE7:AE13" ca="1" si="6">IF(AN7="",0,SUMIF(INDIRECT("'"&amp;AN7&amp;"'"&amp;"!E:E"),$AE$5,INDIRECT("'"&amp;AN7&amp;"'"&amp;"!F:F")))</f>
        <v>37.36</v>
      </c>
      <c r="AF7" s="140"/>
      <c r="AG7" s="1214">
        <f t="shared" ref="AG7:AG13" si="7">IF(AF7="",0,AE7-AF7)</f>
        <v>0</v>
      </c>
      <c r="AH7" s="140"/>
      <c r="AI7" s="186">
        <v>365</v>
      </c>
      <c r="AJ7" s="187"/>
      <c r="AK7" s="188">
        <v>1.4999999999999999E-2</v>
      </c>
      <c r="AL7" s="189">
        <v>1.5E-3</v>
      </c>
      <c r="AM7" s="3065">
        <v>0.01</v>
      </c>
      <c r="AN7" s="2417" t="s">
        <v>3068</v>
      </c>
      <c r="AO7" s="2001"/>
      <c r="AP7" s="1205">
        <f t="shared" ref="AP7:AP13" si="8">ROUND(1-1/(1+H7)^F7,3)</f>
        <v>0.85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hidden="1">
      <c r="A8" s="2303">
        <f>'数据-汇总表'!C21</f>
        <v>0</v>
      </c>
      <c r="B8" s="2338" t="str">
        <f t="shared" si="1"/>
        <v/>
      </c>
      <c r="C8" s="172"/>
      <c r="D8" s="2309">
        <f>SUMIF(项目基本情况!D$15:I$15,C8,项目基本情况!D$18:I$18)</f>
        <v>0</v>
      </c>
      <c r="E8" s="2310" t="str">
        <f>IF(B8="","",SUMIF(项目基本情况!D$15:I$15,C8,项目基本情况!D$17:I$17))</f>
        <v/>
      </c>
      <c r="F8" s="173">
        <f>SUMIF(项目基本情况!D$15:I$15,C8,项目基本情况!D$19:I$19)</f>
        <v>0</v>
      </c>
      <c r="G8" s="174">
        <f t="shared" si="2"/>
        <v>0</v>
      </c>
      <c r="H8" s="3051"/>
      <c r="I8" s="3051"/>
      <c r="J8" s="175"/>
      <c r="K8" s="178">
        <f>SUMIF('数据-汇总表'!C$19:C$33,'数据-取费表'!A8,'数据-汇总表'!E$19:E$33)</f>
        <v>0</v>
      </c>
      <c r="L8" s="3052"/>
      <c r="M8" s="176">
        <f>ROUND(K8*L8/10000,0)</f>
        <v>0</v>
      </c>
      <c r="N8" s="3053"/>
      <c r="O8" s="176">
        <f t="shared" si="3"/>
        <v>0</v>
      </c>
      <c r="P8" s="177">
        <f t="shared" si="4"/>
        <v>0</v>
      </c>
      <c r="Q8" s="3054"/>
      <c r="R8" s="178">
        <f>SUMIF('数据-汇总表'!C$19:C$33,A8,'数据-汇总表'!R$19:R$33)</f>
        <v>0</v>
      </c>
      <c r="S8" s="131">
        <f>IF('数据-汇总表'!$I$17="按面积比例",SUMIF('数据-汇总表'!C$19:C$33,A8,'数据-汇总表'!K$19:K$33),SUMIF('数据-汇总表'!C$19:C$33,A8,'数据-汇总表'!N$19:N$33))</f>
        <v>0</v>
      </c>
      <c r="T8" s="2235">
        <f t="shared" si="5"/>
        <v>0</v>
      </c>
      <c r="U8" s="179"/>
      <c r="V8" s="180"/>
      <c r="W8" s="180"/>
      <c r="X8" s="2322"/>
      <c r="Y8" s="181"/>
      <c r="Z8" s="182"/>
      <c r="AA8" s="175"/>
      <c r="AB8" s="175"/>
      <c r="AC8" s="2325"/>
      <c r="AD8" s="183"/>
      <c r="AE8" s="973">
        <f t="shared" ca="1" si="6"/>
        <v>0</v>
      </c>
      <c r="AF8" s="140"/>
      <c r="AG8" s="1214">
        <f t="shared" si="7"/>
        <v>0</v>
      </c>
      <c r="AH8" s="140"/>
      <c r="AI8" s="186"/>
      <c r="AJ8" s="187"/>
      <c r="AK8" s="188"/>
      <c r="AL8" s="189"/>
      <c r="AM8" s="3065"/>
      <c r="AN8" s="2417"/>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0"/>
      <c r="AG9" s="1214">
        <f t="shared" si="7"/>
        <v>0</v>
      </c>
      <c r="AH9" s="140"/>
      <c r="AI9" s="186"/>
      <c r="AJ9" s="187"/>
      <c r="AK9" s="188"/>
      <c r="AL9" s="189"/>
      <c r="AM9" s="306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0"/>
      <c r="AG10" s="1214">
        <f t="shared" si="7"/>
        <v>0</v>
      </c>
      <c r="AH10" s="140"/>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0"/>
      <c r="AG11" s="1214">
        <f t="shared" si="7"/>
        <v>0</v>
      </c>
      <c r="AH11" s="140"/>
      <c r="AI11" s="186"/>
      <c r="AJ11" s="187"/>
      <c r="AK11" s="195"/>
      <c r="AL11" s="196"/>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0"/>
      <c r="AG12" s="1214">
        <f t="shared" si="7"/>
        <v>0</v>
      </c>
      <c r="AH12" s="140"/>
      <c r="AI12" s="186"/>
      <c r="AJ12" s="187"/>
      <c r="AK12" s="195"/>
      <c r="AL12" s="196"/>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0"/>
      <c r="AG13" s="1214">
        <f t="shared" si="7"/>
        <v>0</v>
      </c>
      <c r="AH13" s="140"/>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3"/>
      <c r="G14" s="174"/>
      <c r="H14" s="2311"/>
      <c r="I14" s="2311"/>
      <c r="J14" s="2311"/>
      <c r="K14" s="178">
        <f>SUMIF('数据-汇总表'!C$19:C$33,'数据-取费表'!A14,'数据-汇总表'!E$19:E$33)</f>
        <v>35790.909999999996</v>
      </c>
      <c r="L14" s="192">
        <v>1800</v>
      </c>
      <c r="M14" s="176">
        <f t="shared" si="0"/>
        <v>6442</v>
      </c>
      <c r="N14" s="193">
        <v>0</v>
      </c>
      <c r="O14" s="176">
        <f t="shared" si="3"/>
        <v>0</v>
      </c>
      <c r="P14" s="177">
        <f t="shared" si="4"/>
        <v>6442</v>
      </c>
      <c r="Q14" s="2319"/>
      <c r="R14" s="178"/>
      <c r="S14" s="131"/>
      <c r="T14" s="2318"/>
      <c r="U14" s="975"/>
      <c r="V14" s="2321"/>
      <c r="W14" s="2321"/>
      <c r="X14" s="2322"/>
      <c r="Y14" s="2323"/>
      <c r="Z14" s="135"/>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3"/>
      <c r="G15" s="174"/>
      <c r="H15" s="2311"/>
      <c r="I15" s="2311"/>
      <c r="J15" s="2311"/>
      <c r="K15" s="178">
        <f>SUMIF('数据-汇总表'!C$19:C$33,'数据-取费表'!A15,'数据-汇总表'!E$19:E$33)</f>
        <v>2073.7300000000005</v>
      </c>
      <c r="L15" s="2317"/>
      <c r="M15" s="176"/>
      <c r="N15" s="2320"/>
      <c r="O15" s="176"/>
      <c r="P15" s="177"/>
      <c r="Q15" s="2319"/>
      <c r="R15" s="178"/>
      <c r="S15" s="131"/>
      <c r="T15" s="2318"/>
      <c r="U15" s="975"/>
      <c r="V15" s="2321"/>
      <c r="W15" s="2321"/>
      <c r="X15" s="2322"/>
      <c r="Y15" s="2323"/>
      <c r="Z15" s="135"/>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0.998</v>
      </c>
      <c r="H16" s="202">
        <f>ROUND(SUMPRODUCT(H6:H13,K6:K13)/SUMPRODUCT((H6:H13&gt;0)*(K6:K13)),3)</f>
        <v>4.4999999999999998E-2</v>
      </c>
      <c r="I16" s="203"/>
      <c r="J16" s="203"/>
      <c r="K16" s="204">
        <f>SUM(K6:K15)</f>
        <v>68728.64999999998</v>
      </c>
      <c r="L16" s="205">
        <f>ROUND(M16*10000/SUM(K6:K14),0)</f>
        <v>1805</v>
      </c>
      <c r="M16" s="205">
        <f>SUM(M6:M14)</f>
        <v>12028</v>
      </c>
      <c r="N16" s="206">
        <f>ROUND(SUMPRODUCT(M6:M14,N6:N14)/M16,3)</f>
        <v>0</v>
      </c>
      <c r="O16" s="205">
        <f>SUM(O6:O14)</f>
        <v>0</v>
      </c>
      <c r="P16" s="205">
        <f>SUM(P6:P14)</f>
        <v>12028</v>
      </c>
      <c r="Q16" s="207">
        <f>ROUND(SUMPRODUCT(Q6:Q13,K6:K13)/SUMPRODUCT((Q6:Q13&gt;0)*(K6:K13)),2)</f>
        <v>0.1</v>
      </c>
      <c r="R16" s="2312">
        <f>SUM(R6:R13)</f>
        <v>25391.919999999998</v>
      </c>
      <c r="S16" s="208">
        <f>SUM(S6:S13)</f>
        <v>35790.909999999996</v>
      </c>
      <c r="T16" s="209">
        <f>IF(SUMIF(T6:T13,"&lt;9E307")=M14,SUMIF(T6:T13,"&lt;9E307"),"有误，请检查")</f>
        <v>6442</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0.94699999999999995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5">
      <c r="A20" s="218" t="s">
        <v>265</v>
      </c>
      <c r="B20" s="3188">
        <v>1.5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2342</v>
      </c>
      <c r="B27" s="226">
        <v>90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2343</v>
      </c>
      <c r="B28" s="228">
        <v>140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2341</v>
      </c>
      <c r="B29" s="231">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348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0.02</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0.01</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1.4999999999999999E-2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0"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1"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1"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1328</v>
      </c>
      <c r="C53" s="3102"/>
      <c r="D53" s="3103" t="s">
        <v>2912</v>
      </c>
      <c r="E53" s="1993"/>
      <c r="F53" s="1993" t="s">
        <v>3094</v>
      </c>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2913</v>
      </c>
      <c r="B54" s="185">
        <v>12</v>
      </c>
      <c r="C54" s="1995"/>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2914</v>
      </c>
      <c r="B55" s="185">
        <v>8</v>
      </c>
      <c r="C55" s="1995"/>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2915</v>
      </c>
      <c r="B56" s="185">
        <v>4</v>
      </c>
      <c r="C56" s="1995"/>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c r="B57" s="185"/>
      <c r="C57" s="1995"/>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c r="B58" s="185"/>
      <c r="C58" s="1995"/>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c r="B59" s="185"/>
      <c r="C59" s="1995"/>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7" t="s">
        <v>1665</v>
      </c>
      <c r="B1" s="3278"/>
      <c r="C1" s="3278"/>
      <c r="D1" s="3278"/>
      <c r="E1" s="3278"/>
      <c r="F1" s="3278"/>
      <c r="G1" s="3278"/>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7" t="s">
        <v>2922</v>
      </c>
      <c r="D3" s="2010"/>
      <c r="E3" s="1230" t="s">
        <v>1668</v>
      </c>
      <c r="F3" s="1231" t="s">
        <v>1656</v>
      </c>
      <c r="G3" s="3111" t="s">
        <v>2921</v>
      </c>
      <c r="H3" s="2009"/>
      <c r="I3" s="2009"/>
      <c r="J3" s="2009"/>
      <c r="K3" s="2009"/>
      <c r="L3" s="2009"/>
      <c r="M3" s="2009"/>
      <c r="N3" s="2009"/>
      <c r="O3" s="2009"/>
      <c r="P3" s="2009"/>
      <c r="Q3" s="2009"/>
      <c r="R3" s="2009"/>
    </row>
    <row r="4" spans="1:18" ht="41.25">
      <c r="A4" s="1230"/>
      <c r="B4" s="1232" t="s">
        <v>1669</v>
      </c>
      <c r="C4" s="3108" t="s">
        <v>2923</v>
      </c>
      <c r="D4" s="2010"/>
      <c r="E4" s="1233"/>
      <c r="F4" s="1234" t="s">
        <v>1670</v>
      </c>
      <c r="G4" s="3109" t="s">
        <v>2918</v>
      </c>
      <c r="H4" s="2009"/>
      <c r="I4" s="2009"/>
      <c r="J4" s="2009"/>
      <c r="K4" s="2009"/>
      <c r="L4" s="2009"/>
      <c r="M4" s="2009"/>
      <c r="N4" s="2009"/>
      <c r="O4" s="2009"/>
      <c r="P4" s="2009"/>
      <c r="Q4" s="2009"/>
      <c r="R4" s="2009"/>
    </row>
    <row r="5" spans="1:18" ht="41.25">
      <c r="A5" s="1230"/>
      <c r="B5" s="1232" t="s">
        <v>1671</v>
      </c>
      <c r="C5" s="3108" t="s">
        <v>2924</v>
      </c>
      <c r="D5" s="2010"/>
      <c r="E5" s="1233"/>
      <c r="F5" s="1232" t="s">
        <v>2553</v>
      </c>
      <c r="G5" s="3109" t="s">
        <v>2919</v>
      </c>
      <c r="H5" s="2009"/>
      <c r="I5" s="2009"/>
      <c r="J5" s="2009"/>
      <c r="K5" s="2009"/>
      <c r="L5" s="2009"/>
      <c r="M5" s="2009"/>
      <c r="N5" s="2009"/>
      <c r="O5" s="2009"/>
      <c r="P5" s="2009"/>
      <c r="Q5" s="2009"/>
      <c r="R5" s="2009"/>
    </row>
    <row r="6" spans="1:18" ht="54">
      <c r="A6" s="1230"/>
      <c r="B6" s="1232" t="s">
        <v>1657</v>
      </c>
      <c r="C6" s="3109" t="s">
        <v>2918</v>
      </c>
      <c r="D6" s="2010"/>
      <c r="E6" s="1233"/>
      <c r="F6" s="1232" t="s">
        <v>2554</v>
      </c>
      <c r="G6" s="3109" t="s">
        <v>2916</v>
      </c>
      <c r="H6" s="2009"/>
      <c r="I6" s="2009"/>
      <c r="J6" s="2009"/>
      <c r="K6" s="2009"/>
      <c r="L6" s="2009"/>
      <c r="M6" s="2009"/>
      <c r="N6" s="2009"/>
      <c r="O6" s="2009"/>
      <c r="P6" s="2009"/>
      <c r="Q6" s="2009"/>
      <c r="R6" s="2009"/>
    </row>
    <row r="7" spans="1:18" ht="41.25" thickBot="1">
      <c r="A7" s="1230"/>
      <c r="B7" s="1232" t="s">
        <v>2553</v>
      </c>
      <c r="C7" s="3109" t="s">
        <v>2919</v>
      </c>
      <c r="D7" s="2011"/>
      <c r="E7" s="1235"/>
      <c r="F7" s="1236" t="s">
        <v>1672</v>
      </c>
      <c r="G7" s="3112" t="s">
        <v>2920</v>
      </c>
      <c r="H7" s="2009"/>
      <c r="I7" s="2009"/>
      <c r="J7" s="2009"/>
      <c r="K7" s="2009"/>
      <c r="L7" s="2009"/>
      <c r="M7" s="2009"/>
      <c r="N7" s="2009"/>
      <c r="O7" s="2009"/>
      <c r="P7" s="2009"/>
      <c r="Q7" s="2009"/>
      <c r="R7" s="2009"/>
    </row>
    <row r="8" spans="1:18" ht="27">
      <c r="A8" s="1230"/>
      <c r="B8" s="1232" t="s">
        <v>2554</v>
      </c>
      <c r="C8" s="3109" t="s">
        <v>2916</v>
      </c>
      <c r="D8" s="2011"/>
      <c r="E8" s="2011"/>
      <c r="F8" s="1554"/>
      <c r="G8" s="1554"/>
      <c r="H8" s="2009"/>
      <c r="I8" s="2009"/>
      <c r="J8" s="2009"/>
      <c r="K8" s="2009"/>
      <c r="L8" s="2009"/>
      <c r="M8" s="2009"/>
      <c r="N8" s="2009"/>
      <c r="O8" s="2009"/>
      <c r="P8" s="2009"/>
      <c r="Q8" s="2009"/>
      <c r="R8" s="2009"/>
    </row>
    <row r="9" spans="1:18" ht="40.5">
      <c r="A9" s="1230"/>
      <c r="B9" s="1232" t="s">
        <v>1658</v>
      </c>
      <c r="C9" s="3108" t="s">
        <v>2917</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3"/>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3"/>
      <c r="E23" s="2612"/>
      <c r="F23" s="1249" t="s">
        <v>1677</v>
      </c>
      <c r="G23" s="3114"/>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2852</v>
      </c>
      <c r="B1" s="3071">
        <f>SUM(B14:B23)</f>
        <v>68728.649999999994</v>
      </c>
      <c r="C1" s="3072"/>
      <c r="D1" s="3072"/>
      <c r="E1" s="3072"/>
      <c r="F1" s="3072"/>
    </row>
    <row r="2" spans="1:9" ht="16.5">
      <c r="A2" s="3071" t="s">
        <v>2853</v>
      </c>
      <c r="B2" s="3071">
        <f>SUM(C14:C23)</f>
        <v>25391.93</v>
      </c>
      <c r="C2" s="3072"/>
      <c r="D2" s="3072"/>
      <c r="E2" s="3072"/>
      <c r="F2" s="3072"/>
    </row>
    <row r="3" spans="1:9" ht="16.5">
      <c r="A3" s="3071" t="s">
        <v>2854</v>
      </c>
      <c r="B3" s="3073">
        <f>项目基本情况!D3</f>
        <v>43123</v>
      </c>
      <c r="C3" s="3072"/>
      <c r="D3" s="3072"/>
      <c r="E3" s="3072"/>
      <c r="F3" s="3072"/>
    </row>
    <row r="4" spans="1:9" ht="33">
      <c r="A4" s="3071" t="s">
        <v>2855</v>
      </c>
      <c r="B4" s="3071" t="s">
        <v>2856</v>
      </c>
      <c r="C4" s="3071" t="s">
        <v>2857</v>
      </c>
      <c r="D4" s="3071" t="s">
        <v>2858</v>
      </c>
      <c r="E4" s="3072"/>
      <c r="F4" s="3072"/>
    </row>
    <row r="5" spans="1:9" ht="16.5">
      <c r="A5" s="3071" t="s">
        <v>2859</v>
      </c>
      <c r="B5" s="3071">
        <f ca="1">SUM(D14:D23)</f>
        <v>28086</v>
      </c>
      <c r="C5" s="3071">
        <f ca="1">ROUND(B5*10000/$B$1,0)</f>
        <v>4087</v>
      </c>
      <c r="D5" s="3071">
        <f ca="1">ROUND(B5*10000/$B$2,0)</f>
        <v>11061</v>
      </c>
      <c r="E5" s="3072"/>
      <c r="F5" s="3072"/>
    </row>
    <row r="6" spans="1:9" ht="16.5">
      <c r="A6" s="3071" t="s">
        <v>2860</v>
      </c>
      <c r="B6" s="3071">
        <f ca="1">SUM(G14:G23)</f>
        <v>28086</v>
      </c>
      <c r="C6" s="3071">
        <f t="shared" ref="C6:C8" ca="1" si="0">ROUND(B6*10000/$B$1,0)</f>
        <v>4087</v>
      </c>
      <c r="D6" s="3071">
        <f t="shared" ref="D6:D8" ca="1" si="1">ROUND(B6*10000/$B$2,0)</f>
        <v>11061</v>
      </c>
      <c r="E6" s="3072"/>
      <c r="F6" s="3072"/>
    </row>
    <row r="7" spans="1:9" ht="16.5">
      <c r="A7" s="3071" t="s">
        <v>2861</v>
      </c>
      <c r="B7" s="3071">
        <f>SUM(H14:H23)</f>
        <v>0</v>
      </c>
      <c r="C7" s="3071">
        <f t="shared" si="0"/>
        <v>0</v>
      </c>
      <c r="D7" s="3071">
        <f t="shared" si="1"/>
        <v>0</v>
      </c>
      <c r="E7" s="3072"/>
      <c r="F7" s="3072"/>
    </row>
    <row r="8" spans="1:9" ht="16.5">
      <c r="A8" s="3071" t="s">
        <v>2862</v>
      </c>
      <c r="B8" s="3071">
        <f ca="1">SUM(I14:I23)</f>
        <v>18135</v>
      </c>
      <c r="C8" s="3071">
        <f t="shared" ca="1" si="0"/>
        <v>2639</v>
      </c>
      <c r="D8" s="3071">
        <f t="shared" ca="1" si="1"/>
        <v>7142</v>
      </c>
      <c r="E8" s="3072"/>
      <c r="F8" s="3072"/>
    </row>
    <row r="9" spans="1:9" ht="16.5">
      <c r="A9" s="3071" t="s">
        <v>2863</v>
      </c>
      <c r="B9" s="3074"/>
      <c r="C9" s="3072"/>
      <c r="D9" s="3072"/>
      <c r="E9" s="3072"/>
      <c r="F9" s="3072"/>
    </row>
    <row r="10" spans="1:9" ht="16.5">
      <c r="A10" s="3071" t="s">
        <v>2864</v>
      </c>
      <c r="B10" s="3074"/>
      <c r="C10" s="3072"/>
      <c r="D10" s="3072"/>
      <c r="E10" s="3072"/>
      <c r="F10" s="3072"/>
    </row>
    <row r="11" spans="1:9" ht="16.5">
      <c r="A11" s="3071" t="s">
        <v>2881</v>
      </c>
      <c r="B11" s="3074"/>
      <c r="C11" s="3072"/>
      <c r="D11" s="3072"/>
      <c r="E11" s="3072"/>
      <c r="F11" s="3072"/>
    </row>
    <row r="12" spans="1:9" ht="16.5">
      <c r="A12" s="3072"/>
      <c r="B12" s="3072"/>
      <c r="C12" s="3072"/>
      <c r="D12" s="3072"/>
      <c r="E12" s="3072"/>
      <c r="F12" s="3072"/>
    </row>
    <row r="13" spans="1:9" ht="33">
      <c r="A13" s="3077" t="s">
        <v>2880</v>
      </c>
      <c r="B13" s="3075" t="s">
        <v>2852</v>
      </c>
      <c r="C13" s="3075" t="s">
        <v>2853</v>
      </c>
      <c r="D13" s="3075" t="s">
        <v>2865</v>
      </c>
      <c r="E13" s="3071" t="s">
        <v>2879</v>
      </c>
      <c r="F13" s="3071" t="s">
        <v>2858</v>
      </c>
      <c r="G13" s="3075" t="s">
        <v>2866</v>
      </c>
      <c r="H13" s="3075" t="s">
        <v>2867</v>
      </c>
      <c r="I13" s="3075" t="s">
        <v>2868</v>
      </c>
    </row>
    <row r="14" spans="1:9" ht="16.5">
      <c r="A14" s="3078" t="s">
        <v>2878</v>
      </c>
      <c r="B14" s="3075">
        <f>结果表!L38</f>
        <v>68728.649999999994</v>
      </c>
      <c r="C14" s="3075">
        <f>结果表!K38</f>
        <v>25391.93</v>
      </c>
      <c r="D14" s="3075">
        <f ca="1">结果表!C42</f>
        <v>28086</v>
      </c>
      <c r="E14" s="3075">
        <f ca="1">ROUND(D14*10000/B14,0)</f>
        <v>4087</v>
      </c>
      <c r="F14" s="3075">
        <f ca="1">ROUND(D14*10000/C14,0)</f>
        <v>11061</v>
      </c>
      <c r="G14" s="3075">
        <f ca="1">结果表!C44</f>
        <v>28086</v>
      </c>
      <c r="H14" s="3075" t="str">
        <f>结果表!C45</f>
        <v>——</v>
      </c>
      <c r="I14" s="3075">
        <f ca="1">结果表!C46</f>
        <v>18135</v>
      </c>
    </row>
    <row r="15" spans="1:9" ht="16.5">
      <c r="A15" s="3078" t="s">
        <v>2869</v>
      </c>
      <c r="B15" s="3079"/>
      <c r="C15" s="3079"/>
      <c r="D15" s="3079"/>
      <c r="E15" s="3075" t="e">
        <f t="shared" ref="E15:E23" si="2">ROUND(D15*10000/B15,0)</f>
        <v>#DIV/0!</v>
      </c>
      <c r="F15" s="3075" t="e">
        <f t="shared" ref="F15:F23" si="3">ROUND(D15*10000/C15,0)</f>
        <v>#DIV/0!</v>
      </c>
      <c r="G15" s="3076"/>
      <c r="H15" s="3076"/>
      <c r="I15" s="3079"/>
    </row>
    <row r="16" spans="1:9" ht="16.5">
      <c r="A16" s="3078" t="s">
        <v>2870</v>
      </c>
      <c r="B16" s="3079"/>
      <c r="C16" s="3079"/>
      <c r="D16" s="3079"/>
      <c r="E16" s="3075" t="e">
        <f t="shared" si="2"/>
        <v>#DIV/0!</v>
      </c>
      <c r="F16" s="3075" t="e">
        <f t="shared" si="3"/>
        <v>#DIV/0!</v>
      </c>
      <c r="G16" s="3076"/>
      <c r="H16" s="3076"/>
      <c r="I16" s="3079"/>
    </row>
    <row r="17" spans="1:9" ht="16.5">
      <c r="A17" s="3078" t="s">
        <v>2871</v>
      </c>
      <c r="B17" s="3079"/>
      <c r="C17" s="3079"/>
      <c r="D17" s="3079"/>
      <c r="E17" s="3075" t="e">
        <f t="shared" si="2"/>
        <v>#DIV/0!</v>
      </c>
      <c r="F17" s="3075" t="e">
        <f t="shared" si="3"/>
        <v>#DIV/0!</v>
      </c>
      <c r="G17" s="3076"/>
      <c r="H17" s="3076"/>
      <c r="I17" s="3079"/>
    </row>
    <row r="18" spans="1:9" ht="16.5">
      <c r="A18" s="3078" t="s">
        <v>2872</v>
      </c>
      <c r="B18" s="3079"/>
      <c r="C18" s="3079"/>
      <c r="D18" s="3079"/>
      <c r="E18" s="3075" t="e">
        <f t="shared" si="2"/>
        <v>#DIV/0!</v>
      </c>
      <c r="F18" s="3075" t="e">
        <f t="shared" si="3"/>
        <v>#DIV/0!</v>
      </c>
      <c r="G18" s="3079"/>
      <c r="H18" s="3079"/>
      <c r="I18" s="3079"/>
    </row>
    <row r="19" spans="1:9" ht="16.5">
      <c r="A19" s="3078" t="s">
        <v>2873</v>
      </c>
      <c r="B19" s="3079"/>
      <c r="C19" s="3079"/>
      <c r="D19" s="3079"/>
      <c r="E19" s="3075" t="e">
        <f t="shared" si="2"/>
        <v>#DIV/0!</v>
      </c>
      <c r="F19" s="3075" t="e">
        <f t="shared" si="3"/>
        <v>#DIV/0!</v>
      </c>
      <c r="G19" s="3079"/>
      <c r="H19" s="3079"/>
      <c r="I19" s="3079"/>
    </row>
    <row r="20" spans="1:9" ht="16.5">
      <c r="A20" s="3078" t="s">
        <v>2874</v>
      </c>
      <c r="B20" s="3079"/>
      <c r="C20" s="3079"/>
      <c r="D20" s="3079"/>
      <c r="E20" s="3075" t="e">
        <f t="shared" si="2"/>
        <v>#DIV/0!</v>
      </c>
      <c r="F20" s="3075" t="e">
        <f t="shared" si="3"/>
        <v>#DIV/0!</v>
      </c>
      <c r="G20" s="3079"/>
      <c r="H20" s="3079"/>
      <c r="I20" s="3079"/>
    </row>
    <row r="21" spans="1:9" ht="16.5">
      <c r="A21" s="3078" t="s">
        <v>2875</v>
      </c>
      <c r="B21" s="3079"/>
      <c r="C21" s="3079"/>
      <c r="D21" s="3079"/>
      <c r="E21" s="3075" t="e">
        <f t="shared" si="2"/>
        <v>#DIV/0!</v>
      </c>
      <c r="F21" s="3075" t="e">
        <f t="shared" si="3"/>
        <v>#DIV/0!</v>
      </c>
      <c r="G21" s="3079"/>
      <c r="H21" s="3079"/>
      <c r="I21" s="3079"/>
    </row>
    <row r="22" spans="1:9" ht="16.5">
      <c r="A22" s="3078" t="s">
        <v>2876</v>
      </c>
      <c r="B22" s="3079"/>
      <c r="C22" s="3079"/>
      <c r="D22" s="3079"/>
      <c r="E22" s="3075" t="e">
        <f t="shared" si="2"/>
        <v>#DIV/0!</v>
      </c>
      <c r="F22" s="3075" t="e">
        <f t="shared" si="3"/>
        <v>#DIV/0!</v>
      </c>
      <c r="G22" s="3079"/>
      <c r="H22" s="3079"/>
      <c r="I22" s="3079"/>
    </row>
    <row r="23" spans="1:9" ht="16.5">
      <c r="A23" s="3078" t="s">
        <v>2877</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30" sqref="H3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7" t="s">
        <v>2059</v>
      </c>
      <c r="B1" s="1778"/>
      <c r="C1" s="1806" t="s">
        <v>2060</v>
      </c>
      <c r="D1" s="1807"/>
      <c r="E1" s="1806" t="s">
        <v>2061</v>
      </c>
      <c r="F1" s="1808"/>
      <c r="G1" s="313"/>
      <c r="H1" s="313"/>
      <c r="I1" s="313"/>
      <c r="J1" s="2030"/>
      <c r="K1" s="2030"/>
      <c r="L1" s="2030"/>
      <c r="M1" s="2030"/>
      <c r="N1" s="2030"/>
      <c r="O1" s="2030"/>
      <c r="P1" s="2030"/>
      <c r="Q1" s="2030"/>
      <c r="R1" s="2030"/>
      <c r="S1" s="2030"/>
      <c r="T1" s="2030"/>
      <c r="U1" s="2030"/>
      <c r="V1" s="2030"/>
    </row>
    <row r="2" spans="1:22" ht="21.75" customHeight="1" thickBot="1">
      <c r="A2" s="3315" t="str">
        <f>项目基本情况!K2</f>
        <v>出让国有建设用地使用权</v>
      </c>
      <c r="B2" s="3316"/>
      <c r="C2" s="3317"/>
      <c r="D2" s="3317"/>
      <c r="E2" s="3317"/>
      <c r="F2" s="3317"/>
      <c r="G2" s="3316"/>
      <c r="H2" s="3316"/>
      <c r="I2" s="3318"/>
      <c r="J2" s="2031"/>
      <c r="K2" s="2030"/>
      <c r="L2" s="2030"/>
      <c r="M2" s="2030"/>
      <c r="N2" s="2030"/>
      <c r="O2" s="2030"/>
      <c r="P2" s="2030"/>
      <c r="Q2" s="2030"/>
      <c r="R2" s="2030"/>
      <c r="S2" s="2030"/>
      <c r="T2" s="2030"/>
      <c r="U2" s="2030"/>
      <c r="V2" s="2030"/>
    </row>
    <row r="3" spans="1:22" ht="14.25">
      <c r="A3" s="3308" t="s">
        <v>298</v>
      </c>
      <c r="B3" s="3309"/>
      <c r="C3" s="3309"/>
      <c r="D3" s="3309"/>
      <c r="E3" s="3309"/>
      <c r="F3" s="3309"/>
      <c r="G3" s="3309"/>
      <c r="H3" s="3309"/>
      <c r="I3" s="3309"/>
      <c r="J3" s="2031"/>
      <c r="K3" s="2030"/>
      <c r="L3" s="2030"/>
      <c r="M3" s="2030"/>
      <c r="N3" s="2030"/>
      <c r="O3" s="2030"/>
      <c r="P3" s="2030"/>
      <c r="Q3" s="2030"/>
      <c r="R3" s="2030"/>
      <c r="S3" s="2030"/>
      <c r="T3" s="2030"/>
      <c r="U3" s="2030"/>
      <c r="V3" s="2030"/>
    </row>
    <row r="4" spans="1:22" ht="14.25">
      <c r="A4" s="257" t="s">
        <v>299</v>
      </c>
      <c r="B4" s="258" t="s">
        <v>300</v>
      </c>
      <c r="C4" s="259" t="s">
        <v>3048</v>
      </c>
      <c r="D4" s="259" t="s">
        <v>3049</v>
      </c>
      <c r="E4" s="3280" t="s">
        <v>301</v>
      </c>
      <c r="F4" s="3281"/>
      <c r="G4" s="3281"/>
      <c r="H4" s="3281"/>
      <c r="I4" s="3310"/>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9" t="s">
        <v>302</v>
      </c>
      <c r="B5" s="3305">
        <v>25</v>
      </c>
      <c r="C5" s="3303"/>
      <c r="D5" s="3307"/>
      <c r="E5" s="260" t="s">
        <v>303</v>
      </c>
      <c r="F5" s="261"/>
      <c r="G5" s="261"/>
      <c r="H5" s="261"/>
      <c r="I5" s="262"/>
      <c r="J5" s="2031"/>
      <c r="K5" s="2030"/>
      <c r="L5" s="2030"/>
      <c r="M5" s="2030"/>
      <c r="N5" s="2030"/>
      <c r="O5" s="2030"/>
      <c r="P5" s="2030"/>
      <c r="Q5" s="2030"/>
      <c r="R5" s="2030"/>
      <c r="S5" s="2030"/>
      <c r="T5" s="2030"/>
      <c r="U5" s="2030"/>
      <c r="V5" s="2030"/>
    </row>
    <row r="6" spans="1:22" ht="14.25">
      <c r="A6" s="3279"/>
      <c r="B6" s="3305"/>
      <c r="C6" s="3306"/>
      <c r="D6" s="3307"/>
      <c r="E6" s="260" t="s">
        <v>304</v>
      </c>
      <c r="F6" s="261"/>
      <c r="G6" s="261"/>
      <c r="H6" s="261"/>
      <c r="I6" s="262"/>
      <c r="J6" s="2031"/>
      <c r="K6" s="2030"/>
      <c r="L6" s="2030"/>
      <c r="M6" s="2030"/>
      <c r="N6" s="2030"/>
      <c r="O6" s="2030"/>
      <c r="P6" s="2030"/>
      <c r="Q6" s="2030"/>
      <c r="R6" s="2030"/>
      <c r="S6" s="2030"/>
      <c r="T6" s="2030"/>
      <c r="U6" s="2030"/>
      <c r="V6" s="2030"/>
    </row>
    <row r="7" spans="1:22" ht="14.25">
      <c r="A7" s="3279"/>
      <c r="B7" s="3305"/>
      <c r="C7" s="3304"/>
      <c r="D7" s="3307"/>
      <c r="E7" s="260" t="s">
        <v>305</v>
      </c>
      <c r="F7" s="261"/>
      <c r="G7" s="261"/>
      <c r="H7" s="261"/>
      <c r="I7" s="262"/>
      <c r="J7" s="2031"/>
      <c r="K7" s="2030"/>
      <c r="L7" s="2030"/>
      <c r="M7" s="2030"/>
      <c r="N7" s="2030"/>
      <c r="O7" s="2030"/>
      <c r="P7" s="2030"/>
      <c r="Q7" s="2030"/>
      <c r="R7" s="2030"/>
      <c r="S7" s="2030"/>
      <c r="T7" s="2030"/>
      <c r="U7" s="2030"/>
      <c r="V7" s="2030"/>
    </row>
    <row r="8" spans="1:22" ht="14.25">
      <c r="A8" s="3279" t="s">
        <v>306</v>
      </c>
      <c r="B8" s="3305">
        <v>15</v>
      </c>
      <c r="C8" s="3303"/>
      <c r="D8" s="3307"/>
      <c r="E8" s="260" t="s">
        <v>307</v>
      </c>
      <c r="F8" s="261"/>
      <c r="G8" s="261"/>
      <c r="H8" s="261"/>
      <c r="I8" s="262"/>
      <c r="J8" s="2031"/>
      <c r="K8" s="2030"/>
      <c r="L8" s="2030"/>
      <c r="M8" s="2030"/>
      <c r="N8" s="2030"/>
      <c r="O8" s="2030"/>
      <c r="P8" s="2030"/>
      <c r="Q8" s="2030"/>
      <c r="R8" s="2030"/>
      <c r="S8" s="2030"/>
      <c r="T8" s="2030"/>
      <c r="U8" s="2030"/>
      <c r="V8" s="2030"/>
    </row>
    <row r="9" spans="1:22" ht="14.25">
      <c r="A9" s="3279"/>
      <c r="B9" s="3305"/>
      <c r="C9" s="3304"/>
      <c r="D9" s="3307"/>
      <c r="E9" s="260" t="s">
        <v>308</v>
      </c>
      <c r="F9" s="261"/>
      <c r="G9" s="261"/>
      <c r="H9" s="261"/>
      <c r="I9" s="262"/>
      <c r="J9" s="2031"/>
      <c r="K9" s="2030"/>
      <c r="L9" s="2030"/>
      <c r="M9" s="2030"/>
      <c r="N9" s="2030"/>
      <c r="O9" s="2030"/>
      <c r="P9" s="2030"/>
      <c r="Q9" s="2030"/>
      <c r="R9" s="2030"/>
      <c r="S9" s="2030"/>
      <c r="T9" s="2030"/>
      <c r="U9" s="2030"/>
      <c r="V9" s="2030"/>
    </row>
    <row r="10" spans="1:22" ht="14.25">
      <c r="A10" s="3279" t="s">
        <v>309</v>
      </c>
      <c r="B10" s="3305">
        <v>15</v>
      </c>
      <c r="C10" s="3303"/>
      <c r="D10" s="3307"/>
      <c r="E10" s="260" t="s">
        <v>310</v>
      </c>
      <c r="F10" s="261"/>
      <c r="G10" s="261"/>
      <c r="H10" s="261"/>
      <c r="I10" s="262"/>
      <c r="J10" s="2031"/>
      <c r="K10" s="2030"/>
      <c r="L10" s="2030"/>
      <c r="M10" s="2030"/>
      <c r="N10" s="2030"/>
      <c r="O10" s="2030"/>
      <c r="P10" s="2030"/>
      <c r="Q10" s="2030"/>
      <c r="R10" s="2030"/>
      <c r="S10" s="2030"/>
      <c r="T10" s="2030"/>
      <c r="U10" s="2030"/>
      <c r="V10" s="2030"/>
    </row>
    <row r="11" spans="1:22" ht="14.25">
      <c r="A11" s="3279"/>
      <c r="B11" s="3305"/>
      <c r="C11" s="3304"/>
      <c r="D11" s="3307"/>
      <c r="E11" s="260" t="s">
        <v>311</v>
      </c>
      <c r="F11" s="261"/>
      <c r="G11" s="261"/>
      <c r="H11" s="261"/>
      <c r="I11" s="262"/>
      <c r="J11" s="2031"/>
      <c r="K11" s="2030"/>
      <c r="L11" s="2030"/>
      <c r="M11" s="2030"/>
      <c r="N11" s="2030"/>
      <c r="O11" s="2030"/>
      <c r="P11" s="2030"/>
      <c r="Q11" s="2030"/>
      <c r="R11" s="2030"/>
      <c r="S11" s="2030"/>
      <c r="T11" s="2030"/>
      <c r="U11" s="2030"/>
      <c r="V11" s="2030"/>
    </row>
    <row r="12" spans="1:22" ht="14.25">
      <c r="A12" s="3279" t="s">
        <v>312</v>
      </c>
      <c r="B12" s="3305">
        <v>15</v>
      </c>
      <c r="C12" s="3303"/>
      <c r="D12" s="3307"/>
      <c r="E12" s="260" t="s">
        <v>313</v>
      </c>
      <c r="F12" s="261"/>
      <c r="G12" s="261"/>
      <c r="H12" s="261"/>
      <c r="I12" s="262"/>
      <c r="J12" s="2031"/>
      <c r="K12" s="2030"/>
      <c r="L12" s="2030"/>
      <c r="M12" s="2030"/>
      <c r="N12" s="2030"/>
      <c r="O12" s="2030"/>
      <c r="P12" s="2030"/>
      <c r="Q12" s="2030"/>
      <c r="R12" s="2030"/>
      <c r="S12" s="2030"/>
      <c r="T12" s="2030"/>
      <c r="U12" s="2030"/>
      <c r="V12" s="2030"/>
    </row>
    <row r="13" spans="1:22" ht="14.25">
      <c r="A13" s="3279"/>
      <c r="B13" s="3305"/>
      <c r="C13" s="3304"/>
      <c r="D13" s="3307"/>
      <c r="E13" s="260" t="s">
        <v>314</v>
      </c>
      <c r="F13" s="261"/>
      <c r="G13" s="261"/>
      <c r="H13" s="261"/>
      <c r="I13" s="262"/>
      <c r="J13" s="2031"/>
      <c r="K13" s="2030"/>
      <c r="L13" s="2030"/>
      <c r="M13" s="2030"/>
      <c r="N13" s="2030"/>
      <c r="O13" s="2030"/>
      <c r="P13" s="2030"/>
      <c r="Q13" s="2030"/>
      <c r="R13" s="2030"/>
      <c r="S13" s="2030"/>
      <c r="T13" s="2030"/>
      <c r="U13" s="2030"/>
      <c r="V13" s="2030"/>
    </row>
    <row r="14" spans="1:22" ht="14.25">
      <c r="A14" s="3279" t="s">
        <v>315</v>
      </c>
      <c r="B14" s="3305">
        <v>30</v>
      </c>
      <c r="C14" s="3303">
        <v>5</v>
      </c>
      <c r="D14" s="3307">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279"/>
      <c r="B15" s="3305"/>
      <c r="C15" s="3306"/>
      <c r="D15" s="3307"/>
      <c r="E15" s="260" t="s">
        <v>317</v>
      </c>
      <c r="F15" s="261"/>
      <c r="G15" s="261"/>
      <c r="H15" s="261"/>
      <c r="I15" s="262"/>
      <c r="J15" s="2031"/>
      <c r="K15" s="2030"/>
      <c r="L15" s="2030"/>
      <c r="M15" s="2030"/>
      <c r="N15" s="2030"/>
      <c r="O15" s="2030"/>
      <c r="P15" s="2030"/>
      <c r="Q15" s="2030"/>
      <c r="R15" s="2030"/>
      <c r="S15" s="2030"/>
      <c r="T15" s="2030"/>
      <c r="U15" s="2030"/>
      <c r="V15" s="2030"/>
    </row>
    <row r="16" spans="1:22" ht="14.25">
      <c r="A16" s="3279"/>
      <c r="B16" s="3305"/>
      <c r="C16" s="3304"/>
      <c r="D16" s="3307"/>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29079</v>
      </c>
      <c r="D19" s="270">
        <f ca="1">SUMIF(INDIRECT("'"&amp;D4&amp;"'"&amp;"!A:A"),结果表!B19,INDIRECT("'"&amp;D4&amp;"'"&amp;"!B:B"))</f>
        <v>27093</v>
      </c>
      <c r="E19" s="267" t="s">
        <v>323</v>
      </c>
      <c r="F19" s="268" t="s">
        <v>322</v>
      </c>
      <c r="G19" s="271">
        <f ca="1">ROUND(C19*$C$18+D19*$D$18,0)</f>
        <v>28086</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4231</v>
      </c>
      <c r="D20" s="276">
        <f ca="1">SUMIF(INDIRECT("'"&amp;D4&amp;"'"&amp;"!A:A"),结果表!B20,INDIRECT("'"&amp;D4&amp;"'"&amp;"!B:B"))</f>
        <v>3942</v>
      </c>
      <c r="E20" s="273"/>
      <c r="F20" s="274" t="s">
        <v>325</v>
      </c>
      <c r="G20" s="277">
        <f ca="1">ROUND(C20*$C$18+D20*$D$18,0)</f>
        <v>4087</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11452</v>
      </c>
      <c r="D21" s="150">
        <f ca="1">SUMIF(INDIRECT("'"&amp;D4&amp;"'"&amp;"!A:A"),结果表!B21,INDIRECT("'"&amp;D4&amp;"'"&amp;"!B:B"))</f>
        <v>10670</v>
      </c>
      <c r="E21" s="273"/>
      <c r="F21" s="279" t="s">
        <v>327</v>
      </c>
      <c r="G21" s="281">
        <f ca="1">ROUND(C21*$C$18+D21*$D$18,0)</f>
        <v>11061</v>
      </c>
      <c r="H21" s="1252" t="s">
        <v>326</v>
      </c>
      <c r="I21" s="313"/>
      <c r="J21" s="2030"/>
      <c r="K21" s="2030"/>
      <c r="L21" s="2030"/>
      <c r="M21" s="2030"/>
      <c r="N21" s="2030"/>
      <c r="O21" s="2030"/>
      <c r="P21" s="2030"/>
      <c r="Q21" s="2030"/>
      <c r="R21" s="2030"/>
      <c r="S21" s="2030"/>
      <c r="T21" s="2030"/>
      <c r="U21" s="2030"/>
      <c r="V21" s="2030"/>
    </row>
    <row r="22" spans="1:26" ht="15.75" thickBot="1">
      <c r="A22" s="125" t="s">
        <v>328</v>
      </c>
      <c r="B22" s="1253"/>
      <c r="C22" s="1254"/>
      <c r="D22" s="282">
        <f ca="1">IF(C19&lt;D19,D19/C19-1,C19/D19-1)</f>
        <v>7.3303067212933337E-2</v>
      </c>
      <c r="E22" s="283"/>
      <c r="F22" s="284"/>
      <c r="G22" s="285">
        <f ca="1">ROUND(G19/('数据-汇总表'!D3/666.67),0)</f>
        <v>737</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285"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286"/>
      <c r="B25" s="1322" t="s">
        <v>331</v>
      </c>
      <c r="C25" s="289">
        <f>IF(B30=0,0,C30)</f>
        <v>0</v>
      </c>
      <c r="D25" s="290"/>
      <c r="E25" s="313"/>
      <c r="F25" s="313"/>
      <c r="G25" s="313"/>
      <c r="H25" s="313"/>
      <c r="I25" s="313"/>
      <c r="J25" s="2030"/>
      <c r="K25" s="1256" t="str">
        <f ca="1">项目基本情况!B16&amp;"国有建设用地使用权价格："&amp;O38&amp;"万元"</f>
        <v>出让国有建设用地使用权价格：28086万元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大写金额：人民币贰亿捌仟零捌拾陆万元整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单位面积地价：11061元/平方米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楼面地价：4087元/平方米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抵押价格：28086万元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大写金额：人民币贰亿捌仟零捌拾陆万元整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2" t="s">
        <v>1690</v>
      </c>
      <c r="C32" s="1383">
        <f ca="1">G19-C24</f>
        <v>28086</v>
      </c>
      <c r="D32" s="1384"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5" t="s">
        <v>1692</v>
      </c>
      <c r="C33" s="263">
        <f ca="1">ROUND(C32*10000/'数据-汇总表'!E3,0)</f>
        <v>4087</v>
      </c>
      <c r="D33" s="1386" t="s">
        <v>1693</v>
      </c>
      <c r="E33" s="3285" t="s">
        <v>338</v>
      </c>
      <c r="F33" s="298" t="s">
        <v>339</v>
      </c>
      <c r="G33" s="299"/>
      <c r="H33" s="981"/>
      <c r="I33" s="1260"/>
      <c r="J33" s="2030"/>
      <c r="K33" s="1259" t="str">
        <f ca="1">IF(项目基本情况!E9="——","——","抵押净值："&amp;C46&amp;"万元")</f>
        <v>抵押净值：18135万元</v>
      </c>
      <c r="L33" s="1253"/>
      <c r="M33" s="1253"/>
      <c r="N33" s="1253"/>
      <c r="O33" s="1252"/>
      <c r="P33" s="2030"/>
      <c r="V33" s="2030"/>
    </row>
    <row r="34" spans="1:26" s="1255" customFormat="1" ht="18.75" thickBot="1">
      <c r="A34" s="302"/>
      <c r="B34" s="1387" t="s">
        <v>1694</v>
      </c>
      <c r="C34" s="263">
        <f ca="1">ROUND(C32*10000/'数据-汇总表'!D3,0)</f>
        <v>11061</v>
      </c>
      <c r="D34" s="1388" t="s">
        <v>1693</v>
      </c>
      <c r="E34" s="3326"/>
      <c r="F34" s="126" t="s">
        <v>341</v>
      </c>
      <c r="G34" s="301"/>
      <c r="H34" s="105"/>
      <c r="I34" s="313"/>
      <c r="J34" s="2030"/>
      <c r="K34" s="1262" t="str">
        <f ca="1">IF(K33="——","——","大写金额：人民币"&amp;NUMBERSTRING(INT(O41*10000),2)&amp;"元整")</f>
        <v>大写金额：人民币壹亿捌仟壹佰叁拾伍万元整</v>
      </c>
      <c r="L34" s="1263"/>
      <c r="M34" s="1263"/>
      <c r="N34" s="1263"/>
      <c r="O34" s="1264"/>
      <c r="P34" s="2030"/>
      <c r="Q34" s="291"/>
      <c r="R34" s="291"/>
      <c r="S34" s="291"/>
      <c r="T34" s="291"/>
      <c r="U34" s="291"/>
      <c r="V34" s="2030"/>
      <c r="W34" s="291"/>
      <c r="X34" s="291"/>
      <c r="Y34" s="291"/>
      <c r="Z34" s="291"/>
    </row>
    <row r="35" spans="1:26" ht="15.75" thickBot="1">
      <c r="A35" s="283"/>
      <c r="B35" s="1389"/>
      <c r="C35" s="1390">
        <f ca="1">ROUND(C32/('数据-汇总表'!D3/666.67),0)</f>
        <v>737</v>
      </c>
      <c r="D35" s="1391" t="s">
        <v>1695</v>
      </c>
      <c r="E35" s="3327"/>
      <c r="F35" s="303" t="s">
        <v>342</v>
      </c>
      <c r="G35" s="983"/>
      <c r="H35" s="982" t="s">
        <v>343</v>
      </c>
      <c r="I35" s="313"/>
      <c r="J35" s="2030"/>
      <c r="K35" s="3300" t="s">
        <v>350</v>
      </c>
      <c r="L35" s="3300" t="s">
        <v>351</v>
      </c>
      <c r="M35" s="1265" t="s">
        <v>352</v>
      </c>
      <c r="N35" s="3300" t="s">
        <v>353</v>
      </c>
      <c r="O35" s="3300" t="s">
        <v>354</v>
      </c>
      <c r="P35" s="2030"/>
      <c r="V35" s="2030"/>
    </row>
    <row r="36" spans="1:26" ht="16.5" customHeight="1">
      <c r="A36" s="305" t="s">
        <v>344</v>
      </c>
      <c r="B36" s="306" t="s">
        <v>333</v>
      </c>
      <c r="C36" s="307" t="s">
        <v>345</v>
      </c>
      <c r="D36" s="307" t="s">
        <v>346</v>
      </c>
      <c r="E36" s="308" t="s">
        <v>347</v>
      </c>
      <c r="F36" s="313"/>
      <c r="G36" s="313"/>
      <c r="H36" s="313"/>
      <c r="I36" s="313"/>
      <c r="J36" s="2032"/>
      <c r="K36" s="3301"/>
      <c r="L36" s="3301"/>
      <c r="M36" s="1267" t="s">
        <v>355</v>
      </c>
      <c r="N36" s="3301"/>
      <c r="O36" s="3301"/>
      <c r="P36" s="2030"/>
      <c r="V36" s="2030"/>
    </row>
    <row r="37" spans="1:26" ht="16.5" customHeight="1" thickBot="1">
      <c r="A37" s="1261" t="s">
        <v>348</v>
      </c>
      <c r="B37" s="309"/>
      <c r="C37" s="293"/>
      <c r="D37" s="293"/>
      <c r="E37" s="294"/>
      <c r="F37" s="313"/>
      <c r="G37" s="313"/>
      <c r="H37" s="313"/>
      <c r="I37" s="313"/>
      <c r="J37" s="2032"/>
      <c r="K37" s="3302"/>
      <c r="L37" s="3302"/>
      <c r="M37" s="1268"/>
      <c r="N37" s="3302"/>
      <c r="O37" s="3302"/>
      <c r="P37" s="2030"/>
      <c r="V37" s="2030"/>
    </row>
    <row r="38" spans="1:26" ht="16.5" customHeight="1" thickBot="1">
      <c r="A38" s="1261" t="s">
        <v>349</v>
      </c>
      <c r="B38" s="309"/>
      <c r="C38" s="293"/>
      <c r="D38" s="293"/>
      <c r="E38" s="294"/>
      <c r="F38" s="313"/>
      <c r="G38" s="313"/>
      <c r="H38" s="313"/>
      <c r="I38" s="313"/>
      <c r="J38" s="2032"/>
      <c r="K38" s="1269">
        <f>'数据-汇总表'!D3</f>
        <v>25391.93</v>
      </c>
      <c r="L38" s="1270">
        <f>'数据-汇总表'!E3</f>
        <v>68728.649999999994</v>
      </c>
      <c r="M38" s="1270">
        <f ca="1">C34</f>
        <v>11061</v>
      </c>
      <c r="N38" s="1270">
        <f ca="1">C33</f>
        <v>4087</v>
      </c>
      <c r="O38" s="1271">
        <f ca="1">C32</f>
        <v>28086</v>
      </c>
      <c r="P38" s="2030"/>
      <c r="V38" s="2030"/>
    </row>
    <row r="39" spans="1:26" ht="16.5" customHeight="1" thickBot="1">
      <c r="A39" s="1266"/>
      <c r="B39" s="310"/>
      <c r="C39" s="311"/>
      <c r="D39" s="311"/>
      <c r="E39" s="312"/>
      <c r="F39" s="313"/>
      <c r="G39" s="313"/>
      <c r="H39" s="313"/>
      <c r="I39" s="313"/>
      <c r="J39" s="2032"/>
      <c r="K39" s="3345" t="str">
        <f>MID(A44,3,LEN(A44)-2)</f>
        <v>抵押价格</v>
      </c>
      <c r="L39" s="3346"/>
      <c r="M39" s="3346"/>
      <c r="N39" s="3347"/>
      <c r="O39" s="1393">
        <f ca="1">C44</f>
        <v>28086</v>
      </c>
      <c r="P39" s="2030"/>
      <c r="V39" s="2030"/>
    </row>
    <row r="40" spans="1:26" ht="19.5" thickBot="1">
      <c r="A40" s="104" t="s">
        <v>874</v>
      </c>
      <c r="B40" s="313"/>
      <c r="C40" s="313"/>
      <c r="D40" s="313"/>
      <c r="E40" s="313"/>
      <c r="F40" s="313"/>
      <c r="G40" s="313"/>
      <c r="H40" s="313"/>
      <c r="I40" s="313"/>
      <c r="J40" s="2032"/>
      <c r="K40" s="3345" t="str">
        <f t="shared" ref="K40:K41" si="0">MID(A45,3,LEN(A45)-2)</f>
        <v/>
      </c>
      <c r="L40" s="3346"/>
      <c r="M40" s="3346"/>
      <c r="N40" s="3347"/>
      <c r="O40" s="1393" t="str">
        <f>C45</f>
        <v>——</v>
      </c>
      <c r="P40" s="2030"/>
      <c r="V40" s="2030"/>
    </row>
    <row r="41" spans="1:26" ht="16.5" thickBot="1">
      <c r="A41" s="314" t="s">
        <v>356</v>
      </c>
      <c r="B41" s="315"/>
      <c r="C41" s="316" t="s">
        <v>357</v>
      </c>
      <c r="D41" s="317" t="s">
        <v>358</v>
      </c>
      <c r="E41" s="317" t="s">
        <v>359</v>
      </c>
      <c r="F41" s="318" t="s">
        <v>360</v>
      </c>
      <c r="G41" s="313"/>
      <c r="H41" s="313"/>
      <c r="I41" s="313"/>
      <c r="J41" s="2032"/>
      <c r="K41" s="3345" t="str">
        <f t="shared" si="0"/>
        <v>抵押净值</v>
      </c>
      <c r="L41" s="3346"/>
      <c r="M41" s="3346"/>
      <c r="N41" s="3347"/>
      <c r="O41" s="1393">
        <f ca="1">C46</f>
        <v>18135</v>
      </c>
      <c r="P41" s="2030"/>
      <c r="V41" s="2030"/>
    </row>
    <row r="42" spans="1:26" ht="29.25">
      <c r="A42" s="3287" t="s">
        <v>2071</v>
      </c>
      <c r="B42" s="3288"/>
      <c r="C42" s="263">
        <f ca="1">C32</f>
        <v>28086</v>
      </c>
      <c r="D42" s="319">
        <f ca="1">C33</f>
        <v>4087</v>
      </c>
      <c r="E42" s="319">
        <f ca="1">C34</f>
        <v>11061</v>
      </c>
      <c r="F42" s="320">
        <f ca="1">C35</f>
        <v>737</v>
      </c>
      <c r="G42" s="313"/>
      <c r="H42" s="313"/>
      <c r="I42" s="321"/>
      <c r="J42" s="2032"/>
      <c r="K42" s="1272" t="s">
        <v>361</v>
      </c>
      <c r="L42" s="2049" t="s">
        <v>362</v>
      </c>
      <c r="M42" s="1273" t="s">
        <v>363</v>
      </c>
      <c r="N42" s="2050" t="s">
        <v>364</v>
      </c>
      <c r="O42" s="2051" t="s">
        <v>365</v>
      </c>
      <c r="P42" s="2030"/>
      <c r="V42" s="2030"/>
    </row>
    <row r="43" spans="1:26" ht="30">
      <c r="A43" s="3298" t="s">
        <v>2739</v>
      </c>
      <c r="B43" s="3299"/>
      <c r="C43" s="263">
        <f>IF(H33="正常操作",G33+G34+G35,G34+G35)</f>
        <v>0</v>
      </c>
      <c r="D43" s="319" t="s">
        <v>43</v>
      </c>
      <c r="E43" s="319" t="s">
        <v>44</v>
      </c>
      <c r="F43" s="320" t="s">
        <v>44</v>
      </c>
      <c r="G43" s="2894" t="s">
        <v>953</v>
      </c>
      <c r="H43" s="313"/>
      <c r="I43" s="321"/>
      <c r="J43" s="2032"/>
      <c r="K43" s="1274" t="str">
        <f>C4</f>
        <v>比较法-住宅、综合</v>
      </c>
      <c r="L43" s="1275">
        <f ca="1">IF(L42="估价结果/万元",C19,C20)</f>
        <v>29079</v>
      </c>
      <c r="M43" s="1276">
        <f>C18</f>
        <v>0.5</v>
      </c>
      <c r="N43" s="1277">
        <f ca="1">IF(N42="测算结果/万元",G19,G20)</f>
        <v>28086</v>
      </c>
      <c r="O43" s="1278">
        <f ca="1">IF(O42="最终结果/万元",C32,C33)</f>
        <v>28086</v>
      </c>
      <c r="P43" s="2030"/>
      <c r="V43" s="2030"/>
    </row>
    <row r="44" spans="1:26" ht="30.75" thickBot="1">
      <c r="A44" s="3287" t="str">
        <f>IF(OR(项目基本情况!E8="抵押价格",项目基本情况!E8="已注销及未注销"),"3.抵押价格","——")</f>
        <v>3.抵押价格</v>
      </c>
      <c r="B44" s="3288"/>
      <c r="C44" s="263">
        <f ca="1">IF(A44="——","——",C42-C43)</f>
        <v>28086</v>
      </c>
      <c r="D44" s="319">
        <f ca="1">ROUND(C44*10000/'数据-汇总表'!E3,0)</f>
        <v>4087</v>
      </c>
      <c r="E44" s="319">
        <f ca="1">ROUND(C44*10000/'数据-汇总表'!D3,0)</f>
        <v>11061</v>
      </c>
      <c r="F44" s="320">
        <f ca="1">ROUND(C44/('数据-汇总表'!D3/666.67),0)</f>
        <v>737</v>
      </c>
      <c r="G44" s="313"/>
      <c r="H44" s="313"/>
      <c r="I44" s="321"/>
      <c r="J44" s="2032"/>
      <c r="K44" s="1279" t="str">
        <f>D4</f>
        <v>剩余法-待开发</v>
      </c>
      <c r="L44" s="1280">
        <f ca="1">IF(L42="估价结果/万元",D19,D20)</f>
        <v>27093</v>
      </c>
      <c r="M44" s="1281">
        <f>D18</f>
        <v>0.5</v>
      </c>
      <c r="N44" s="1282"/>
      <c r="O44" s="1283"/>
      <c r="P44" s="2030"/>
      <c r="V44" s="2030"/>
    </row>
    <row r="45" spans="1:26" ht="15">
      <c r="A45" s="3293" t="str">
        <f>IF(项目基本情况!E8="已注销及未注销","4.抵押担保权已注销时的抵押价格",IF(项目基本情况!E8="已注销","3.抵押担保权已注销时的抵押价格","——"))</f>
        <v>——</v>
      </c>
      <c r="B45" s="3294"/>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289" t="str">
        <f>IF(项目基本情况!E9="抵押净值",IF(A45="——","4.抵押净值","5.抵押净值"),"——")</f>
        <v>4.抵押净值</v>
      </c>
      <c r="B46" s="3290"/>
      <c r="C46" s="322">
        <f ca="1">IF(A46="——","——",O79)</f>
        <v>18135</v>
      </c>
      <c r="D46" s="319">
        <f ca="1">ROUND(C46*10000/'数据-汇总表'!E3,0)</f>
        <v>2639</v>
      </c>
      <c r="E46" s="319">
        <f ca="1">ROUND(C46*10000/'数据-汇总表'!D3,0)</f>
        <v>7142</v>
      </c>
      <c r="F46" s="320">
        <f ca="1">ROUND(C46/('数据-汇总表'!D3/666.67),0)</f>
        <v>476</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34" t="s">
        <v>374</v>
      </c>
      <c r="B63" s="3335"/>
      <c r="C63" s="3336"/>
      <c r="D63" s="343">
        <f ca="1">ROUND(C42*F63,0)</f>
        <v>16852</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295" t="s">
        <v>378</v>
      </c>
      <c r="B64" s="3296"/>
      <c r="C64" s="3296"/>
      <c r="D64" s="3296"/>
      <c r="E64" s="3296"/>
      <c r="F64" s="3296"/>
      <c r="G64" s="3297"/>
      <c r="H64" s="1289"/>
      <c r="I64" s="949"/>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291" t="s">
        <v>386</v>
      </c>
      <c r="B66" s="3292"/>
      <c r="C66" s="3292"/>
      <c r="D66" s="260">
        <f ca="1">IF(H66="情况1",0,IF(H66="情况2",D70,IF(H66="情况3",D71,IF(H66="情况4",D72))))</f>
        <v>899</v>
      </c>
      <c r="E66" s="994" t="str">
        <f>IF(H66="情况4","(销售额-原购置价)×税（费）率","销售额×税（费）率")</f>
        <v>销售额×税（费）率</v>
      </c>
      <c r="F66" s="352">
        <f>IF(H66="情况1","免征",'数据-取费表'!B41)</f>
        <v>5.6000000000000001E-2</v>
      </c>
      <c r="G66" s="353" t="s">
        <v>387</v>
      </c>
      <c r="H66" s="190" t="s">
        <v>388</v>
      </c>
      <c r="I66" s="1289"/>
      <c r="J66" s="2036"/>
      <c r="K66" s="1292">
        <v>1</v>
      </c>
      <c r="L66" s="3349" t="s">
        <v>385</v>
      </c>
      <c r="M66" s="3350"/>
      <c r="N66" s="2484"/>
      <c r="O66" s="2485"/>
      <c r="P66" s="2486"/>
      <c r="Q66" s="2030"/>
      <c r="R66" s="2030"/>
      <c r="S66" s="2030"/>
      <c r="T66" s="2030"/>
      <c r="U66" s="2030"/>
      <c r="V66" s="2030"/>
    </row>
    <row r="67" spans="1:22" ht="25.5" customHeight="1">
      <c r="A67" s="354" t="s">
        <v>390</v>
      </c>
      <c r="B67" s="3282" t="s">
        <v>391</v>
      </c>
      <c r="C67" s="3282"/>
      <c r="D67" s="355">
        <v>0</v>
      </c>
      <c r="E67" s="41" t="s">
        <v>392</v>
      </c>
      <c r="F67" s="62" t="s">
        <v>21</v>
      </c>
      <c r="G67" s="3337"/>
      <c r="H67" s="313"/>
      <c r="I67" s="1293"/>
      <c r="J67" s="2037"/>
      <c r="K67" s="1978">
        <v>2</v>
      </c>
      <c r="L67" s="3348" t="s">
        <v>389</v>
      </c>
      <c r="M67" s="3348"/>
      <c r="N67" s="1326">
        <f>'数据-取费表'!B2</f>
        <v>43123</v>
      </c>
      <c r="O67" s="1326"/>
      <c r="P67" s="1326"/>
      <c r="Q67" s="2030"/>
      <c r="R67" s="2030"/>
      <c r="S67" s="2030"/>
      <c r="T67" s="2030"/>
      <c r="U67" s="2030"/>
      <c r="V67" s="2030"/>
    </row>
    <row r="68" spans="1:22" ht="25.5" customHeight="1">
      <c r="A68" s="356"/>
      <c r="B68" s="3282" t="s">
        <v>394</v>
      </c>
      <c r="C68" s="3282"/>
      <c r="D68" s="357"/>
      <c r="E68" s="77"/>
      <c r="F68" s="358"/>
      <c r="G68" s="3338"/>
      <c r="H68" s="313"/>
      <c r="I68" s="1293"/>
      <c r="J68" s="2037"/>
      <c r="K68" s="1978">
        <v>3</v>
      </c>
      <c r="L68" s="3348" t="s">
        <v>393</v>
      </c>
      <c r="M68" s="3348"/>
      <c r="N68" s="1294">
        <f ca="1">C42</f>
        <v>28086</v>
      </c>
      <c r="O68" s="1294"/>
      <c r="P68" s="1294"/>
      <c r="Q68" s="2030"/>
      <c r="R68" s="2030"/>
      <c r="S68" s="2030"/>
      <c r="T68" s="2030"/>
      <c r="U68" s="2030"/>
      <c r="V68" s="2030"/>
    </row>
    <row r="69" spans="1:22" ht="12" customHeight="1">
      <c r="A69" s="359"/>
      <c r="B69" s="3282" t="s">
        <v>395</v>
      </c>
      <c r="C69" s="3282"/>
      <c r="D69" s="360"/>
      <c r="E69" s="73"/>
      <c r="F69" s="358"/>
      <c r="G69" s="3339"/>
      <c r="H69" s="313"/>
      <c r="I69" s="1293"/>
      <c r="J69" s="2037"/>
      <c r="K69" s="1295">
        <v>4</v>
      </c>
      <c r="L69" s="3353" t="s">
        <v>2891</v>
      </c>
      <c r="M69" s="3354"/>
      <c r="N69" s="1296">
        <f ca="1">C44</f>
        <v>28086</v>
      </c>
      <c r="O69" s="1296"/>
      <c r="P69" s="1296"/>
      <c r="Q69" s="2030"/>
      <c r="R69" s="2030"/>
      <c r="S69" s="2030"/>
      <c r="T69" s="2030"/>
      <c r="U69" s="2030"/>
      <c r="V69" s="2030"/>
    </row>
    <row r="70" spans="1:22" ht="24" customHeight="1">
      <c r="A70" s="361" t="s">
        <v>396</v>
      </c>
      <c r="B70" s="3282" t="s">
        <v>397</v>
      </c>
      <c r="C70" s="3282"/>
      <c r="D70" s="360">
        <f ca="1">ROUND(D63*'数据-取费表'!B41/(1+'数据-取费表'!C42),0)</f>
        <v>899</v>
      </c>
      <c r="E70" s="17" t="s">
        <v>398</v>
      </c>
      <c r="F70" s="362">
        <f>'数据-取费表'!B41</f>
        <v>5.6000000000000001E-2</v>
      </c>
      <c r="G70" s="363"/>
      <c r="H70" s="313"/>
      <c r="I70" s="1293"/>
      <c r="J70" s="2037"/>
      <c r="K70" s="3088"/>
      <c r="L70" s="3089"/>
      <c r="M70" s="3089"/>
      <c r="N70" s="3090" t="s">
        <v>2896</v>
      </c>
      <c r="O70" s="3089"/>
      <c r="P70" s="3091"/>
      <c r="Q70" s="2030"/>
      <c r="R70" s="2030"/>
      <c r="S70" s="2030"/>
      <c r="T70" s="2030"/>
      <c r="U70" s="2030"/>
      <c r="V70" s="2030"/>
    </row>
    <row r="71" spans="1:22" ht="12" customHeight="1">
      <c r="A71" s="361" t="s">
        <v>404</v>
      </c>
      <c r="B71" s="3283" t="s">
        <v>405</v>
      </c>
      <c r="C71" s="3284"/>
      <c r="D71" s="360">
        <f ca="1">ROUND(D63*'数据-取费表'!B41/(1+'数据-取费表'!C42),0)</f>
        <v>899</v>
      </c>
      <c r="E71" s="17" t="s">
        <v>398</v>
      </c>
      <c r="F71" s="362">
        <f>'数据-取费表'!B41</f>
        <v>5.6000000000000001E-2</v>
      </c>
      <c r="G71" s="363"/>
      <c r="H71" s="313"/>
      <c r="I71" s="1293"/>
      <c r="J71" s="2037"/>
      <c r="K71" s="3087" t="s">
        <v>399</v>
      </c>
      <c r="L71" s="3355" t="s">
        <v>400</v>
      </c>
      <c r="M71" s="3355"/>
      <c r="N71" s="3087" t="s">
        <v>401</v>
      </c>
      <c r="O71" s="3087" t="s">
        <v>402</v>
      </c>
      <c r="P71" s="3087" t="s">
        <v>403</v>
      </c>
      <c r="Q71" s="2030"/>
      <c r="R71" s="2030"/>
      <c r="S71" s="2030"/>
      <c r="T71" s="2030"/>
      <c r="U71" s="2030"/>
      <c r="V71" s="2030"/>
    </row>
    <row r="72" spans="1:22" ht="12" customHeight="1">
      <c r="A72" s="361" t="s">
        <v>407</v>
      </c>
      <c r="B72" s="3283" t="s">
        <v>408</v>
      </c>
      <c r="C72" s="3284"/>
      <c r="D72" s="360">
        <f ca="1">C86</f>
        <v>787</v>
      </c>
      <c r="E72" s="73" t="s">
        <v>409</v>
      </c>
      <c r="F72" s="362">
        <f>'数据-取费表'!B41</f>
        <v>5.6000000000000001E-2</v>
      </c>
      <c r="G72" s="363"/>
      <c r="H72" s="1299"/>
      <c r="I72" s="1293"/>
      <c r="J72" s="2037"/>
      <c r="K72" s="1978">
        <v>1</v>
      </c>
      <c r="L72" s="3330" t="s">
        <v>406</v>
      </c>
      <c r="M72" s="3330"/>
      <c r="N72" s="1297">
        <f ca="1">D66</f>
        <v>899</v>
      </c>
      <c r="O72" s="1861" t="str">
        <f>E66</f>
        <v>销售额×税（费）率</v>
      </c>
      <c r="P72" s="1298">
        <f>F66</f>
        <v>5.6000000000000001E-2</v>
      </c>
      <c r="Q72" s="2030"/>
      <c r="R72" s="2030"/>
      <c r="S72" s="2030"/>
      <c r="T72" s="2030"/>
      <c r="U72" s="2030"/>
      <c r="V72" s="2030"/>
    </row>
    <row r="73" spans="1:22" ht="24" customHeight="1">
      <c r="A73" s="3324" t="s">
        <v>411</v>
      </c>
      <c r="B73" s="3292"/>
      <c r="C73" s="3292"/>
      <c r="D73" s="364">
        <f>IF(H73="个人住宅",0,ROUND(D63*I73,0))</f>
        <v>0</v>
      </c>
      <c r="E73" s="17" t="s">
        <v>412</v>
      </c>
      <c r="F73" s="362" t="str">
        <f>IF(H73="正常",I73,"免征")</f>
        <v>免征</v>
      </c>
      <c r="G73" s="363"/>
      <c r="H73" s="190" t="s">
        <v>2461</v>
      </c>
      <c r="I73" s="362">
        <f>'数据-取费表'!B49</f>
        <v>5.0000000000000001E-4</v>
      </c>
      <c r="J73" s="2037"/>
      <c r="K73" s="1978">
        <v>2</v>
      </c>
      <c r="L73" s="3330" t="s">
        <v>410</v>
      </c>
      <c r="M73" s="3330"/>
      <c r="N73" s="1297">
        <f t="shared" ref="N73:P74" si="1">D73</f>
        <v>0</v>
      </c>
      <c r="O73" s="1861" t="str">
        <f t="shared" si="1"/>
        <v>销售额×税（费）率</v>
      </c>
      <c r="P73" s="1298" t="str">
        <f t="shared" si="1"/>
        <v>免征</v>
      </c>
      <c r="Q73" s="2030"/>
      <c r="R73" s="2030"/>
      <c r="S73" s="2030"/>
      <c r="T73" s="2030"/>
      <c r="U73" s="2030"/>
      <c r="V73" s="2030"/>
    </row>
    <row r="74" spans="1:22" ht="24.75">
      <c r="A74" s="3324" t="s">
        <v>415</v>
      </c>
      <c r="B74" s="3292"/>
      <c r="C74" s="3292"/>
      <c r="D74" s="364">
        <f ca="1">IF(H74="个人住宅",D75,D76)</f>
        <v>8883</v>
      </c>
      <c r="E74" s="17" t="s">
        <v>416</v>
      </c>
      <c r="F74" s="362" t="str">
        <f>IF(H74="正常",F76,"免征")</f>
        <v>——</v>
      </c>
      <c r="G74" s="984" t="s">
        <v>417</v>
      </c>
      <c r="H74" s="365" t="s">
        <v>413</v>
      </c>
      <c r="I74" s="42"/>
      <c r="J74" s="2037"/>
      <c r="K74" s="1978">
        <v>3</v>
      </c>
      <c r="L74" s="3330" t="s">
        <v>414</v>
      </c>
      <c r="M74" s="3330"/>
      <c r="N74" s="1297">
        <f t="shared" ca="1" si="1"/>
        <v>8883</v>
      </c>
      <c r="O74" s="1861" t="str">
        <f t="shared" si="1"/>
        <v>增值额×税（费）率</v>
      </c>
      <c r="P74" s="1300" t="str">
        <f t="shared" si="1"/>
        <v>——</v>
      </c>
      <c r="Q74" s="2030"/>
      <c r="R74" s="2030"/>
      <c r="S74" s="2030"/>
      <c r="T74" s="2030"/>
      <c r="U74" s="2030"/>
      <c r="V74" s="2030"/>
    </row>
    <row r="75" spans="1:22" ht="24">
      <c r="A75" s="361" t="s">
        <v>418</v>
      </c>
      <c r="B75" s="3280" t="s">
        <v>419</v>
      </c>
      <c r="C75" s="3310"/>
      <c r="D75" s="366">
        <v>0</v>
      </c>
      <c r="E75" s="41" t="s">
        <v>420</v>
      </c>
      <c r="F75" s="367"/>
      <c r="G75" s="363"/>
      <c r="H75" s="42"/>
      <c r="I75" s="42"/>
      <c r="J75" s="2037"/>
      <c r="K75" s="3080">
        <f>IF(H77="非个人房产","",4)</f>
        <v>4</v>
      </c>
      <c r="L75" s="3330" t="str">
        <f>IF(H77="非个人房产","——","个人所得税")</f>
        <v>个人所得税</v>
      </c>
      <c r="M75" s="3330"/>
      <c r="N75" s="1301">
        <f ca="1">D77</f>
        <v>169</v>
      </c>
      <c r="O75" s="1874" t="str">
        <f>E77</f>
        <v>销售额×税（费）率</v>
      </c>
      <c r="P75" s="1302">
        <f>F77</f>
        <v>0.01</v>
      </c>
      <c r="Q75" s="2030"/>
      <c r="R75" s="2030"/>
      <c r="S75" s="2030"/>
      <c r="T75" s="2030"/>
      <c r="U75" s="2030"/>
      <c r="V75" s="2030"/>
    </row>
    <row r="76" spans="1:22" ht="24.75">
      <c r="A76" s="361" t="s">
        <v>396</v>
      </c>
      <c r="B76" s="3280" t="s">
        <v>422</v>
      </c>
      <c r="C76" s="3281"/>
      <c r="D76" s="364">
        <f ca="1">IF(H76="转让取得",C99,C115)</f>
        <v>8883</v>
      </c>
      <c r="E76" s="17" t="s">
        <v>423</v>
      </c>
      <c r="F76" s="53" t="s">
        <v>21</v>
      </c>
      <c r="G76" s="363"/>
      <c r="H76" s="365" t="s">
        <v>424</v>
      </c>
      <c r="I76" s="42"/>
      <c r="J76" s="2037"/>
      <c r="K76" s="3080" t="str">
        <f>IF(项目基本情况!K6="上海银行",IF(K75="",4,K75+1),"")</f>
        <v/>
      </c>
      <c r="L76" s="3341" t="str">
        <f>IF(项目基本情况!K6="上海银行","其他处置费用","")</f>
        <v/>
      </c>
      <c r="M76" s="3342"/>
      <c r="N76" s="1297" t="str">
        <f>IF(项目基本情况!K6="上海银行",N89,"")</f>
        <v/>
      </c>
      <c r="O76" s="3343" t="str">
        <f>IF(项目基本情况!K6="上海银行","包含处置中涉及的律师、诉讼、拍卖、评估等费用","")</f>
        <v/>
      </c>
      <c r="P76" s="3344"/>
      <c r="Q76" s="2030"/>
      <c r="R76" s="2030"/>
      <c r="S76" s="2030"/>
      <c r="T76" s="2030"/>
      <c r="U76" s="2030"/>
      <c r="V76" s="2030"/>
    </row>
    <row r="77" spans="1:22" ht="26.25" thickBot="1">
      <c r="A77" s="3332" t="s">
        <v>426</v>
      </c>
      <c r="B77" s="3333"/>
      <c r="C77" s="3333"/>
      <c r="D77" s="368">
        <f ca="1">IF(H77="非个人房产","——",IF(H77="个人住宅",0,ROUND(D63*I77,0)))</f>
        <v>169</v>
      </c>
      <c r="E77" s="369" t="str">
        <f>IF(H77="非个人房产","——","销售额×税（费）率")</f>
        <v>销售额×税（费）率</v>
      </c>
      <c r="F77" s="370">
        <f>IF(H77="非个人房产","——",IF(H77="个人住宅","免征",I77))</f>
        <v>0.01</v>
      </c>
      <c r="G77" s="985" t="s">
        <v>417</v>
      </c>
      <c r="H77" s="365" t="s">
        <v>2892</v>
      </c>
      <c r="I77" s="371">
        <v>0.01</v>
      </c>
      <c r="J77" s="2037"/>
      <c r="K77" s="3331">
        <f>IF(AND(K75="",K76=""),4,IF(项目基本情况!K6="上海银行",K76+1,K75+1))</f>
        <v>5</v>
      </c>
      <c r="L77" s="3330" t="s">
        <v>2893</v>
      </c>
      <c r="M77" s="3086" t="s">
        <v>421</v>
      </c>
      <c r="N77" s="1303"/>
      <c r="O77" s="1304">
        <f ca="1">SUMIF(N72:N76,"&lt;9e307")</f>
        <v>9951</v>
      </c>
      <c r="P77" s="1305"/>
      <c r="Q77" s="3084">
        <f ca="1">O77/N69</f>
        <v>0.35430463576158938</v>
      </c>
      <c r="R77" s="2030"/>
      <c r="S77" s="2030"/>
      <c r="T77" s="2030"/>
      <c r="U77" s="2030"/>
      <c r="V77" s="2030"/>
    </row>
    <row r="78" spans="1:22" ht="12" customHeight="1">
      <c r="A78" s="1306"/>
      <c r="B78" s="313"/>
      <c r="C78" s="313"/>
      <c r="D78" s="313"/>
      <c r="E78" s="42"/>
      <c r="F78" s="42"/>
      <c r="G78" s="42"/>
      <c r="H78" s="1004"/>
      <c r="I78" s="313"/>
      <c r="J78" s="2037"/>
      <c r="K78" s="3331"/>
      <c r="L78" s="3330"/>
      <c r="M78" s="3086" t="s">
        <v>425</v>
      </c>
      <c r="N78" s="1303"/>
      <c r="O78" s="1304" t="str">
        <f ca="1">NUMBERSTRING(INT(O77*10000),2)&amp;"元整"</f>
        <v>玖仟玖佰伍拾壹万元整</v>
      </c>
      <c r="P78" s="1305"/>
      <c r="Q78" s="2030"/>
      <c r="R78" s="2030"/>
      <c r="S78" s="2030"/>
      <c r="T78" s="2030"/>
      <c r="U78" s="2030"/>
      <c r="V78" s="2030"/>
    </row>
    <row r="79" spans="1:22" ht="13.5" thickBot="1">
      <c r="A79" s="3325" t="s">
        <v>427</v>
      </c>
      <c r="B79" s="3325"/>
      <c r="C79" s="3325"/>
      <c r="D79" s="3325"/>
      <c r="E79" s="3325"/>
      <c r="F79" s="42"/>
      <c r="G79" s="42"/>
      <c r="H79" s="1004"/>
      <c r="I79" s="313"/>
      <c r="J79" s="2037"/>
      <c r="K79" s="3351">
        <f>K77+1</f>
        <v>6</v>
      </c>
      <c r="L79" s="3330" t="s">
        <v>2894</v>
      </c>
      <c r="M79" s="3086" t="s">
        <v>421</v>
      </c>
      <c r="N79" s="1303"/>
      <c r="O79" s="1304">
        <f ca="1">N69-O77</f>
        <v>18135</v>
      </c>
      <c r="P79" s="1305"/>
      <c r="Q79" s="2030"/>
      <c r="R79" s="2030"/>
      <c r="S79" s="2030"/>
      <c r="T79" s="2030"/>
      <c r="U79" s="2030"/>
      <c r="V79" s="2030"/>
    </row>
    <row r="80" spans="1:22" ht="25.5">
      <c r="A80" s="3320" t="s">
        <v>428</v>
      </c>
      <c r="B80" s="3321"/>
      <c r="C80" s="995"/>
      <c r="D80" s="995" t="s">
        <v>429</v>
      </c>
      <c r="E80" s="372" t="s">
        <v>430</v>
      </c>
      <c r="F80" s="42"/>
      <c r="G80" s="42"/>
      <c r="H80" s="1004"/>
      <c r="I80" s="313"/>
      <c r="J80" s="2030"/>
      <c r="K80" s="3352"/>
      <c r="L80" s="3330"/>
      <c r="M80" s="3086" t="s">
        <v>425</v>
      </c>
      <c r="N80" s="1303"/>
      <c r="O80" s="1304" t="str">
        <f ca="1">NUMBERSTRING(INT(O79*10000),2)&amp;"元整"</f>
        <v>壹亿捌仟壹佰叁拾伍万元整</v>
      </c>
      <c r="P80" s="1305"/>
      <c r="Q80" s="2030"/>
      <c r="R80" s="2030"/>
      <c r="S80" s="2030"/>
      <c r="T80" s="2030"/>
      <c r="U80" s="2030"/>
      <c r="V80" s="2030"/>
    </row>
    <row r="81" spans="1:26" ht="13.5" thickBot="1">
      <c r="A81" s="383" t="s">
        <v>1825</v>
      </c>
      <c r="B81" s="373" t="s">
        <v>431</v>
      </c>
      <c r="C81" s="374">
        <f ca="1">ROUND((C82+C83)/(1+'数据-取费表'!C42),0)</f>
        <v>16050</v>
      </c>
      <c r="D81" s="375"/>
      <c r="E81" s="376"/>
      <c r="F81" s="42"/>
      <c r="G81" s="42"/>
      <c r="H81" s="1004"/>
      <c r="I81" s="313"/>
      <c r="J81" s="2030"/>
      <c r="K81" s="3080">
        <f>K79+1</f>
        <v>7</v>
      </c>
      <c r="L81" s="3328" t="s">
        <v>2895</v>
      </c>
      <c r="M81" s="3329"/>
      <c r="N81" s="1307"/>
      <c r="O81" s="1308">
        <f ca="1">ROUND(O79*10000/'数据-汇总表'!E3,0)</f>
        <v>2639</v>
      </c>
      <c r="P81" s="1309"/>
      <c r="Q81" s="2030"/>
      <c r="R81" s="2030"/>
      <c r="S81" s="2030"/>
      <c r="T81" s="2030"/>
      <c r="U81" s="2030"/>
      <c r="V81" s="2030"/>
    </row>
    <row r="82" spans="1:26" ht="13.5" thickTop="1">
      <c r="A82" s="377" t="s">
        <v>1826</v>
      </c>
      <c r="B82" s="378" t="s">
        <v>432</v>
      </c>
      <c r="C82" s="379">
        <f ca="1">D63</f>
        <v>16852</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340" t="s">
        <v>2882</v>
      </c>
      <c r="L83" s="3092" t="s">
        <v>2883</v>
      </c>
      <c r="M83" s="3082">
        <f ca="1">IF(N69&gt;10000,N69*0.5%,IF(AND(N69&gt;1000,N69&lt;=10000),N69*1%,IF(AND(N69&gt;100,N69&lt;=1000),N69*3%,IF(AND(N69&gt;10,N69&lt;=100),N69*5%,N69*8%))))</f>
        <v>140.43</v>
      </c>
      <c r="N83" s="53">
        <f ca="1">ROUND(M83,1)</f>
        <v>140.4</v>
      </c>
      <c r="O83" s="3085"/>
      <c r="P83" s="2030"/>
      <c r="Q83" s="2030"/>
      <c r="R83" s="2030"/>
      <c r="S83" s="2030"/>
      <c r="T83" s="2030"/>
      <c r="U83" s="2030"/>
      <c r="V83" s="2030"/>
    </row>
    <row r="84" spans="1:26" ht="12.75">
      <c r="A84" s="383" t="s">
        <v>1828</v>
      </c>
      <c r="B84" s="384" t="s">
        <v>434</v>
      </c>
      <c r="C84" s="385">
        <v>2000</v>
      </c>
      <c r="D84" s="386" t="s">
        <v>19</v>
      </c>
      <c r="E84" s="3127" t="s">
        <v>2943</v>
      </c>
      <c r="F84" s="42"/>
      <c r="G84" s="42"/>
      <c r="H84" s="1004"/>
      <c r="I84" s="313"/>
      <c r="J84" s="2030"/>
      <c r="K84" s="3340"/>
      <c r="L84" s="3092" t="s">
        <v>2884</v>
      </c>
      <c r="M84" s="3082">
        <f ca="1">IF(N69&gt;2000,N69*0.5%,IF(AND(N69&gt;1000,N69&lt;=2000),N69*0.6%,IF(AND(N69&gt;500,N69&lt;=1000),N69*0.7%,IF(AND(N69&gt;200,N69&lt;=500),N69*0.8%,IF(AND(N69&gt;100,N69&lt;=200),N69*0.9%,IF(AND(N69&gt;50,N69&lt;=100),N69*1%,IF(AND(N69&gt;20,N69&lt;=50),N69*1.5%,IF(AND(N69&gt;10,N69&lt;=20),N69*2%,IF(AND(N69&gt;1,N69&lt;=10),N69*2.5%)))))))))</f>
        <v>140.43</v>
      </c>
      <c r="N84" s="53">
        <f t="shared" ref="N84:N85" ca="1" si="2">ROUND(M84,1)</f>
        <v>140.4</v>
      </c>
      <c r="O84" s="2030" t="s">
        <v>2885</v>
      </c>
      <c r="P84" s="2030"/>
      <c r="Q84" s="2030"/>
      <c r="R84" s="2030"/>
      <c r="S84" s="2030"/>
      <c r="T84" s="2030"/>
      <c r="U84" s="2030"/>
      <c r="V84" s="2030"/>
    </row>
    <row r="85" spans="1:26" ht="12.75">
      <c r="A85" s="383" t="s">
        <v>1829</v>
      </c>
      <c r="B85" s="384" t="s">
        <v>435</v>
      </c>
      <c r="C85" s="387">
        <f ca="1">C81-C84</f>
        <v>14050</v>
      </c>
      <c r="D85" s="380" t="s">
        <v>19</v>
      </c>
      <c r="E85" s="381"/>
      <c r="F85" s="42"/>
      <c r="G85" s="42"/>
      <c r="H85" s="1004"/>
      <c r="I85" s="313"/>
      <c r="J85" s="2030"/>
      <c r="K85" s="3340"/>
      <c r="L85" s="3092" t="s">
        <v>2886</v>
      </c>
      <c r="M85" s="3082">
        <f ca="1">IF(N69&gt;1000,N69*0.1%,IF(AND(N69&gt;500,N69&lt;=1000),N69*0.5%,IF(AND(N69&gt;50,N69&lt;=500),N69*1%,IF(AND(N69&gt;1,N69&lt;=50),N69*1.5%))))</f>
        <v>28.086000000000002</v>
      </c>
      <c r="N85" s="53">
        <f t="shared" ca="1" si="2"/>
        <v>28.1</v>
      </c>
      <c r="O85" s="2030" t="s">
        <v>2885</v>
      </c>
      <c r="P85" s="2030"/>
      <c r="Q85" s="2030"/>
      <c r="R85" s="2030"/>
      <c r="S85" s="2030"/>
      <c r="T85" s="2030"/>
      <c r="U85" s="2030"/>
      <c r="V85" s="2030"/>
    </row>
    <row r="86" spans="1:26" ht="13.5" thickBot="1">
      <c r="A86" s="388" t="s">
        <v>1830</v>
      </c>
      <c r="B86" s="389" t="s">
        <v>436</v>
      </c>
      <c r="C86" s="390">
        <f ca="1">IF(C85&lt;=0,0,ROUND(C85*D86,0))</f>
        <v>787</v>
      </c>
      <c r="D86" s="391">
        <f>'数据-取费表'!B41</f>
        <v>5.6000000000000001E-2</v>
      </c>
      <c r="E86" s="392"/>
      <c r="F86" s="42"/>
      <c r="G86" s="42"/>
      <c r="H86" s="1004"/>
      <c r="I86" s="313"/>
      <c r="J86" s="2030"/>
      <c r="K86" s="3340"/>
      <c r="L86" s="3092" t="s">
        <v>2887</v>
      </c>
      <c r="M86" s="3082">
        <f ca="1">N69*0.5%</f>
        <v>140.43</v>
      </c>
      <c r="N86" s="53">
        <f ca="1">IF(M86&gt;0.5,0.5,ROUND(M86,0))</f>
        <v>0.5</v>
      </c>
      <c r="O86" s="2030" t="s">
        <v>2888</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340"/>
      <c r="L87" s="3092" t="s">
        <v>2889</v>
      </c>
      <c r="M87" s="3082">
        <f ca="1">IF(N69&gt;=10000,(8.25+(N69-10000)*0.01%),IF(AND(N69&gt;=8000,N69&lt;10000),(7.85+(N69-8000)*0.02%),IF(AND(N69&gt;=5000,N69&lt;8000),(6.65+(N69-5000)*0.04%),IF(AND(N69&gt;=2000,N69&lt;5000),(4.25+(PN69-2000)*0.08%),IF(AND(N69&gt;=1000,N69&lt;2000),(2.75+(N69-1000)*0.15%),IF(AND(N69&gt;=100,N69&lt;1000),(0.5+(N69-100)*0.25%),IF(AND(N69&gt;0,N69&lt;100),N69*0.5%)))))))</f>
        <v>10.0586</v>
      </c>
      <c r="N87" s="53">
        <f ca="1">ROUND(M87*0.9,1)</f>
        <v>9.1</v>
      </c>
      <c r="O87" s="3085"/>
      <c r="P87" s="313"/>
      <c r="Q87" s="2030"/>
      <c r="R87" s="2030"/>
      <c r="S87" s="2030"/>
      <c r="T87" s="2030"/>
      <c r="U87" s="2030"/>
      <c r="V87" s="2030"/>
      <c r="W87" s="291"/>
      <c r="X87" s="291"/>
      <c r="Y87" s="291"/>
      <c r="Z87" s="291"/>
    </row>
    <row r="88" spans="1:26" s="1315" customFormat="1" ht="15" thickBot="1">
      <c r="A88" s="3322" t="s">
        <v>437</v>
      </c>
      <c r="B88" s="3323"/>
      <c r="C88" s="3323"/>
      <c r="D88" s="3323"/>
      <c r="E88" s="3323"/>
      <c r="F88" s="3323"/>
      <c r="G88" s="3323"/>
      <c r="H88" s="3323"/>
      <c r="I88" s="1316"/>
      <c r="J88" s="2038"/>
      <c r="K88" s="3340"/>
      <c r="L88" s="3092" t="s">
        <v>2890</v>
      </c>
      <c r="M88" s="3082">
        <f ca="1">IF(N69&gt;10000,N69*0.5%,IF(AND(N69&gt;5000,N69&lt;=10000),N69*1%,IF(AND(N69&gt;1000,N69&lt;=5000),N69*2%,IF(AND(N69&gt;200,N69&lt;=1000),N69*3%,N69*5%))))</f>
        <v>140.43</v>
      </c>
      <c r="N88" s="53">
        <f ca="1">ROUND(M88,1)</f>
        <v>140.4</v>
      </c>
      <c r="O88" s="3085"/>
      <c r="P88" s="11"/>
      <c r="Q88" s="2035"/>
      <c r="R88" s="2035"/>
      <c r="S88" s="2035"/>
      <c r="T88" s="2035"/>
      <c r="U88" s="2035"/>
      <c r="V88" s="2035"/>
      <c r="W88" s="2039"/>
      <c r="X88" s="2039"/>
      <c r="Y88" s="2039"/>
      <c r="Z88" s="2039"/>
    </row>
    <row r="89" spans="1:26" s="1315" customFormat="1" ht="14.25">
      <c r="A89" s="3320" t="s">
        <v>428</v>
      </c>
      <c r="B89" s="3321"/>
      <c r="C89" s="995"/>
      <c r="D89" s="995" t="s">
        <v>429</v>
      </c>
      <c r="E89" s="393" t="s">
        <v>438</v>
      </c>
      <c r="F89" s="394"/>
      <c r="G89" s="394"/>
      <c r="H89" s="395"/>
      <c r="I89" s="1317"/>
      <c r="J89" s="2040"/>
      <c r="K89" s="3340"/>
      <c r="L89" s="3092" t="s">
        <v>27</v>
      </c>
      <c r="M89" s="3083"/>
      <c r="N89" s="53">
        <f ca="1">ROUND(SUM(N83:N88),0)</f>
        <v>459</v>
      </c>
      <c r="O89" s="3093">
        <f ca="1">N89/N69</f>
        <v>1.6342661824396497E-2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16050</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2657</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283" t="s">
        <v>447</v>
      </c>
      <c r="F94" s="3282"/>
      <c r="G94" s="3282"/>
      <c r="H94" s="3319"/>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96</v>
      </c>
      <c r="D96" s="408">
        <f>'数据-取费表'!B43</f>
        <v>6.000000000000001E-3</v>
      </c>
      <c r="E96" s="3311" t="s">
        <v>2433</v>
      </c>
      <c r="F96" s="3312"/>
      <c r="G96" s="3312"/>
      <c r="H96" s="3313"/>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4" t="s">
        <v>451</v>
      </c>
      <c r="C97" s="387">
        <f ca="1">C90-C91</f>
        <v>13393</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4" t="s">
        <v>452</v>
      </c>
      <c r="C98" s="409">
        <f ca="1">IF(C97&lt;=0,0,C97/C91)</f>
        <v>5.0406473466315393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9" t="s">
        <v>453</v>
      </c>
      <c r="C99" s="410">
        <f ca="1">ROUND(IF(C97&lt;=0,0,IF(C98&gt;=200%,C97*60%-C91*35%,IF(C98&gt;=100%,C97*50%-C91*15%,IF(C98&gt;=50%,C97*40%-C91*5%,IF(C98&lt;50%,C97*30%,0))))),0)</f>
        <v>7106</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22" t="s">
        <v>454</v>
      </c>
      <c r="B101" s="3323"/>
      <c r="C101" s="3323"/>
      <c r="D101" s="3323"/>
      <c r="E101" s="3323"/>
      <c r="F101" s="3323"/>
      <c r="G101" s="3323"/>
      <c r="H101" s="3323"/>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20" t="s">
        <v>428</v>
      </c>
      <c r="B102" s="3321"/>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16050</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786</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8" t="s">
        <v>461</v>
      </c>
      <c r="C109" s="407">
        <f>IF(H109="——",IF(F1="现房",'剩余法-现房'!C18,'剩余法-待开发'!C18),I109)</f>
        <v>55</v>
      </c>
      <c r="D109" s="408"/>
      <c r="E109" s="3314" t="s">
        <v>462</v>
      </c>
      <c r="F109" s="3312"/>
      <c r="G109" s="3312"/>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8" t="s">
        <v>463</v>
      </c>
      <c r="C110" s="407">
        <f>ROUND((C105+C108+C109)*D110,0)</f>
        <v>63</v>
      </c>
      <c r="D110" s="408">
        <v>0.1</v>
      </c>
      <c r="E110" s="3314" t="s">
        <v>464</v>
      </c>
      <c r="F110" s="3312"/>
      <c r="G110" s="3312"/>
      <c r="H110" s="3313"/>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8" t="s">
        <v>450</v>
      </c>
      <c r="C111" s="407">
        <f ca="1">ROUND(D63*D111/(1+'数据-取费表'!C42),0)</f>
        <v>96</v>
      </c>
      <c r="D111" s="408">
        <f>'数据-取费表'!B43</f>
        <v>6.000000000000001E-3</v>
      </c>
      <c r="E111" s="3311" t="s">
        <v>2433</v>
      </c>
      <c r="F111" s="3312"/>
      <c r="G111" s="3312"/>
      <c r="H111" s="3313"/>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8" t="s">
        <v>465</v>
      </c>
      <c r="C112" s="407">
        <f>ROUND(C108*D112,0)</f>
        <v>0</v>
      </c>
      <c r="D112" s="408">
        <v>0.2</v>
      </c>
      <c r="E112" s="3314" t="s">
        <v>2458</v>
      </c>
      <c r="F112" s="3312"/>
      <c r="G112" s="3312"/>
      <c r="H112" s="3313"/>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4" t="s">
        <v>451</v>
      </c>
      <c r="C113" s="387">
        <f ca="1">ROUND(C103-C104,0)</f>
        <v>15264</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4" t="s">
        <v>452</v>
      </c>
      <c r="C114" s="409">
        <f ca="1">IF(C113&lt;=0,0,C113/C104)</f>
        <v>19.419847328244273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9" t="s">
        <v>453</v>
      </c>
      <c r="C115" s="410">
        <f ca="1">ROUND(IF(C113&lt;=0,0,IF(C114&gt;=200%,C113*60%-C104*35%,IF(C114&gt;=100%,C113*50%-C104*15%,IF(C114&gt;=50%,C113*40%-C104*5%,IF(C114&lt;50%,C113*30%,0))))),0)</f>
        <v>8883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4" zoomScale="80" zoomScaleNormal="95" zoomScaleSheetLayoutView="80" workbookViewId="0">
      <selection activeCell="I40" sqref="I40"/>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5" t="s">
        <v>467</v>
      </c>
      <c r="B2" s="510">
        <f>F68</f>
        <v>29079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2">
        <f>ROUND(B2*10000/'数据-汇总表'!E3,0)</f>
        <v>4231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30" s="1337" customFormat="1" ht="28.5" customHeight="1">
      <c r="A4" s="513" t="s">
        <v>521</v>
      </c>
      <c r="B4" s="429">
        <f>IF(B48="单位面积地价",C50,ROUND(B2*10000/'数据-汇总表'!D3,0))</f>
        <v>11452</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30" s="1337" customFormat="1" ht="28.5" customHeight="1" thickBot="1">
      <c r="A5" s="431"/>
      <c r="B5" s="432">
        <f>ROUND(B2/('数据-汇总表'!D3/666.67),0)</f>
        <v>763</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30"/>
    </row>
    <row r="6" spans="1:30" ht="20.25">
      <c r="A6" s="514" t="s">
        <v>522</v>
      </c>
      <c r="B6" s="515"/>
      <c r="C6" s="3365" t="s">
        <v>523</v>
      </c>
      <c r="D6" s="3366"/>
      <c r="E6" s="3365" t="s">
        <v>524</v>
      </c>
      <c r="F6" s="3366"/>
      <c r="G6" s="3365" t="s">
        <v>525</v>
      </c>
      <c r="H6" s="3366"/>
      <c r="I6" s="3365" t="s">
        <v>526</v>
      </c>
      <c r="J6" s="3366"/>
      <c r="K6" s="516" t="s">
        <v>527</v>
      </c>
      <c r="L6" s="2135"/>
      <c r="M6" s="2134"/>
      <c r="N6" s="2134"/>
      <c r="O6" s="2136"/>
      <c r="P6" s="3367" t="s">
        <v>528</v>
      </c>
      <c r="Q6" s="3368"/>
      <c r="R6" s="3373" t="s">
        <v>524</v>
      </c>
      <c r="S6" s="3374"/>
      <c r="T6" s="3373" t="s">
        <v>525</v>
      </c>
      <c r="U6" s="3374"/>
      <c r="V6" s="3360" t="s">
        <v>526</v>
      </c>
      <c r="W6" s="3360"/>
      <c r="X6" s="1568"/>
      <c r="Y6" s="3373" t="s">
        <v>528</v>
      </c>
      <c r="Z6" s="3374"/>
      <c r="AA6" s="3362" t="s">
        <v>524</v>
      </c>
      <c r="AB6" s="3363" t="s">
        <v>525</v>
      </c>
      <c r="AC6" s="3362" t="s">
        <v>526</v>
      </c>
    </row>
    <row r="7" spans="1:30" ht="20.25">
      <c r="A7" s="517"/>
      <c r="B7" s="518"/>
      <c r="C7" s="3383" t="s">
        <v>2930</v>
      </c>
      <c r="D7" s="3382"/>
      <c r="E7" s="3381" t="s">
        <v>3055</v>
      </c>
      <c r="F7" s="3382"/>
      <c r="G7" s="3381" t="s">
        <v>3060</v>
      </c>
      <c r="H7" s="3382"/>
      <c r="I7" s="3381" t="s">
        <v>3064</v>
      </c>
      <c r="J7" s="3382"/>
      <c r="K7" s="516"/>
      <c r="L7" s="2135"/>
      <c r="M7" s="2134"/>
      <c r="N7" s="2134"/>
      <c r="O7" s="2136"/>
      <c r="P7" s="3369"/>
      <c r="Q7" s="3370"/>
      <c r="R7" s="3375"/>
      <c r="S7" s="3376"/>
      <c r="T7" s="3375"/>
      <c r="U7" s="3376"/>
      <c r="V7" s="3360"/>
      <c r="W7" s="3360"/>
      <c r="X7" s="1568"/>
      <c r="Y7" s="3375"/>
      <c r="Z7" s="3376"/>
      <c r="AA7" s="3363"/>
      <c r="AB7" s="3363"/>
      <c r="AC7" s="3363"/>
    </row>
    <row r="8" spans="1:30" ht="21" thickBot="1">
      <c r="A8" s="517"/>
      <c r="B8" s="518"/>
      <c r="C8" s="3384" t="s">
        <v>2934</v>
      </c>
      <c r="D8" s="3385"/>
      <c r="E8" s="3386" t="s">
        <v>3056</v>
      </c>
      <c r="F8" s="3385"/>
      <c r="G8" s="3379" t="s">
        <v>3061</v>
      </c>
      <c r="H8" s="3380"/>
      <c r="I8" s="3379" t="s">
        <v>3065</v>
      </c>
      <c r="J8" s="3380"/>
      <c r="K8" s="516" t="s">
        <v>529</v>
      </c>
      <c r="L8" s="2135"/>
      <c r="M8" s="2134"/>
      <c r="N8" s="2134"/>
      <c r="O8" s="2136"/>
      <c r="P8" s="3371"/>
      <c r="Q8" s="3372"/>
      <c r="R8" s="3375"/>
      <c r="S8" s="3376"/>
      <c r="T8" s="3377"/>
      <c r="U8" s="3378"/>
      <c r="V8" s="3360"/>
      <c r="W8" s="3360"/>
      <c r="X8" s="1568"/>
      <c r="Y8" s="3377"/>
      <c r="Z8" s="3378"/>
      <c r="AA8" s="3364"/>
      <c r="AB8" s="3364"/>
      <c r="AC8" s="3364"/>
    </row>
    <row r="9" spans="1:30" s="1221" customFormat="1" ht="21" thickBot="1">
      <c r="A9" s="2940"/>
      <c r="B9" s="2947" t="s">
        <v>530</v>
      </c>
      <c r="C9" s="2939">
        <f>'数据-取费表'!B2</f>
        <v>43123</v>
      </c>
      <c r="D9" s="522">
        <v>100</v>
      </c>
      <c r="E9" s="523">
        <v>43038</v>
      </c>
      <c r="F9" s="524">
        <f>SUMIF(72:72,YEAR(E9)&amp;"-"&amp;INT((MONTH(E9)+2)/3),73:73)</f>
        <v>98</v>
      </c>
      <c r="G9" s="525">
        <v>43038</v>
      </c>
      <c r="H9" s="522">
        <f>SUMIF(72:72,YEAR(G9)&amp;"-"&amp;INT((MONTH(G9)+2)/3),73:73)</f>
        <v>98</v>
      </c>
      <c r="I9" s="525">
        <v>42921</v>
      </c>
      <c r="J9" s="522">
        <f>SUMIF(72:72,YEAR(I9)&amp;"-"&amp;INT((MONTH(I9)+2)/3),73:73)</f>
        <v>96</v>
      </c>
      <c r="K9" s="526"/>
      <c r="L9" s="2137"/>
      <c r="M9" s="2134"/>
      <c r="N9" s="2134"/>
      <c r="O9" s="2138"/>
      <c r="P9" s="3392" t="s">
        <v>531</v>
      </c>
      <c r="Q9" s="3394"/>
      <c r="R9" s="1569" t="s">
        <v>8</v>
      </c>
      <c r="S9" s="1570">
        <f t="shared" ref="S9:S17" si="0">F9</f>
        <v>98</v>
      </c>
      <c r="T9" s="1569" t="s">
        <v>8</v>
      </c>
      <c r="U9" s="1570">
        <f t="shared" ref="U9:U17" si="1">H9</f>
        <v>98</v>
      </c>
      <c r="V9" s="1569" t="s">
        <v>8</v>
      </c>
      <c r="W9" s="1570">
        <f t="shared" ref="W9:W17" si="2">J9</f>
        <v>96</v>
      </c>
      <c r="X9" s="1571"/>
      <c r="Y9" s="3392" t="s">
        <v>531</v>
      </c>
      <c r="Z9" s="3393"/>
      <c r="AA9" s="1572">
        <f>D9/F9</f>
        <v>1.0204081632653061</v>
      </c>
      <c r="AB9" s="1572">
        <f>D9/H9</f>
        <v>1.0204081632653061</v>
      </c>
      <c r="AC9" s="1572">
        <f>D9/J9</f>
        <v>1.0416666666666667</v>
      </c>
    </row>
    <row r="10" spans="1:30" s="1221" customFormat="1" ht="21" thickBot="1">
      <c r="A10" s="2941"/>
      <c r="B10" s="2948" t="s">
        <v>532</v>
      </c>
      <c r="C10" s="858" t="s">
        <v>533</v>
      </c>
      <c r="D10" s="522">
        <v>100</v>
      </c>
      <c r="E10" s="527" t="s">
        <v>2979</v>
      </c>
      <c r="F10" s="524">
        <f>SUMIF(75:75,E10,76:76)-SUMIF(75:75,C10,76:76)+100</f>
        <v>100</v>
      </c>
      <c r="G10" s="527" t="s">
        <v>2979</v>
      </c>
      <c r="H10" s="522">
        <f>SUMIF(75:75,G10,76:76)-SUMIF(75:75,C10,76:76)+100</f>
        <v>100</v>
      </c>
      <c r="I10" s="527" t="s">
        <v>2979</v>
      </c>
      <c r="J10" s="522">
        <f>SUMIF(75:75,I10,76:76)-SUMIF(75:75,C10,76:76)+100</f>
        <v>100</v>
      </c>
      <c r="K10" s="526"/>
      <c r="L10" s="2137"/>
      <c r="M10" s="2134"/>
      <c r="N10" s="2134"/>
      <c r="O10" s="2138"/>
      <c r="P10" s="3392" t="s">
        <v>534</v>
      </c>
      <c r="Q10" s="3393"/>
      <c r="R10" s="1569" t="s">
        <v>8</v>
      </c>
      <c r="S10" s="1570">
        <f t="shared" si="0"/>
        <v>100</v>
      </c>
      <c r="T10" s="1569" t="s">
        <v>8</v>
      </c>
      <c r="U10" s="1570">
        <f t="shared" si="1"/>
        <v>100</v>
      </c>
      <c r="V10" s="1569" t="s">
        <v>8</v>
      </c>
      <c r="W10" s="1570">
        <f t="shared" si="2"/>
        <v>100</v>
      </c>
      <c r="X10" s="1571"/>
      <c r="Y10" s="3392" t="s">
        <v>534</v>
      </c>
      <c r="Z10" s="3393"/>
      <c r="AA10" s="1572">
        <f t="shared" ref="AA10:AA47" si="3">D10/F10</f>
        <v>1</v>
      </c>
      <c r="AB10" s="1572">
        <f t="shared" ref="AB10:AB47" si="4">D10/H10</f>
        <v>1</v>
      </c>
      <c r="AC10" s="1572">
        <f t="shared" ref="AC10:AC47" si="5">D10/J10</f>
        <v>1</v>
      </c>
    </row>
    <row r="11" spans="1:30" s="1221" customFormat="1" ht="20.25">
      <c r="A11" s="2942"/>
      <c r="B11" s="2949" t="s">
        <v>2765</v>
      </c>
      <c r="C11" s="2936" t="s">
        <v>3057</v>
      </c>
      <c r="D11" s="253">
        <v>100</v>
      </c>
      <c r="E11" s="2936" t="s">
        <v>3057</v>
      </c>
      <c r="F11" s="253">
        <f>SUMIF(77:77,E11,78:78)-SUMIF(77:77,C11,78:78)+100</f>
        <v>100</v>
      </c>
      <c r="G11" s="2936" t="s">
        <v>3057</v>
      </c>
      <c r="H11" s="253">
        <f>SUMIF(77:77,G11,78:78)-SUMIF(77:77,C11,78:78)+100</f>
        <v>100</v>
      </c>
      <c r="I11" s="2936" t="s">
        <v>3057</v>
      </c>
      <c r="J11" s="253">
        <f>SUMIF(77:77,I11,78:78)-SUMIF(77:77,C11,78:78)+100</f>
        <v>100</v>
      </c>
      <c r="K11" s="526"/>
      <c r="L11" s="2137"/>
      <c r="M11" s="2134"/>
      <c r="N11" s="2134"/>
      <c r="O11" s="2139"/>
      <c r="P11" s="3359" t="s">
        <v>536</v>
      </c>
      <c r="Q11" s="1152" t="str">
        <f t="shared" ref="Q11:Q17" si="6">B11</f>
        <v>用途</v>
      </c>
      <c r="R11" s="1569" t="s">
        <v>8</v>
      </c>
      <c r="S11" s="1570">
        <f t="shared" si="0"/>
        <v>100</v>
      </c>
      <c r="T11" s="1569" t="s">
        <v>8</v>
      </c>
      <c r="U11" s="1570">
        <f t="shared" si="1"/>
        <v>100</v>
      </c>
      <c r="V11" s="1569" t="s">
        <v>8</v>
      </c>
      <c r="W11" s="1570">
        <f t="shared" si="2"/>
        <v>100</v>
      </c>
      <c r="X11" s="1571"/>
      <c r="Y11" s="3305" t="s">
        <v>537</v>
      </c>
      <c r="Z11" s="1151" t="str">
        <f t="shared" ref="Z11:Z17" si="7">Q11</f>
        <v>用途</v>
      </c>
      <c r="AA11" s="1572">
        <f t="shared" si="3"/>
        <v>1</v>
      </c>
      <c r="AB11" s="1572">
        <f t="shared" si="4"/>
        <v>1</v>
      </c>
      <c r="AC11" s="1572">
        <f t="shared" si="5"/>
        <v>1</v>
      </c>
    </row>
    <row r="12" spans="1:30" s="1339" customFormat="1" ht="28.5">
      <c r="A12" s="2943"/>
      <c r="B12" s="2948" t="s">
        <v>2766</v>
      </c>
      <c r="C12" s="911" t="s">
        <v>3074</v>
      </c>
      <c r="D12" s="254">
        <v>100</v>
      </c>
      <c r="E12" s="531" t="s">
        <v>3075</v>
      </c>
      <c r="F12" s="254">
        <f>ROUND(100/'数据-取费表'!G16,0)</f>
        <v>100</v>
      </c>
      <c r="G12" s="532" t="s">
        <v>3075</v>
      </c>
      <c r="H12" s="254">
        <f>ROUND(100/'数据-取费表'!G16,0)</f>
        <v>100</v>
      </c>
      <c r="I12" s="532" t="s">
        <v>3075</v>
      </c>
      <c r="J12" s="254">
        <f>ROUND(100/'数据-取费表'!G16,0)</f>
        <v>100</v>
      </c>
      <c r="K12" s="533"/>
      <c r="L12" s="2140"/>
      <c r="M12" s="2134"/>
      <c r="N12" s="2134"/>
      <c r="O12" s="2141"/>
      <c r="P12" s="3359"/>
      <c r="Q12" s="1152" t="str">
        <f t="shared" si="6"/>
        <v>土地使用年限（年）</v>
      </c>
      <c r="R12" s="1569" t="s">
        <v>8</v>
      </c>
      <c r="S12" s="1570">
        <f t="shared" si="0"/>
        <v>100</v>
      </c>
      <c r="T12" s="1569" t="s">
        <v>8</v>
      </c>
      <c r="U12" s="1570">
        <f t="shared" si="1"/>
        <v>100</v>
      </c>
      <c r="V12" s="1569" t="s">
        <v>8</v>
      </c>
      <c r="W12" s="1570">
        <f t="shared" si="2"/>
        <v>100</v>
      </c>
      <c r="X12" s="1571"/>
      <c r="Y12" s="3305"/>
      <c r="Z12" s="1151" t="str">
        <f t="shared" si="7"/>
        <v>土地使用年限（年）</v>
      </c>
      <c r="AA12" s="1572">
        <f t="shared" si="3"/>
        <v>1</v>
      </c>
      <c r="AB12" s="1572">
        <f t="shared" si="4"/>
        <v>1</v>
      </c>
      <c r="AC12" s="1572">
        <f t="shared" si="5"/>
        <v>1</v>
      </c>
    </row>
    <row r="13" spans="1:30" ht="20.25">
      <c r="A13" s="2944"/>
      <c r="B13" s="2948" t="s">
        <v>2767</v>
      </c>
      <c r="C13" s="3189">
        <f>'数据-汇总表'!I4</f>
        <v>1.99</v>
      </c>
      <c r="D13" s="254">
        <v>100</v>
      </c>
      <c r="E13" s="535">
        <v>3.2</v>
      </c>
      <c r="F13" s="254">
        <f>LOOKUP(E13,82:82,83:83)-LOOKUP(C13,82:82,83:83)+100</f>
        <v>90</v>
      </c>
      <c r="G13" s="536">
        <v>1.6</v>
      </c>
      <c r="H13" s="254">
        <f>LOOKUP(G13,82:82,83:83)-LOOKUP(C13,82:82,83:83)+100</f>
        <v>100</v>
      </c>
      <c r="I13" s="535">
        <v>2.2000000000000002</v>
      </c>
      <c r="J13" s="254">
        <f>LOOKUP(I13,82:82,83:83)-LOOKUP(C13,82:82,83:83)+100</f>
        <v>95</v>
      </c>
      <c r="K13" s="537">
        <v>5</v>
      </c>
      <c r="L13" s="2142"/>
      <c r="M13" s="2134"/>
      <c r="N13" s="2134"/>
      <c r="O13" s="2143"/>
      <c r="P13" s="3359"/>
      <c r="Q13" s="1152" t="str">
        <f t="shared" si="6"/>
        <v>容积率</v>
      </c>
      <c r="R13" s="1569" t="s">
        <v>8</v>
      </c>
      <c r="S13" s="1570">
        <f t="shared" si="0"/>
        <v>90</v>
      </c>
      <c r="T13" s="1569" t="s">
        <v>8</v>
      </c>
      <c r="U13" s="1570">
        <f t="shared" si="1"/>
        <v>100</v>
      </c>
      <c r="V13" s="1569" t="s">
        <v>8</v>
      </c>
      <c r="W13" s="1570">
        <f t="shared" si="2"/>
        <v>95</v>
      </c>
      <c r="X13" s="1571"/>
      <c r="Y13" s="3305"/>
      <c r="Z13" s="1151" t="str">
        <f t="shared" si="7"/>
        <v>容积率</v>
      </c>
      <c r="AA13" s="1572">
        <f t="shared" si="3"/>
        <v>1.1111111111111112</v>
      </c>
      <c r="AB13" s="1572">
        <f t="shared" si="4"/>
        <v>1</v>
      </c>
      <c r="AC13" s="1572">
        <f t="shared" si="5"/>
        <v>1.0526315789473684</v>
      </c>
    </row>
    <row r="14" spans="1:30" s="1221" customFormat="1" ht="29.25" thickBot="1">
      <c r="A14" s="2941"/>
      <c r="B14" s="3168" t="s">
        <v>3059</v>
      </c>
      <c r="C14" s="2937" t="s">
        <v>3072</v>
      </c>
      <c r="D14" s="540">
        <v>100</v>
      </c>
      <c r="E14" s="1376" t="s">
        <v>3072</v>
      </c>
      <c r="F14" s="254">
        <f>SUMIF(84:84,E14,85:85)-SUMIF(84:84,C14,85:85)+100</f>
        <v>100</v>
      </c>
      <c r="G14" s="3181" t="s">
        <v>3072</v>
      </c>
      <c r="H14" s="254">
        <f>SUMIF(84:84,G14,85:85)-SUMIF(84:84,C14,85:85)+100</f>
        <v>100</v>
      </c>
      <c r="I14" s="3182" t="s">
        <v>3072</v>
      </c>
      <c r="J14" s="254">
        <f>SUMIF(84:84,I14,85:85)-SUMIF(84:84,C14,85:85)+100</f>
        <v>100</v>
      </c>
      <c r="K14" s="533"/>
      <c r="L14" s="2137"/>
      <c r="M14" s="2134"/>
      <c r="N14" s="2134"/>
      <c r="O14" s="2139"/>
      <c r="P14" s="3359"/>
      <c r="Q14" s="1152" t="str">
        <f t="shared" si="6"/>
        <v>限地价、竞自持、竞配建</v>
      </c>
      <c r="R14" s="1569" t="s">
        <v>8</v>
      </c>
      <c r="S14" s="1570">
        <f t="shared" si="0"/>
        <v>100</v>
      </c>
      <c r="T14" s="1569" t="s">
        <v>8</v>
      </c>
      <c r="U14" s="1570">
        <f t="shared" si="1"/>
        <v>100</v>
      </c>
      <c r="V14" s="1569" t="s">
        <v>8</v>
      </c>
      <c r="W14" s="1570">
        <f t="shared" si="2"/>
        <v>100</v>
      </c>
      <c r="X14" s="1571"/>
      <c r="Y14" s="3305"/>
      <c r="Z14" s="1151" t="str">
        <f t="shared" si="7"/>
        <v>限地价、竞自持、竞配建</v>
      </c>
      <c r="AA14" s="1572">
        <f>D14/F14</f>
        <v>1</v>
      </c>
      <c r="AB14" s="1572">
        <f>D14/H14</f>
        <v>1</v>
      </c>
      <c r="AC14" s="1572">
        <f>D14/J14</f>
        <v>1</v>
      </c>
    </row>
    <row r="15" spans="1:30" ht="20.25" hidden="1" customHeight="1">
      <c r="A15" s="2945"/>
      <c r="B15" s="2950"/>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359"/>
      <c r="Q15" s="1152">
        <f t="shared" si="6"/>
        <v>0</v>
      </c>
      <c r="R15" s="1569" t="s">
        <v>8</v>
      </c>
      <c r="S15" s="1570">
        <f t="shared" si="0"/>
        <v>100</v>
      </c>
      <c r="T15" s="1569" t="s">
        <v>8</v>
      </c>
      <c r="U15" s="1570">
        <f t="shared" si="1"/>
        <v>100</v>
      </c>
      <c r="V15" s="1569" t="s">
        <v>8</v>
      </c>
      <c r="W15" s="1570">
        <f t="shared" si="2"/>
        <v>100</v>
      </c>
      <c r="X15" s="1571"/>
      <c r="Y15" s="3305"/>
      <c r="Z15" s="1151">
        <f t="shared" si="7"/>
        <v>0</v>
      </c>
      <c r="AA15" s="1572">
        <f>D15/F15</f>
        <v>1</v>
      </c>
      <c r="AB15" s="1572">
        <f>D15/H15</f>
        <v>1</v>
      </c>
      <c r="AC15" s="1572">
        <f>D15/J15</f>
        <v>1</v>
      </c>
    </row>
    <row r="16" spans="1:30" ht="21" hidden="1" customHeight="1" thickBot="1">
      <c r="A16" s="2946"/>
      <c r="B16" s="2951"/>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359"/>
      <c r="Q16" s="1152">
        <f t="shared" si="6"/>
        <v>0</v>
      </c>
      <c r="R16" s="1569" t="s">
        <v>8</v>
      </c>
      <c r="S16" s="1570">
        <f t="shared" si="0"/>
        <v>100</v>
      </c>
      <c r="T16" s="1569" t="s">
        <v>8</v>
      </c>
      <c r="U16" s="1570">
        <f t="shared" si="1"/>
        <v>100</v>
      </c>
      <c r="V16" s="1569" t="s">
        <v>8</v>
      </c>
      <c r="W16" s="1570">
        <f t="shared" si="2"/>
        <v>100</v>
      </c>
      <c r="X16" s="1571"/>
      <c r="Y16" s="3305"/>
      <c r="Z16" s="1151">
        <f t="shared" si="7"/>
        <v>0</v>
      </c>
      <c r="AA16" s="1572">
        <f>D16/F16</f>
        <v>1</v>
      </c>
      <c r="AB16" s="1572">
        <f>D16/H16</f>
        <v>1</v>
      </c>
      <c r="AC16" s="1572">
        <f>D16/J16</f>
        <v>1</v>
      </c>
    </row>
    <row r="17" spans="1:29" ht="99.75">
      <c r="A17" s="2938" t="s">
        <v>2763</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3</v>
      </c>
      <c r="L17" s="2144"/>
      <c r="M17" s="2134"/>
      <c r="N17" s="2134"/>
      <c r="O17" s="2143"/>
      <c r="P17" s="3395" t="s">
        <v>541</v>
      </c>
      <c r="Q17" s="1573" t="str">
        <f t="shared" si="6"/>
        <v>居住社区成熟度</v>
      </c>
      <c r="R17" s="1574" t="s">
        <v>8</v>
      </c>
      <c r="S17" s="1575">
        <f t="shared" si="0"/>
        <v>100</v>
      </c>
      <c r="T17" s="1574" t="s">
        <v>8</v>
      </c>
      <c r="U17" s="1575">
        <f t="shared" si="1"/>
        <v>100</v>
      </c>
      <c r="V17" s="1574" t="s">
        <v>8</v>
      </c>
      <c r="W17" s="1575">
        <f t="shared" si="2"/>
        <v>100</v>
      </c>
      <c r="X17" s="1568"/>
      <c r="Y17" s="3395" t="s">
        <v>541</v>
      </c>
      <c r="Z17" s="1576" t="str">
        <f t="shared" si="7"/>
        <v>居住社区成熟度</v>
      </c>
      <c r="AA17" s="1577">
        <f t="shared" si="3"/>
        <v>1</v>
      </c>
      <c r="AB17" s="1577">
        <f t="shared" si="4"/>
        <v>1</v>
      </c>
      <c r="AC17" s="1577">
        <f t="shared" si="5"/>
        <v>1</v>
      </c>
    </row>
    <row r="18" spans="1:29" ht="20.25">
      <c r="A18" s="534"/>
      <c r="B18" s="555"/>
      <c r="C18" s="556" t="s">
        <v>3008</v>
      </c>
      <c r="D18" s="559"/>
      <c r="E18" s="556" t="s">
        <v>3008</v>
      </c>
      <c r="F18" s="557"/>
      <c r="G18" s="556" t="s">
        <v>3008</v>
      </c>
      <c r="H18" s="561"/>
      <c r="I18" s="556" t="s">
        <v>3008</v>
      </c>
      <c r="J18" s="557"/>
      <c r="K18" s="533"/>
      <c r="L18" s="2144"/>
      <c r="M18" s="2134"/>
      <c r="N18" s="2134"/>
      <c r="O18" s="2143"/>
      <c r="P18" s="3396"/>
      <c r="Q18" s="1573"/>
      <c r="R18" s="1574"/>
      <c r="S18" s="1575"/>
      <c r="T18" s="1574"/>
      <c r="U18" s="1575"/>
      <c r="V18" s="1574"/>
      <c r="W18" s="1575"/>
      <c r="X18" s="1568"/>
      <c r="Y18" s="3396"/>
      <c r="Z18" s="1576"/>
      <c r="AA18" s="1577">
        <v>1</v>
      </c>
      <c r="AB18" s="1577">
        <v>1</v>
      </c>
      <c r="AC18" s="1577">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3</v>
      </c>
      <c r="L19" s="2144"/>
      <c r="M19" s="2134"/>
      <c r="N19" s="2134"/>
      <c r="O19" s="2143"/>
      <c r="P19" s="3396"/>
      <c r="Q19" s="1573" t="str">
        <f>B19</f>
        <v>商业繁华度</v>
      </c>
      <c r="R19" s="1574" t="s">
        <v>8</v>
      </c>
      <c r="S19" s="1575">
        <f>F19</f>
        <v>100</v>
      </c>
      <c r="T19" s="1574" t="s">
        <v>8</v>
      </c>
      <c r="U19" s="1575">
        <f>H19</f>
        <v>100</v>
      </c>
      <c r="V19" s="1574" t="s">
        <v>8</v>
      </c>
      <c r="W19" s="1575">
        <f>J19</f>
        <v>100</v>
      </c>
      <c r="X19" s="1568"/>
      <c r="Y19" s="3396"/>
      <c r="Z19" s="1576" t="str">
        <f>Q19</f>
        <v>商业繁华度</v>
      </c>
      <c r="AA19" s="1577">
        <f t="shared" si="3"/>
        <v>1</v>
      </c>
      <c r="AB19" s="1577">
        <f t="shared" si="4"/>
        <v>1</v>
      </c>
      <c r="AC19" s="1577">
        <f t="shared" si="5"/>
        <v>1</v>
      </c>
    </row>
    <row r="20" spans="1:29" ht="20.25">
      <c r="A20" s="534"/>
      <c r="B20" s="568"/>
      <c r="C20" s="556" t="s">
        <v>3008</v>
      </c>
      <c r="D20" s="565"/>
      <c r="E20" s="556" t="s">
        <v>3008</v>
      </c>
      <c r="F20" s="561"/>
      <c r="G20" s="556" t="s">
        <v>3008</v>
      </c>
      <c r="H20" s="557"/>
      <c r="I20" s="556" t="s">
        <v>3008</v>
      </c>
      <c r="J20" s="557"/>
      <c r="K20" s="533"/>
      <c r="L20" s="2144"/>
      <c r="M20" s="2134"/>
      <c r="N20" s="2134"/>
      <c r="O20" s="2143"/>
      <c r="P20" s="3396"/>
      <c r="Q20" s="1573"/>
      <c r="R20" s="1574"/>
      <c r="S20" s="1575"/>
      <c r="T20" s="1574"/>
      <c r="U20" s="1575"/>
      <c r="V20" s="1574"/>
      <c r="W20" s="1575"/>
      <c r="X20" s="1568"/>
      <c r="Y20" s="3396"/>
      <c r="Z20" s="1576"/>
      <c r="AA20" s="1577">
        <v>1</v>
      </c>
      <c r="AB20" s="1577">
        <v>1</v>
      </c>
      <c r="AC20" s="1577">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hidden="1">
      <c r="A22" s="534"/>
      <c r="B22" s="568"/>
      <c r="C22" s="556" t="s">
        <v>3008</v>
      </c>
      <c r="D22" s="559"/>
      <c r="E22" s="556" t="s">
        <v>3008</v>
      </c>
      <c r="F22" s="557"/>
      <c r="G22" s="556" t="s">
        <v>3008</v>
      </c>
      <c r="H22" s="557"/>
      <c r="I22" s="556" t="s">
        <v>3008</v>
      </c>
      <c r="J22" s="557"/>
      <c r="K22" s="533"/>
      <c r="L22" s="2144"/>
      <c r="M22" s="2134"/>
      <c r="N22" s="2134"/>
      <c r="O22" s="2143"/>
      <c r="P22" s="3396"/>
      <c r="Q22" s="1573"/>
      <c r="R22" s="1574"/>
      <c r="S22" s="1575"/>
      <c r="T22" s="1574"/>
      <c r="U22" s="1575"/>
      <c r="V22" s="1574"/>
      <c r="W22" s="1575"/>
      <c r="X22" s="1568"/>
      <c r="Y22" s="3396"/>
      <c r="Z22" s="1576"/>
      <c r="AA22" s="1577">
        <v>1</v>
      </c>
      <c r="AB22" s="1577">
        <v>1</v>
      </c>
      <c r="AC22" s="1577">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97</v>
      </c>
      <c r="G23" s="564"/>
      <c r="H23" s="561">
        <f>SUMIF(96:96,G24,97:97)-SUMIF(96:96,C24,97:97)+100</f>
        <v>97</v>
      </c>
      <c r="I23" s="566"/>
      <c r="J23" s="561">
        <f>SUMIF(96:96,I24,97:97)-SUMIF(96:96,C24,97:97)+100</f>
        <v>97</v>
      </c>
      <c r="K23" s="537">
        <v>3</v>
      </c>
      <c r="L23" s="2144"/>
      <c r="M23" s="2134"/>
      <c r="N23" s="2134"/>
      <c r="O23" s="2143"/>
      <c r="P23" s="3396"/>
      <c r="Q23" s="1573" t="str">
        <f>B23</f>
        <v>交通便捷度</v>
      </c>
      <c r="R23" s="1574" t="s">
        <v>8</v>
      </c>
      <c r="S23" s="1575">
        <f>F23</f>
        <v>97</v>
      </c>
      <c r="T23" s="1574" t="s">
        <v>8</v>
      </c>
      <c r="U23" s="1575">
        <f>H23</f>
        <v>97</v>
      </c>
      <c r="V23" s="1574" t="s">
        <v>8</v>
      </c>
      <c r="W23" s="1575">
        <f>J23</f>
        <v>97</v>
      </c>
      <c r="X23" s="1568"/>
      <c r="Y23" s="3396"/>
      <c r="Z23" s="1576" t="str">
        <f>Q23</f>
        <v>交通便捷度</v>
      </c>
      <c r="AA23" s="1577">
        <f t="shared" si="3"/>
        <v>1.0309278350515463</v>
      </c>
      <c r="AB23" s="1577">
        <f t="shared" si="4"/>
        <v>1.0309278350515463</v>
      </c>
      <c r="AC23" s="1577">
        <f t="shared" si="5"/>
        <v>1.0309278350515463</v>
      </c>
    </row>
    <row r="24" spans="1:29" ht="20.25">
      <c r="A24" s="534"/>
      <c r="B24" s="580"/>
      <c r="C24" s="556" t="s">
        <v>3008</v>
      </c>
      <c r="D24" s="559"/>
      <c r="E24" s="556" t="s">
        <v>3087</v>
      </c>
      <c r="F24" s="557"/>
      <c r="G24" s="556" t="s">
        <v>3087</v>
      </c>
      <c r="H24" s="557"/>
      <c r="I24" s="556" t="s">
        <v>3087</v>
      </c>
      <c r="J24" s="557"/>
      <c r="K24" s="533"/>
      <c r="L24" s="2144"/>
      <c r="M24" s="2134"/>
      <c r="N24" s="2134"/>
      <c r="O24" s="2143"/>
      <c r="P24" s="3396"/>
      <c r="Q24" s="1573"/>
      <c r="R24" s="1574"/>
      <c r="S24" s="1575"/>
      <c r="T24" s="1574"/>
      <c r="U24" s="1575"/>
      <c r="V24" s="1574"/>
      <c r="W24" s="1575"/>
      <c r="X24" s="1568"/>
      <c r="Y24" s="3396"/>
      <c r="Z24" s="1576"/>
      <c r="AA24" s="1577">
        <v>1</v>
      </c>
      <c r="AB24" s="1577">
        <v>1</v>
      </c>
      <c r="AC24" s="1577">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7"/>
      <c r="B26" s="1008"/>
      <c r="C26" s="556" t="s">
        <v>3008</v>
      </c>
      <c r="D26" s="559"/>
      <c r="E26" s="556" t="s">
        <v>3008</v>
      </c>
      <c r="F26" s="557"/>
      <c r="G26" s="556" t="s">
        <v>3008</v>
      </c>
      <c r="H26" s="557"/>
      <c r="I26" s="556" t="s">
        <v>3008</v>
      </c>
      <c r="J26" s="557"/>
      <c r="K26" s="533"/>
      <c r="L26" s="2144"/>
      <c r="M26" s="2134"/>
      <c r="N26" s="2134"/>
      <c r="O26" s="2143"/>
      <c r="P26" s="3396"/>
      <c r="Q26" s="1573"/>
      <c r="R26" s="1574"/>
      <c r="S26" s="1575"/>
      <c r="T26" s="1574"/>
      <c r="U26" s="1575"/>
      <c r="V26" s="1574"/>
      <c r="W26" s="1575"/>
      <c r="X26" s="1568"/>
      <c r="Y26" s="3396"/>
      <c r="Z26" s="1576"/>
      <c r="AA26" s="1577"/>
      <c r="AB26" s="1577"/>
      <c r="AC26" s="1577"/>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5</v>
      </c>
      <c r="L27" s="2144"/>
      <c r="M27" s="2134"/>
      <c r="N27" s="2134"/>
      <c r="O27" s="2143"/>
      <c r="P27" s="3396"/>
      <c r="Q27" s="1573" t="str">
        <f t="shared" si="8"/>
        <v>自然及人文环境状况</v>
      </c>
      <c r="R27" s="1574" t="s">
        <v>8</v>
      </c>
      <c r="S27" s="1575">
        <f>F27</f>
        <v>100</v>
      </c>
      <c r="T27" s="1574" t="s">
        <v>8</v>
      </c>
      <c r="U27" s="1575">
        <f>H27</f>
        <v>100</v>
      </c>
      <c r="V27" s="1574" t="s">
        <v>8</v>
      </c>
      <c r="W27" s="1575">
        <f>J27</f>
        <v>100</v>
      </c>
      <c r="X27" s="1568"/>
      <c r="Y27" s="3396"/>
      <c r="Z27" s="1576" t="str">
        <f>Q27</f>
        <v>自然及人文环境状况</v>
      </c>
      <c r="AA27" s="1577">
        <f t="shared" si="3"/>
        <v>1</v>
      </c>
      <c r="AB27" s="1577">
        <f t="shared" si="4"/>
        <v>1</v>
      </c>
      <c r="AC27" s="1577">
        <f t="shared" si="5"/>
        <v>1</v>
      </c>
    </row>
    <row r="28" spans="1:29" ht="20.25">
      <c r="A28" s="517"/>
      <c r="B28" s="568"/>
      <c r="C28" s="556" t="s">
        <v>3008</v>
      </c>
      <c r="D28" s="559"/>
      <c r="E28" s="556" t="s">
        <v>3008</v>
      </c>
      <c r="F28" s="557"/>
      <c r="G28" s="556" t="s">
        <v>3008</v>
      </c>
      <c r="H28" s="557"/>
      <c r="I28" s="556" t="s">
        <v>3008</v>
      </c>
      <c r="J28" s="557"/>
      <c r="K28" s="533"/>
      <c r="L28" s="2144"/>
      <c r="M28" s="2134"/>
      <c r="N28" s="2134"/>
      <c r="O28" s="2143"/>
      <c r="P28" s="3396"/>
      <c r="Q28" s="1573"/>
      <c r="R28" s="1574"/>
      <c r="S28" s="1575"/>
      <c r="T28" s="1574"/>
      <c r="U28" s="1575"/>
      <c r="V28" s="1574"/>
      <c r="W28" s="1575"/>
      <c r="X28" s="1568"/>
      <c r="Y28" s="3396"/>
      <c r="Z28" s="1576"/>
      <c r="AA28" s="1577">
        <v>1</v>
      </c>
      <c r="AB28" s="1577">
        <v>1</v>
      </c>
      <c r="AC28" s="1577">
        <v>1</v>
      </c>
    </row>
    <row r="29" spans="1:29" s="1221" customFormat="1" ht="42.75">
      <c r="A29" s="579"/>
      <c r="B29" s="2617" t="s">
        <v>2555</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396"/>
      <c r="Q29" s="1152" t="str">
        <f t="shared" si="8"/>
        <v>公共配套设施</v>
      </c>
      <c r="R29" s="1569" t="s">
        <v>8</v>
      </c>
      <c r="S29" s="1570">
        <f>F29</f>
        <v>100</v>
      </c>
      <c r="T29" s="1569" t="s">
        <v>8</v>
      </c>
      <c r="U29" s="1570">
        <f>H29</f>
        <v>100</v>
      </c>
      <c r="V29" s="1569" t="s">
        <v>8</v>
      </c>
      <c r="W29" s="1570">
        <f>J29</f>
        <v>100</v>
      </c>
      <c r="X29" s="1571"/>
      <c r="Y29" s="3396"/>
      <c r="Z29" s="1151" t="str">
        <f>Q29</f>
        <v>公共配套设施</v>
      </c>
      <c r="AA29" s="1577">
        <f>D29/F29</f>
        <v>1</v>
      </c>
      <c r="AB29" s="1577">
        <f>D29/H29</f>
        <v>1</v>
      </c>
      <c r="AC29" s="1577">
        <f>D29/J29</f>
        <v>1</v>
      </c>
    </row>
    <row r="30" spans="1:29" s="1221" customFormat="1" ht="20.25">
      <c r="A30" s="579"/>
      <c r="B30" s="568"/>
      <c r="C30" s="556" t="s">
        <v>3008</v>
      </c>
      <c r="D30" s="559"/>
      <c r="E30" s="556" t="s">
        <v>3008</v>
      </c>
      <c r="F30" s="557"/>
      <c r="G30" s="556" t="s">
        <v>3008</v>
      </c>
      <c r="H30" s="557"/>
      <c r="I30" s="556" t="s">
        <v>3008</v>
      </c>
      <c r="J30" s="557"/>
      <c r="K30" s="533"/>
      <c r="L30" s="2137"/>
      <c r="M30" s="2134"/>
      <c r="N30" s="2134"/>
      <c r="O30" s="2139"/>
      <c r="P30" s="3396"/>
      <c r="Q30" s="1152"/>
      <c r="R30" s="1569"/>
      <c r="S30" s="1570"/>
      <c r="T30" s="1569"/>
      <c r="U30" s="1570"/>
      <c r="V30" s="1569"/>
      <c r="W30" s="1570"/>
      <c r="X30" s="1571"/>
      <c r="Y30" s="3396"/>
      <c r="Z30" s="1151"/>
      <c r="AA30" s="1577">
        <v>1</v>
      </c>
      <c r="AB30" s="1577">
        <v>1</v>
      </c>
      <c r="AC30" s="1577">
        <v>1</v>
      </c>
    </row>
    <row r="31" spans="1:29" s="1221" customFormat="1" ht="28.5">
      <c r="A31" s="579"/>
      <c r="B31" s="2617" t="s">
        <v>2556</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396"/>
      <c r="Q31" s="2604" t="str">
        <f t="shared" ref="Q31" si="9">B31</f>
        <v>基础设施水平</v>
      </c>
      <c r="R31" s="1569" t="s">
        <v>8</v>
      </c>
      <c r="S31" s="1570">
        <f>F31</f>
        <v>100</v>
      </c>
      <c r="T31" s="1569" t="s">
        <v>8</v>
      </c>
      <c r="U31" s="1570">
        <f>H31</f>
        <v>100</v>
      </c>
      <c r="V31" s="1569" t="s">
        <v>8</v>
      </c>
      <c r="W31" s="1570">
        <f>J31</f>
        <v>100</v>
      </c>
      <c r="X31" s="1571"/>
      <c r="Y31" s="3396"/>
      <c r="Z31" s="2601" t="str">
        <f>Q31</f>
        <v>基础设施水平</v>
      </c>
      <c r="AA31" s="1577">
        <f>D31/F31</f>
        <v>1</v>
      </c>
      <c r="AB31" s="1577">
        <f>D31/H31</f>
        <v>1</v>
      </c>
      <c r="AC31" s="1577">
        <f>D31/J31</f>
        <v>1</v>
      </c>
    </row>
    <row r="32" spans="1:29" s="1221" customFormat="1" ht="20.25">
      <c r="A32" s="579"/>
      <c r="B32" s="568"/>
      <c r="C32" s="581" t="s">
        <v>3063</v>
      </c>
      <c r="D32" s="559"/>
      <c r="E32" s="581" t="s">
        <v>3063</v>
      </c>
      <c r="F32" s="557"/>
      <c r="G32" s="581" t="s">
        <v>3063</v>
      </c>
      <c r="H32" s="557"/>
      <c r="I32" s="581" t="s">
        <v>3063</v>
      </c>
      <c r="J32" s="557"/>
      <c r="K32" s="533"/>
      <c r="L32" s="2137"/>
      <c r="M32" s="2134"/>
      <c r="N32" s="2134"/>
      <c r="O32" s="2139"/>
      <c r="P32" s="3396"/>
      <c r="Q32" s="2604"/>
      <c r="R32" s="1569"/>
      <c r="S32" s="1570"/>
      <c r="T32" s="1569"/>
      <c r="U32" s="1570"/>
      <c r="V32" s="1569"/>
      <c r="W32" s="1570"/>
      <c r="X32" s="1571"/>
      <c r="Y32" s="3396"/>
      <c r="Z32" s="2601"/>
      <c r="AA32" s="1577">
        <v>1</v>
      </c>
      <c r="AB32" s="1577">
        <v>1</v>
      </c>
      <c r="AC32" s="1577">
        <v>1</v>
      </c>
    </row>
    <row r="33" spans="1:29" ht="20.25">
      <c r="A33" s="534"/>
      <c r="B33" s="568" t="s">
        <v>548</v>
      </c>
      <c r="C33" s="582" t="s">
        <v>3010</v>
      </c>
      <c r="D33" s="577">
        <v>100</v>
      </c>
      <c r="E33" s="582" t="s">
        <v>3010</v>
      </c>
      <c r="F33" s="542">
        <f>SUMIF(106:106,E33,107:107)-SUMIF(106:106,C33,107:107)+100</f>
        <v>100</v>
      </c>
      <c r="G33" s="582" t="s">
        <v>3010</v>
      </c>
      <c r="H33" s="542">
        <f>SUMIF(106:106,G33,107:107)-SUMIF(106:106,C33,107:107)+100</f>
        <v>100</v>
      </c>
      <c r="I33" s="582" t="s">
        <v>3010</v>
      </c>
      <c r="J33" s="542">
        <f>SUMIF(106:106,I33,107:107)-SUMIF(106:106,C33,107:107)+100</f>
        <v>100</v>
      </c>
      <c r="K33" s="537">
        <v>1</v>
      </c>
      <c r="L33" s="2144"/>
      <c r="M33" s="2134"/>
      <c r="N33" s="2134"/>
      <c r="O33" s="2143"/>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v>2</v>
      </c>
      <c r="L34" s="2144"/>
      <c r="M34" s="2134"/>
      <c r="N34" s="2134"/>
      <c r="O34" s="2143"/>
      <c r="P34" s="3396"/>
      <c r="Q34" s="1573" t="str">
        <f t="shared" si="8"/>
        <v>毗邻道路的类型与等级</v>
      </c>
      <c r="R34" s="1574" t="s">
        <v>8</v>
      </c>
      <c r="S34" s="1575">
        <f t="shared" si="10"/>
        <v>100</v>
      </c>
      <c r="T34" s="1574" t="s">
        <v>8</v>
      </c>
      <c r="U34" s="1575">
        <f t="shared" si="11"/>
        <v>100</v>
      </c>
      <c r="V34" s="1574" t="s">
        <v>8</v>
      </c>
      <c r="W34" s="1575">
        <f t="shared" si="12"/>
        <v>100</v>
      </c>
      <c r="X34" s="1568"/>
      <c r="Y34" s="3396"/>
      <c r="Z34" s="1576" t="str">
        <f t="shared" si="13"/>
        <v>毗邻道路的类型与等级</v>
      </c>
      <c r="AA34" s="1577">
        <f t="shared" si="3"/>
        <v>1</v>
      </c>
      <c r="AB34" s="1577">
        <f t="shared" si="4"/>
        <v>1</v>
      </c>
      <c r="AC34" s="1577">
        <f t="shared" si="5"/>
        <v>1</v>
      </c>
    </row>
    <row r="35" spans="1:29" ht="21" thickBot="1">
      <c r="A35" s="534"/>
      <c r="B35" s="568"/>
      <c r="C35" s="556" t="s">
        <v>3011</v>
      </c>
      <c r="D35" s="559"/>
      <c r="E35" s="556" t="s">
        <v>3011</v>
      </c>
      <c r="F35" s="557"/>
      <c r="G35" s="556" t="s">
        <v>3011</v>
      </c>
      <c r="H35" s="557"/>
      <c r="I35" s="556" t="s">
        <v>3011</v>
      </c>
      <c r="J35" s="557"/>
      <c r="K35" s="583"/>
      <c r="L35" s="2144"/>
      <c r="M35" s="2134"/>
      <c r="N35" s="2134"/>
      <c r="O35" s="2143"/>
      <c r="P35" s="3396"/>
      <c r="Q35" s="1573"/>
      <c r="R35" s="1574"/>
      <c r="S35" s="1575"/>
      <c r="T35" s="1574"/>
      <c r="U35" s="1575"/>
      <c r="V35" s="1574"/>
      <c r="W35" s="1575"/>
      <c r="X35" s="1568"/>
      <c r="Y35" s="3396"/>
      <c r="Z35" s="1576"/>
      <c r="AA35" s="1577">
        <v>1</v>
      </c>
      <c r="AB35" s="1577">
        <v>1</v>
      </c>
      <c r="AC35" s="1577">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396"/>
      <c r="Q37" s="1573">
        <f t="shared" si="8"/>
        <v>0</v>
      </c>
      <c r="R37" s="1574" t="s">
        <v>8</v>
      </c>
      <c r="S37" s="1575">
        <f t="shared" si="10"/>
        <v>100</v>
      </c>
      <c r="T37" s="1574" t="s">
        <v>8</v>
      </c>
      <c r="U37" s="1575">
        <f t="shared" si="11"/>
        <v>100</v>
      </c>
      <c r="V37" s="1574" t="s">
        <v>8</v>
      </c>
      <c r="W37" s="1575">
        <f t="shared" si="12"/>
        <v>100</v>
      </c>
      <c r="X37" s="1568"/>
      <c r="Y37" s="3396"/>
      <c r="Z37" s="1576">
        <f t="shared" si="13"/>
        <v>0</v>
      </c>
      <c r="AA37" s="1577">
        <f t="shared" si="3"/>
        <v>1</v>
      </c>
      <c r="AB37" s="1577">
        <f t="shared" si="4"/>
        <v>1</v>
      </c>
      <c r="AC37" s="1577">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397" t="s">
        <v>551</v>
      </c>
      <c r="Q38" s="1573">
        <f t="shared" si="8"/>
        <v>0</v>
      </c>
      <c r="R38" s="1574" t="s">
        <v>8</v>
      </c>
      <c r="S38" s="1575">
        <f t="shared" si="10"/>
        <v>100</v>
      </c>
      <c r="T38" s="1574" t="s">
        <v>8</v>
      </c>
      <c r="U38" s="1575">
        <f t="shared" si="11"/>
        <v>100</v>
      </c>
      <c r="V38" s="1574" t="s">
        <v>8</v>
      </c>
      <c r="W38" s="1575">
        <f t="shared" si="12"/>
        <v>100</v>
      </c>
      <c r="X38" s="1568"/>
      <c r="Y38" s="3398" t="s">
        <v>551</v>
      </c>
      <c r="Z38" s="1576">
        <f t="shared" si="13"/>
        <v>0</v>
      </c>
      <c r="AA38" s="1577">
        <f t="shared" si="3"/>
        <v>1</v>
      </c>
      <c r="AB38" s="1577">
        <f t="shared" si="4"/>
        <v>1</v>
      </c>
      <c r="AC38" s="1577">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398"/>
      <c r="Q39" s="1573">
        <f t="shared" si="8"/>
        <v>0</v>
      </c>
      <c r="R39" s="1578" t="s">
        <v>8</v>
      </c>
      <c r="S39" s="1579">
        <f t="shared" si="10"/>
        <v>100</v>
      </c>
      <c r="T39" s="1578" t="s">
        <v>8</v>
      </c>
      <c r="U39" s="1579">
        <f t="shared" si="11"/>
        <v>100</v>
      </c>
      <c r="V39" s="1578" t="s">
        <v>8</v>
      </c>
      <c r="W39" s="1579">
        <f t="shared" si="12"/>
        <v>100</v>
      </c>
      <c r="X39" s="1580"/>
      <c r="Y39" s="3398"/>
      <c r="Z39" s="1581">
        <f t="shared" si="13"/>
        <v>0</v>
      </c>
      <c r="AA39" s="1577">
        <f t="shared" si="3"/>
        <v>1</v>
      </c>
      <c r="AB39" s="1577">
        <f t="shared" si="4"/>
        <v>1</v>
      </c>
      <c r="AC39" s="1577">
        <f t="shared" si="5"/>
        <v>1</v>
      </c>
    </row>
    <row r="40" spans="1:29" ht="20.25">
      <c r="A40" s="2935" t="s">
        <v>2764</v>
      </c>
      <c r="B40" s="597" t="s">
        <v>553</v>
      </c>
      <c r="C40" s="598">
        <f>'数据-基础表'!A3</f>
        <v>48543</v>
      </c>
      <c r="D40" s="599">
        <v>100</v>
      </c>
      <c r="E40" s="598">
        <v>143152</v>
      </c>
      <c r="F40" s="599">
        <f>LOOKUP(E40,119:119,120:120)-LOOKUP(C40,119:119,120:120)+100</f>
        <v>104</v>
      </c>
      <c r="G40" s="598">
        <v>38232</v>
      </c>
      <c r="H40" s="599">
        <f>LOOKUP(G40,119:119,120:120)-LOOKUP(C40,119:119,120:120)+100</f>
        <v>100</v>
      </c>
      <c r="I40" s="600">
        <v>74357</v>
      </c>
      <c r="J40" s="599">
        <f>LOOKUP(I40,119:119,120:120)-LOOKUP(C40,119:119,120:120)+100</f>
        <v>102</v>
      </c>
      <c r="K40" s="583"/>
      <c r="L40" s="2144"/>
      <c r="M40" s="2134"/>
      <c r="N40" s="2134"/>
      <c r="O40" s="2143"/>
      <c r="P40" s="3398"/>
      <c r="Q40" s="1573" t="str">
        <f>B40</f>
        <v>宗地面积</v>
      </c>
      <c r="R40" s="1574" t="s">
        <v>8</v>
      </c>
      <c r="S40" s="1575">
        <f t="shared" si="10"/>
        <v>104</v>
      </c>
      <c r="T40" s="1574" t="s">
        <v>8</v>
      </c>
      <c r="U40" s="1575">
        <f t="shared" si="11"/>
        <v>100</v>
      </c>
      <c r="V40" s="1574" t="s">
        <v>8</v>
      </c>
      <c r="W40" s="1575">
        <f t="shared" si="12"/>
        <v>102</v>
      </c>
      <c r="X40" s="1568"/>
      <c r="Y40" s="3398"/>
      <c r="Z40" s="1576" t="str">
        <f t="shared" si="13"/>
        <v>宗地面积</v>
      </c>
      <c r="AA40" s="1577">
        <f t="shared" si="3"/>
        <v>0.96153846153846156</v>
      </c>
      <c r="AB40" s="1577">
        <f t="shared" si="4"/>
        <v>1</v>
      </c>
      <c r="AC40" s="1577">
        <f t="shared" si="5"/>
        <v>0.98039215686274506</v>
      </c>
    </row>
    <row r="41" spans="1:29" ht="20.25">
      <c r="A41" s="596"/>
      <c r="B41" s="529" t="s">
        <v>554</v>
      </c>
      <c r="C41" s="601" t="s">
        <v>3012</v>
      </c>
      <c r="D41" s="542">
        <v>100</v>
      </c>
      <c r="E41" s="601" t="s">
        <v>3012</v>
      </c>
      <c r="F41" s="542">
        <f>SUMIF(121:121,E41,122:122)-SUMIF(121:121,C41,122:122)+100</f>
        <v>100</v>
      </c>
      <c r="G41" s="601" t="s">
        <v>3012</v>
      </c>
      <c r="H41" s="542">
        <f>SUMIF(121:121,G41,122:122)-SUMIF(121:121,C41,122:122)+100</f>
        <v>100</v>
      </c>
      <c r="I41" s="601" t="s">
        <v>3012</v>
      </c>
      <c r="J41" s="542">
        <f>SUMIF(121:121,I41,122:122)-SUMIF(121:121,C41,122:122)+100</f>
        <v>100</v>
      </c>
      <c r="K41" s="586">
        <v>1</v>
      </c>
      <c r="L41" s="2144"/>
      <c r="M41" s="2134"/>
      <c r="N41" s="2134"/>
      <c r="O41" s="2143"/>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6"/>
      <c r="B42" s="529" t="s">
        <v>555</v>
      </c>
      <c r="C42" s="601" t="s">
        <v>3013</v>
      </c>
      <c r="D42" s="542">
        <v>100</v>
      </c>
      <c r="E42" s="601" t="s">
        <v>3013</v>
      </c>
      <c r="F42" s="542">
        <f>SUMIF(123:123,E42,124:124)-SUMIF(123:123,C42,124:124)+100</f>
        <v>100</v>
      </c>
      <c r="G42" s="601" t="s">
        <v>3013</v>
      </c>
      <c r="H42" s="542">
        <f>SUMIF(123:123,G42,124:124)-SUMIF(123:123,C42,124:124)+100</f>
        <v>100</v>
      </c>
      <c r="I42" s="601" t="s">
        <v>3013</v>
      </c>
      <c r="J42" s="542">
        <f>SUMIF(123:123,I42,124:124)-SUMIF(123:123,C42,124:124)+100</f>
        <v>100</v>
      </c>
      <c r="K42" s="586">
        <v>0</v>
      </c>
      <c r="L42" s="2144"/>
      <c r="M42" s="2134"/>
      <c r="N42" s="2134"/>
      <c r="O42" s="2143"/>
      <c r="P42" s="3398"/>
      <c r="Q42" s="1573" t="str">
        <f t="shared" si="14"/>
        <v>临街宽度及深度</v>
      </c>
      <c r="R42" s="1574" t="s">
        <v>8</v>
      </c>
      <c r="S42" s="1575">
        <f t="shared" si="10"/>
        <v>100</v>
      </c>
      <c r="T42" s="1574" t="s">
        <v>8</v>
      </c>
      <c r="U42" s="1575">
        <f t="shared" si="11"/>
        <v>100</v>
      </c>
      <c r="V42" s="1574" t="s">
        <v>8</v>
      </c>
      <c r="W42" s="1575">
        <f t="shared" si="12"/>
        <v>100</v>
      </c>
      <c r="X42" s="1568"/>
      <c r="Y42" s="3398"/>
      <c r="Z42" s="1576" t="str">
        <f t="shared" si="13"/>
        <v>临街宽度及深度</v>
      </c>
      <c r="AA42" s="1577">
        <f t="shared" si="3"/>
        <v>1</v>
      </c>
      <c r="AB42" s="1577">
        <f t="shared" si="4"/>
        <v>1</v>
      </c>
      <c r="AC42" s="1577">
        <f t="shared" si="5"/>
        <v>1</v>
      </c>
    </row>
    <row r="43" spans="1:29" s="1221" customFormat="1" ht="20.25">
      <c r="A43" s="602"/>
      <c r="B43" s="1897" t="s">
        <v>2429</v>
      </c>
      <c r="C43" s="603" t="s">
        <v>3062</v>
      </c>
      <c r="D43" s="254">
        <v>100</v>
      </c>
      <c r="E43" s="603" t="s">
        <v>3062</v>
      </c>
      <c r="F43" s="542">
        <f>SUMIF(125:125,E43,126:126)-SUMIF(125:125,C43,126:126)+100</f>
        <v>100</v>
      </c>
      <c r="G43" s="603" t="s">
        <v>3062</v>
      </c>
      <c r="H43" s="542">
        <f>SUMIF(125:125,G43,126:126)-SUMIF(125:125,C43,126:126)+100</f>
        <v>100</v>
      </c>
      <c r="I43" s="603" t="s">
        <v>3062</v>
      </c>
      <c r="J43" s="542">
        <f>SUMIF(125:125,I43,126:126)-SUMIF(125:125,C43,126:126)+100</f>
        <v>100</v>
      </c>
      <c r="K43" s="586">
        <v>1</v>
      </c>
      <c r="L43" s="2137"/>
      <c r="M43" s="2134"/>
      <c r="N43" s="2134"/>
      <c r="O43" s="2139"/>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1" t="str">
        <f t="shared" si="13"/>
        <v>宗地开发程度</v>
      </c>
      <c r="AA43" s="1572">
        <f t="shared" si="3"/>
        <v>1</v>
      </c>
      <c r="AB43" s="1572">
        <f t="shared" si="4"/>
        <v>1</v>
      </c>
      <c r="AC43" s="1572">
        <f t="shared" si="5"/>
        <v>1</v>
      </c>
    </row>
    <row r="44" spans="1:29" ht="21" thickBot="1">
      <c r="A44" s="596"/>
      <c r="B44" s="529" t="s">
        <v>556</v>
      </c>
      <c r="C44" s="601" t="s">
        <v>3008</v>
      </c>
      <c r="D44" s="542">
        <v>100</v>
      </c>
      <c r="E44" s="601" t="s">
        <v>3008</v>
      </c>
      <c r="F44" s="542">
        <f>SUMIF(127:127,E44,128:128)-SUMIF(127:127,C44,128:128)+100</f>
        <v>100</v>
      </c>
      <c r="G44" s="601" t="s">
        <v>3008</v>
      </c>
      <c r="H44" s="542">
        <f>SUMIF(127:127,G44,128:128)-SUMIF(127:127,C44,128:128)+100</f>
        <v>100</v>
      </c>
      <c r="I44" s="601" t="s">
        <v>3008</v>
      </c>
      <c r="J44" s="542">
        <f>SUMIF(127:127,I44,128:128)-SUMIF(127:127,C44,128:128)+100</f>
        <v>100</v>
      </c>
      <c r="K44" s="586">
        <v>1</v>
      </c>
      <c r="L44" s="2144"/>
      <c r="M44" s="2134"/>
      <c r="N44" s="2134"/>
      <c r="O44" s="2143"/>
      <c r="P44" s="3398" t="s">
        <v>551</v>
      </c>
      <c r="Q44" s="1573" t="str">
        <f t="shared" si="14"/>
        <v>工程地质条件</v>
      </c>
      <c r="R44" s="1574" t="s">
        <v>8</v>
      </c>
      <c r="S44" s="1575">
        <f t="shared" si="10"/>
        <v>100</v>
      </c>
      <c r="T44" s="1574" t="s">
        <v>8</v>
      </c>
      <c r="U44" s="1575">
        <f t="shared" si="11"/>
        <v>100</v>
      </c>
      <c r="V44" s="1574" t="s">
        <v>8</v>
      </c>
      <c r="W44" s="1575">
        <f t="shared" si="12"/>
        <v>100</v>
      </c>
      <c r="X44" s="1568"/>
      <c r="Y44" s="3398" t="s">
        <v>551</v>
      </c>
      <c r="Z44" s="1576" t="str">
        <f t="shared" si="13"/>
        <v>工程地质条件</v>
      </c>
      <c r="AA44" s="1577">
        <f t="shared" si="3"/>
        <v>1</v>
      </c>
      <c r="AB44" s="1577">
        <f t="shared" si="4"/>
        <v>1</v>
      </c>
      <c r="AC44" s="1577">
        <f t="shared" si="5"/>
        <v>1</v>
      </c>
    </row>
    <row r="45" spans="1:29" ht="20.25" hidden="1" customHeight="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398"/>
      <c r="Q45" s="1573">
        <f t="shared" si="14"/>
        <v>0</v>
      </c>
      <c r="R45" s="1574" t="s">
        <v>8</v>
      </c>
      <c r="S45" s="1575">
        <f t="shared" si="10"/>
        <v>100</v>
      </c>
      <c r="T45" s="1574" t="s">
        <v>8</v>
      </c>
      <c r="U45" s="1575">
        <f t="shared" si="11"/>
        <v>100</v>
      </c>
      <c r="V45" s="1574" t="s">
        <v>8</v>
      </c>
      <c r="W45" s="1575">
        <f t="shared" si="12"/>
        <v>100</v>
      </c>
      <c r="X45" s="1568"/>
      <c r="Y45" s="3398"/>
      <c r="Z45" s="1576">
        <f t="shared" si="13"/>
        <v>0</v>
      </c>
      <c r="AA45" s="1577">
        <f t="shared" si="3"/>
        <v>1</v>
      </c>
      <c r="AB45" s="1577">
        <f t="shared" si="4"/>
        <v>1</v>
      </c>
      <c r="AC45" s="1577">
        <f t="shared" si="5"/>
        <v>1</v>
      </c>
    </row>
    <row r="46" spans="1:29" ht="20.25" hidden="1" customHeight="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398"/>
      <c r="Q46" s="1573">
        <f t="shared" si="14"/>
        <v>0</v>
      </c>
      <c r="R46" s="1574" t="s">
        <v>8</v>
      </c>
      <c r="S46" s="1575">
        <f t="shared" si="10"/>
        <v>100</v>
      </c>
      <c r="T46" s="1574" t="s">
        <v>8</v>
      </c>
      <c r="U46" s="1575">
        <f t="shared" si="11"/>
        <v>100</v>
      </c>
      <c r="V46" s="1574" t="s">
        <v>8</v>
      </c>
      <c r="W46" s="1575">
        <f t="shared" si="12"/>
        <v>100</v>
      </c>
      <c r="X46" s="1568"/>
      <c r="Y46" s="3398"/>
      <c r="Z46" s="1576">
        <f t="shared" si="13"/>
        <v>0</v>
      </c>
      <c r="AA46" s="1577">
        <f t="shared" si="3"/>
        <v>1</v>
      </c>
      <c r="AB46" s="1577">
        <f t="shared" si="4"/>
        <v>1</v>
      </c>
      <c r="AC46" s="1577">
        <f t="shared" si="5"/>
        <v>1</v>
      </c>
    </row>
    <row r="47" spans="1:29" s="1340" customFormat="1" ht="21" hidden="1" customHeight="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398"/>
      <c r="Q47" s="1573">
        <f t="shared" si="14"/>
        <v>0</v>
      </c>
      <c r="R47" s="1578" t="s">
        <v>8</v>
      </c>
      <c r="S47" s="1579">
        <f t="shared" si="10"/>
        <v>100</v>
      </c>
      <c r="T47" s="1578" t="s">
        <v>8</v>
      </c>
      <c r="U47" s="1579">
        <f t="shared" si="11"/>
        <v>100</v>
      </c>
      <c r="V47" s="1578" t="s">
        <v>8</v>
      </c>
      <c r="W47" s="1579">
        <f t="shared" si="12"/>
        <v>100</v>
      </c>
      <c r="X47" s="1580"/>
      <c r="Y47" s="3398"/>
      <c r="Z47" s="1581">
        <f t="shared" si="13"/>
        <v>0</v>
      </c>
      <c r="AA47" s="1577">
        <f t="shared" si="3"/>
        <v>1</v>
      </c>
      <c r="AB47" s="1577">
        <f t="shared" si="4"/>
        <v>1</v>
      </c>
      <c r="AC47" s="1577">
        <f t="shared" si="5"/>
        <v>1</v>
      </c>
    </row>
    <row r="48" spans="1:29" ht="20.25">
      <c r="A48" s="609" t="s">
        <v>557</v>
      </c>
      <c r="B48" s="610" t="s">
        <v>3014</v>
      </c>
      <c r="C48" s="611" t="s">
        <v>1</v>
      </c>
      <c r="D48" s="612"/>
      <c r="E48" s="613">
        <f>ROUND(8107.03,0)</f>
        <v>8107</v>
      </c>
      <c r="F48" s="614"/>
      <c r="G48" s="615">
        <f>ROUND(8495.01,0)</f>
        <v>8495</v>
      </c>
      <c r="H48" s="616"/>
      <c r="I48" s="613">
        <f>ROUND(8670.15,0)</f>
        <v>8670</v>
      </c>
      <c r="J48" s="616"/>
      <c r="K48" s="1341"/>
      <c r="L48" s="2146"/>
      <c r="M48" s="2134"/>
      <c r="N48" s="2134"/>
      <c r="O48" s="2147"/>
      <c r="P48" s="3359" t="str">
        <f>A48</f>
        <v>成交单价</v>
      </c>
      <c r="Q48" s="3359"/>
      <c r="R48" s="3360">
        <f>E48</f>
        <v>8107</v>
      </c>
      <c r="S48" s="3360"/>
      <c r="T48" s="3360">
        <f>G48</f>
        <v>8495</v>
      </c>
      <c r="U48" s="3360"/>
      <c r="V48" s="3360">
        <f>I48</f>
        <v>8670</v>
      </c>
      <c r="W48" s="3360"/>
      <c r="X48" s="1560"/>
      <c r="Y48" s="1582"/>
      <c r="Z48" s="1560"/>
      <c r="AA48" s="1560"/>
      <c r="AB48" s="1560"/>
      <c r="AC48" s="1560"/>
    </row>
    <row r="49" spans="1:29" ht="21" thickBot="1">
      <c r="A49" s="617" t="s">
        <v>2702</v>
      </c>
      <c r="B49" s="618"/>
      <c r="C49" s="619">
        <f>R50</f>
        <v>9218</v>
      </c>
      <c r="D49" s="620"/>
      <c r="E49" s="619">
        <f>R49</f>
        <v>9111</v>
      </c>
      <c r="F49" s="621"/>
      <c r="G49" s="622">
        <f>T49</f>
        <v>8936</v>
      </c>
      <c r="H49" s="620"/>
      <c r="I49" s="619">
        <f>V49</f>
        <v>9608</v>
      </c>
      <c r="J49" s="620"/>
      <c r="K49" s="1342"/>
      <c r="L49" s="2146"/>
      <c r="M49" s="2134"/>
      <c r="N49" s="2134"/>
      <c r="O49" s="2147"/>
      <c r="P49" s="3359" t="str">
        <f>A49</f>
        <v>比较价格（元/平方米）</v>
      </c>
      <c r="Q49" s="3359"/>
      <c r="R49" s="3361">
        <f>ROUND(PRODUCT(R48,AA9:AA47),0)</f>
        <v>9111</v>
      </c>
      <c r="S49" s="3361"/>
      <c r="T49" s="3361">
        <f>ROUND(PRODUCT(T48,AB9:AB47),0)</f>
        <v>8936</v>
      </c>
      <c r="U49" s="3361"/>
      <c r="V49" s="3361">
        <f>ROUND(PRODUCT(V48,AC9:AC47),0)</f>
        <v>9608</v>
      </c>
      <c r="W49" s="3361"/>
      <c r="X49" s="1560"/>
      <c r="Y49" s="1560"/>
      <c r="Z49" s="1560"/>
      <c r="AA49" s="1560"/>
      <c r="AB49" s="1560"/>
      <c r="AC49" s="1560"/>
    </row>
    <row r="50" spans="1:29" ht="21" thickBot="1">
      <c r="A50" s="623" t="s">
        <v>2936</v>
      </c>
      <c r="B50" s="624"/>
      <c r="C50" s="625">
        <f>R50</f>
        <v>9218</v>
      </c>
      <c r="D50" s="625"/>
      <c r="E50" s="625"/>
      <c r="F50" s="625"/>
      <c r="G50" s="625"/>
      <c r="H50" s="625"/>
      <c r="I50" s="625"/>
      <c r="J50" s="625"/>
      <c r="K50" s="1343"/>
      <c r="L50" s="2146"/>
      <c r="M50" s="2134"/>
      <c r="N50" s="2134"/>
      <c r="O50" s="2147"/>
      <c r="P50" s="3356" t="str">
        <f>A50</f>
        <v>估价对象XX用房的比较价格（楼面单价，元/平方米）</v>
      </c>
      <c r="Q50" s="3357"/>
      <c r="R50" s="3358">
        <f>ROUND(AVERAGE(R49:V49),0)</f>
        <v>9218</v>
      </c>
      <c r="S50" s="3358"/>
      <c r="T50" s="3358"/>
      <c r="U50" s="3358"/>
      <c r="V50" s="3358"/>
      <c r="W50" s="335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0.12384359195756756</v>
      </c>
      <c r="F53" s="629" t="str">
        <f>IF(OR(E53&gt;=0.3,E53&lt;=-0.3),"超过30%","")</f>
        <v/>
      </c>
      <c r="G53" s="628">
        <f>IF(G48&lt;G49,G49/G48-1,G48/G49-1)</f>
        <v>5.1912889935256112E-2</v>
      </c>
      <c r="H53" s="629" t="str">
        <f>IF(OR(G53&gt;=0.3,G53&lt;=-0.3),"超过30%","")</f>
        <v/>
      </c>
      <c r="I53" s="628">
        <f>IF(I48&lt;I49,I49/I48-1,I48/I49-1)</f>
        <v>0.10818915801614759</v>
      </c>
      <c r="J53" s="629"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1.958370635631157E-2</v>
      </c>
      <c r="F54" s="629" t="str">
        <f>IF(OR(E54&gt;=0.2,E54&lt;=-0.2),"超过20%","")</f>
        <v/>
      </c>
      <c r="G54" s="628">
        <f>IF(G49&lt;I49,I49/G49-1,G49/I49-1)</f>
        <v>7.5201432408236402E-2</v>
      </c>
      <c r="H54" s="629" t="str">
        <f>IF(OR(G54&gt;=0.2,G54&lt;=-0.2),"超过20%","")</f>
        <v/>
      </c>
      <c r="I54" s="628">
        <f>IF(I49&lt;E49,E49/I49-1,I49/E49-1)</f>
        <v>5.4549445724947798E-2</v>
      </c>
      <c r="J54" s="629"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4.7859874182804907E-2</v>
      </c>
      <c r="F55" s="629" t="str">
        <f>IF(OR(E55&gt;=0.3,E55&lt;=-0.3),"超过30%","")</f>
        <v/>
      </c>
      <c r="G55" s="628">
        <f>IF(G48&lt;I48,I48/G48-1,G48/I48-1)</f>
        <v>2.0600353148911177E-2</v>
      </c>
      <c r="H55" s="629" t="str">
        <f>IF(OR(G55&gt;=0.3,G55&lt;=-0.3),"超过30%","")</f>
        <v/>
      </c>
      <c r="I55" s="628">
        <f>IF(I48&lt;E48,E48/I48-1,I48/E48-1)</f>
        <v>6.9446157641544382E-2</v>
      </c>
      <c r="J55" s="629"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1" t="s">
        <v>561</v>
      </c>
      <c r="B57" s="632" t="s">
        <v>562</v>
      </c>
      <c r="C57" s="1561" t="s">
        <v>1726</v>
      </c>
      <c r="D57" s="2229" t="s">
        <v>2297</v>
      </c>
      <c r="E57" s="633" t="s">
        <v>563</v>
      </c>
      <c r="F57" s="634" t="s">
        <v>564</v>
      </c>
      <c r="G57" s="3387" t="s">
        <v>2285</v>
      </c>
      <c r="H57" s="3388"/>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9218</v>
      </c>
      <c r="C58" s="637">
        <v>1</v>
      </c>
      <c r="D58" s="2230">
        <v>1</v>
      </c>
      <c r="E58" s="637">
        <f>'数据-汇总表'!E8+'数据-汇总表'!E9</f>
        <v>31546.169999999991</v>
      </c>
      <c r="F58" s="638">
        <f t="shared" ref="F58:F67" si="15">ROUND(B58*E58/10000,0)</f>
        <v>29079</v>
      </c>
      <c r="G58" s="3389"/>
      <c r="H58" s="339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391"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39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39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39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2332</v>
      </c>
      <c r="B63" s="640">
        <f t="shared" si="17"/>
        <v>0</v>
      </c>
      <c r="C63" s="380">
        <f t="shared" si="16"/>
        <v>0</v>
      </c>
      <c r="D63" s="2231">
        <v>0.25</v>
      </c>
      <c r="E63" s="643">
        <f>'数据-汇总表'!E11</f>
        <v>0</v>
      </c>
      <c r="F63" s="638">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0</v>
      </c>
      <c r="F65" s="638">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2298</v>
      </c>
      <c r="E68" s="645">
        <f>IF(B48="楼面地价",SUM(E58:E67),'数据-汇总表'!D3)</f>
        <v>31546.169999999991</v>
      </c>
      <c r="F68" s="646">
        <f>IF(B48="楼面地价",SUM(F58:F67),ROUND(C50*E68/10000,0))</f>
        <v>29079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2018-1-1</v>
      </c>
      <c r="D70" s="2827">
        <f>EDATE(C70,-3)</f>
        <v>43009</v>
      </c>
      <c r="E70" s="2827">
        <f t="shared" ref="E70:N70" si="18">EDATE(D70,-3)</f>
        <v>42917</v>
      </c>
      <c r="F70" s="2827">
        <f t="shared" si="18"/>
        <v>42826</v>
      </c>
      <c r="G70" s="2827">
        <f t="shared" si="18"/>
        <v>42736</v>
      </c>
      <c r="H70" s="2827">
        <f t="shared" si="18"/>
        <v>42644</v>
      </c>
      <c r="I70" s="2827">
        <f t="shared" si="18"/>
        <v>42552</v>
      </c>
      <c r="J70" s="2827">
        <f t="shared" si="18"/>
        <v>42461</v>
      </c>
      <c r="K70" s="2827">
        <f t="shared" si="18"/>
        <v>42370</v>
      </c>
      <c r="L70" s="2827">
        <f t="shared" si="18"/>
        <v>42278</v>
      </c>
      <c r="M70" s="2827">
        <f t="shared" si="18"/>
        <v>42186</v>
      </c>
      <c r="N70" s="2827">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1" t="str">
        <f>"北京市平均增长率"&amp;TEXT(SUMIF(基准地价!N21:N25,A73,基准地价!P21:P25),"0.00%")</f>
        <v>北京市平均增长率0.00%</v>
      </c>
      <c r="C73" s="895">
        <v>100</v>
      </c>
      <c r="D73" s="732">
        <v>98</v>
      </c>
      <c r="E73" s="732">
        <v>96</v>
      </c>
      <c r="F73" s="732">
        <v>94</v>
      </c>
      <c r="G73" s="732">
        <v>92</v>
      </c>
      <c r="H73" s="732">
        <v>90</v>
      </c>
      <c r="I73" s="732">
        <v>88</v>
      </c>
      <c r="J73" s="732">
        <v>86</v>
      </c>
      <c r="K73" s="732">
        <v>84</v>
      </c>
      <c r="L73" s="732">
        <v>82</v>
      </c>
      <c r="M73" s="2820">
        <v>80</v>
      </c>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65" t="s">
        <v>3058</v>
      </c>
      <c r="D77" s="60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95</v>
      </c>
      <c r="E83" s="681">
        <f t="shared" ref="E83:M83" si="21">IF($B$48="单位面积地价",D83+$K13,D83-$K13)</f>
        <v>90</v>
      </c>
      <c r="F83" s="681">
        <f t="shared" si="21"/>
        <v>85</v>
      </c>
      <c r="G83" s="681">
        <f t="shared" si="21"/>
        <v>80</v>
      </c>
      <c r="H83" s="681">
        <f t="shared" si="21"/>
        <v>75</v>
      </c>
      <c r="I83" s="681">
        <f t="shared" si="21"/>
        <v>70</v>
      </c>
      <c r="J83" s="681">
        <f t="shared" si="21"/>
        <v>65</v>
      </c>
      <c r="K83" s="681">
        <f t="shared" si="21"/>
        <v>60</v>
      </c>
      <c r="L83" s="681">
        <f t="shared" si="21"/>
        <v>55</v>
      </c>
      <c r="M83" s="681">
        <f t="shared" si="21"/>
        <v>50</v>
      </c>
      <c r="N83" s="2168"/>
      <c r="O83" s="2168"/>
      <c r="P83" s="2167"/>
      <c r="Q83" s="2160"/>
      <c r="R83" s="2147"/>
      <c r="S83" s="2147"/>
      <c r="T83" s="2147"/>
      <c r="U83" s="2147"/>
      <c r="V83" s="2147"/>
      <c r="W83" s="2147"/>
      <c r="X83" s="2147"/>
      <c r="Y83" s="2147"/>
      <c r="Z83" s="2147"/>
      <c r="AA83" s="2147"/>
      <c r="AB83" s="2147"/>
      <c r="AC83" s="2147"/>
    </row>
    <row r="84" spans="1:29" s="1340" customFormat="1" ht="29.25" thickTop="1">
      <c r="A84" s="689"/>
      <c r="B84" s="675" t="str">
        <f>B14</f>
        <v>限地价、竞自持、竞配建</v>
      </c>
      <c r="C84" s="3180" t="s">
        <v>3072</v>
      </c>
      <c r="D84" s="1377" t="s">
        <v>3073</v>
      </c>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v>100</v>
      </c>
      <c r="D85" s="673">
        <v>110</v>
      </c>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97</v>
      </c>
      <c r="E91" s="681">
        <f>D91-$K17</f>
        <v>94</v>
      </c>
      <c r="F91" s="681">
        <f>E91-$K17</f>
        <v>91</v>
      </c>
      <c r="G91" s="681">
        <f>F91-$K17</f>
        <v>88</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97</v>
      </c>
      <c r="E97" s="681">
        <f>D97-$K23</f>
        <v>94</v>
      </c>
      <c r="F97" s="681">
        <f>E97-$K23</f>
        <v>91</v>
      </c>
      <c r="G97" s="681">
        <f>F97-$K23</f>
        <v>88</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2555</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2557</v>
      </c>
      <c r="C104" s="2624" t="s">
        <v>2558</v>
      </c>
      <c r="D104" s="2624" t="s">
        <v>2559</v>
      </c>
      <c r="E104" s="2624" t="s">
        <v>2560</v>
      </c>
      <c r="F104" s="2624" t="s">
        <v>2561</v>
      </c>
      <c r="G104" s="2624" t="s">
        <v>2562</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2981</v>
      </c>
      <c r="D108" s="690" t="s">
        <v>2982</v>
      </c>
      <c r="E108" s="690" t="s">
        <v>2983</v>
      </c>
      <c r="F108" s="690" t="s">
        <v>2984</v>
      </c>
      <c r="G108" s="690" t="s">
        <v>2985</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2986</v>
      </c>
      <c r="D110" s="720" t="s">
        <v>2987</v>
      </c>
      <c r="E110" s="720" t="s">
        <v>2988</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50000</v>
      </c>
      <c r="E119" s="732">
        <v>100000</v>
      </c>
      <c r="F119" s="732">
        <v>150000</v>
      </c>
      <c r="G119" s="732">
        <v>200000</v>
      </c>
      <c r="H119" s="732">
        <v>250000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102</v>
      </c>
      <c r="E120" s="728">
        <v>104</v>
      </c>
      <c r="F120" s="728">
        <v>106</v>
      </c>
      <c r="G120" s="728">
        <v>108</v>
      </c>
      <c r="H120" s="728">
        <v>110</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2989</v>
      </c>
      <c r="D121" s="720" t="s">
        <v>2990</v>
      </c>
      <c r="E121" s="720" t="s">
        <v>2991</v>
      </c>
      <c r="F121" s="720" t="s">
        <v>2992</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2993</v>
      </c>
      <c r="D123" s="690" t="s">
        <v>2994</v>
      </c>
      <c r="E123" s="690" t="s">
        <v>2995</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2430</v>
      </c>
      <c r="C125" s="1377" t="s">
        <v>2996</v>
      </c>
      <c r="D125" s="1377" t="s">
        <v>2997</v>
      </c>
      <c r="E125" s="1377" t="s">
        <v>2998</v>
      </c>
      <c r="F125" s="1377" t="s">
        <v>2999</v>
      </c>
      <c r="G125" s="1377" t="s">
        <v>3000</v>
      </c>
      <c r="H125" s="3166" t="s">
        <v>3001</v>
      </c>
      <c r="I125" s="3166" t="s">
        <v>3002</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3003</v>
      </c>
      <c r="D127" s="690" t="s">
        <v>3004</v>
      </c>
      <c r="E127" s="720" t="s">
        <v>3005</v>
      </c>
      <c r="F127" s="720" t="s">
        <v>3006</v>
      </c>
      <c r="G127" s="720" t="s">
        <v>3007</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B1"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8</v>
      </c>
    </row>
    <row r="2" spans="1:31" s="2043" customFormat="1" ht="18" customHeight="1">
      <c r="A2" s="2103" t="s">
        <v>467</v>
      </c>
      <c r="B2" s="2107">
        <f ca="1">C36</f>
        <v>27093</v>
      </c>
      <c r="C2" s="2106"/>
      <c r="D2" s="2106"/>
      <c r="E2" s="2106"/>
      <c r="F2" s="2106"/>
      <c r="G2" s="2106"/>
      <c r="H2" s="2106"/>
      <c r="I2" s="2106"/>
      <c r="J2" s="2106"/>
      <c r="K2" s="2106"/>
    </row>
    <row r="3" spans="1:31" s="2043" customFormat="1" ht="18" customHeight="1">
      <c r="A3" s="2108" t="s">
        <v>1686</v>
      </c>
      <c r="B3" s="2109">
        <f ca="1">ROUND(B2*10000/IF(B1="",'数据-汇总表'!E3,INDIRECT("'数据-取费表'!K"&amp;$K$1)),0)</f>
        <v>3942</v>
      </c>
      <c r="C3" s="2106"/>
      <c r="D3" s="2106"/>
      <c r="E3" s="2106"/>
      <c r="F3" s="2106"/>
      <c r="G3" s="2106"/>
      <c r="H3" s="2106"/>
      <c r="I3" s="2106"/>
      <c r="J3" s="2106"/>
      <c r="K3" s="2106"/>
    </row>
    <row r="4" spans="1:31" s="2043" customFormat="1" ht="18" customHeight="1">
      <c r="A4" s="428" t="s">
        <v>468</v>
      </c>
      <c r="B4" s="429">
        <f ca="1">ROUND(B2*10000/IF(B1="",'数据-汇总表'!D3,INDIRECT("'数据-取费表'!R"&amp;$K$1)),0)</f>
        <v>10670</v>
      </c>
      <c r="C4" s="430"/>
      <c r="D4" s="424"/>
      <c r="E4" s="424"/>
      <c r="F4" s="424"/>
      <c r="G4" s="424"/>
      <c r="H4" s="424"/>
      <c r="I4" s="424"/>
      <c r="J4" s="424"/>
      <c r="K4" s="424"/>
    </row>
    <row r="5" spans="1:31" s="2043" customFormat="1" ht="18" customHeight="1" thickBot="1">
      <c r="A5" s="431"/>
      <c r="B5" s="432">
        <f ca="1">ROUND(B2/(IF(B1="",'数据-汇总表'!D3,INDIRECT("'数据-取费表'!R"&amp;$K$1))/666.67),0)</f>
        <v>711</v>
      </c>
      <c r="C5" s="433" t="s">
        <v>469</v>
      </c>
      <c r="D5" s="424"/>
      <c r="E5" s="424"/>
      <c r="F5" s="424"/>
      <c r="G5" s="424"/>
      <c r="H5" s="424"/>
      <c r="I5" s="424"/>
      <c r="J5" s="424"/>
      <c r="K5" s="424"/>
    </row>
    <row r="6" spans="1:31" s="2113" customFormat="1" ht="16.5" customHeight="1">
      <c r="A6" s="2856" t="s">
        <v>1844</v>
      </c>
      <c r="B6" s="2857"/>
      <c r="C6" s="2858">
        <f ca="1">SUM(C10:K10)</f>
        <v>53488</v>
      </c>
      <c r="D6" s="2857"/>
      <c r="E6" s="2857"/>
      <c r="F6" s="2857"/>
      <c r="G6" s="2857"/>
      <c r="H6" s="2857"/>
      <c r="I6" s="2857"/>
      <c r="J6" s="2857"/>
      <c r="K6" s="2859"/>
    </row>
    <row r="7" spans="1:31" s="2115" customFormat="1" ht="15">
      <c r="A7" s="2860" t="s">
        <v>470</v>
      </c>
      <c r="B7" s="2861" t="s">
        <v>471</v>
      </c>
      <c r="C7" s="438" t="s">
        <v>3088</v>
      </c>
      <c r="D7" s="438" t="s">
        <v>3089</v>
      </c>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17277</v>
      </c>
      <c r="D8" s="2862">
        <f ca="1">不动产收益法!B3</f>
        <v>18366</v>
      </c>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29355.819999999992</v>
      </c>
      <c r="D9" s="443">
        <f>SUMIF('数据-汇总表'!$C19:$C33,'剩余法-待开发'!D7,'数据-汇总表'!$E19:$E33)</f>
        <v>1508.1899999999996</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'不动产比较法-住宅'!B2</f>
        <v>50718</v>
      </c>
      <c r="D10" s="3055">
        <f ca="1">不动产收益法!B2</f>
        <v>2770</v>
      </c>
      <c r="E10" s="3055"/>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12028</v>
      </c>
      <c r="D13" s="2872"/>
      <c r="E13" s="2873"/>
      <c r="F13" s="2874"/>
      <c r="G13" s="2840"/>
      <c r="H13" s="2841"/>
      <c r="I13" s="2841"/>
      <c r="J13" s="2841"/>
      <c r="K13" s="2842"/>
    </row>
    <row r="14" spans="1:31" s="2118" customFormat="1" ht="13.5" customHeight="1">
      <c r="A14" s="2870" t="s">
        <v>1851</v>
      </c>
      <c r="B14" s="2871" t="s">
        <v>480</v>
      </c>
      <c r="C14" s="53">
        <f ca="1">ROUND(C13*F14,0)</f>
        <v>361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106</v>
      </c>
      <c r="D15" s="2872"/>
      <c r="E15" s="2873"/>
      <c r="F15" s="2875">
        <f>'数据-取费表'!B34</f>
        <v>0.02</v>
      </c>
      <c r="G15" s="2840" t="s">
        <v>483</v>
      </c>
      <c r="H15" s="2841"/>
      <c r="I15" s="2841"/>
      <c r="J15" s="2841"/>
      <c r="K15" s="2842"/>
    </row>
    <row r="16" spans="1:31" s="2119" customFormat="1" ht="13.5" customHeight="1">
      <c r="A16" s="2870" t="s">
        <v>1853</v>
      </c>
      <c r="B16" s="2871" t="s">
        <v>484</v>
      </c>
      <c r="C16" s="53">
        <f ca="1">ROUND(D16*E16/10000,0)</f>
        <v>1375</v>
      </c>
      <c r="D16" s="2872">
        <f ca="1">IF(B1="",'数据-汇总表'!E3,INDIRECT("'数据-取费表'!K"&amp;$K$1)+INDIRECT("'数据-取费表'!S"&amp;$K$1))</f>
        <v>68728.649999999994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180</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14050</v>
      </c>
      <c r="D18" s="2881"/>
      <c r="E18" s="470"/>
      <c r="F18" s="470"/>
      <c r="G18" s="2844" t="s">
        <v>2435</v>
      </c>
      <c r="H18" s="2845"/>
      <c r="I18" s="2845"/>
      <c r="J18" s="2845"/>
      <c r="K18" s="2846"/>
    </row>
    <row r="19" spans="1:14" s="2118" customFormat="1" ht="13.5" customHeight="1">
      <c r="A19" s="2878" t="s">
        <v>1856</v>
      </c>
      <c r="B19" s="2879" t="s">
        <v>488</v>
      </c>
      <c r="C19" s="2836">
        <f ca="1">ROUND(D19*E19/10000,0)</f>
        <v>0</v>
      </c>
      <c r="D19" s="2882">
        <f ca="1">D16</f>
        <v>68728.649999999994</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815</v>
      </c>
      <c r="D20" s="2882"/>
      <c r="E20" s="2836"/>
      <c r="F20" s="2883"/>
      <c r="G20" s="3115"/>
      <c r="H20" s="2838"/>
      <c r="I20" s="2839" t="s">
        <v>2660</v>
      </c>
      <c r="J20" s="2845"/>
      <c r="K20" s="2846"/>
    </row>
    <row r="21" spans="1:14" s="2118" customFormat="1" ht="13.5" customHeight="1">
      <c r="A21" s="2870" t="s">
        <v>1858</v>
      </c>
      <c r="B21" s="2871" t="s">
        <v>491</v>
      </c>
      <c r="C21" s="53">
        <f ca="1">ROUND(D21*E21/10000,0)</f>
        <v>264</v>
      </c>
      <c r="D21" s="2872">
        <f ca="1">IF(B1="",'数据-汇总表'!E5,IF(INDIRECT("'数据-取费表'!c"&amp;$K$1)="住宅",INDIRECT("'数据-取费表'!k"&amp;$K$1),0))</f>
        <v>29355.819999999992</v>
      </c>
      <c r="E21" s="53">
        <f>'数据-取费表'!B27</f>
        <v>90</v>
      </c>
      <c r="F21" s="2875"/>
      <c r="G21" s="26"/>
      <c r="H21" s="51"/>
      <c r="I21" s="51"/>
      <c r="J21" s="51"/>
      <c r="K21" s="2847"/>
    </row>
    <row r="22" spans="1:14" s="2118" customFormat="1" ht="13.5" customHeight="1">
      <c r="A22" s="2870" t="s">
        <v>1859</v>
      </c>
      <c r="B22" s="2871" t="s">
        <v>492</v>
      </c>
      <c r="C22" s="53">
        <f ca="1">ROUND(D22*E22/10000,0)</f>
        <v>551</v>
      </c>
      <c r="D22" s="2872">
        <f ca="1">IF(B1="",'数据-汇总表'!E6,IF(INDIRECT("'数据-取费表'!c"&amp;$K$1)="住宅",INDIRECT("'数据-取费表'!s"&amp;$K$1),INDIRECT("'数据-取费表'!k"&amp;$K$1)+INDIRECT("'数据-取费表'!s"&amp;$K$1)))</f>
        <v>39372.83</v>
      </c>
      <c r="E22" s="53">
        <f>'数据-取费表'!B28</f>
        <v>140</v>
      </c>
      <c r="F22" s="2875"/>
      <c r="G22" s="26"/>
      <c r="H22" s="51"/>
      <c r="I22" s="51"/>
      <c r="J22" s="51"/>
      <c r="K22" s="2847"/>
    </row>
    <row r="23" spans="1:14" s="2118" customFormat="1" ht="13.5" customHeight="1">
      <c r="A23" s="2878" t="s">
        <v>1860</v>
      </c>
      <c r="B23" s="3061" t="s">
        <v>2842</v>
      </c>
      <c r="C23" s="2880">
        <f ca="1">ROUND((C18+C19+C20)*F23,0)</f>
        <v>149</v>
      </c>
      <c r="D23" s="470"/>
      <c r="E23" s="470"/>
      <c r="F23" s="2884">
        <f>'数据-取费表'!B37</f>
        <v>0.01</v>
      </c>
      <c r="G23" s="2840" t="s">
        <v>2436</v>
      </c>
      <c r="H23" s="2841"/>
      <c r="I23" s="2841"/>
      <c r="J23" s="2841"/>
      <c r="K23" s="2842"/>
      <c r="L23" s="2120"/>
      <c r="M23" s="2120"/>
      <c r="N23" s="2120"/>
    </row>
    <row r="24" spans="1:14" s="2118" customFormat="1" ht="13.5" customHeight="1">
      <c r="A24" s="2878" t="s">
        <v>1861</v>
      </c>
      <c r="B24" s="3061" t="s">
        <v>2845</v>
      </c>
      <c r="C24" s="2880">
        <f ca="1">ROUND(C6*F24,0)</f>
        <v>802</v>
      </c>
      <c r="D24" s="477"/>
      <c r="E24" s="475"/>
      <c r="F24" s="2884">
        <f>'数据-取费表'!B38</f>
        <v>1.4999999999999999E-2</v>
      </c>
      <c r="G24" s="2849" t="s">
        <v>499</v>
      </c>
      <c r="H24" s="2843"/>
      <c r="I24" s="2843"/>
      <c r="J24" s="2843"/>
      <c r="K24" s="278"/>
      <c r="L24" s="2120"/>
      <c r="M24" s="2120"/>
      <c r="N24" s="2120"/>
    </row>
    <row r="25" spans="1:14" s="2121" customFormat="1" ht="13.5" customHeight="1">
      <c r="A25" s="2878" t="s">
        <v>1862</v>
      </c>
      <c r="B25" s="3061" t="s">
        <v>2843</v>
      </c>
      <c r="C25" s="469">
        <f>ROUND(F25/(1+'数据-取费表'!C42),4)</f>
        <v>2.9000000000000001E-2</v>
      </c>
      <c r="D25" s="464" t="s">
        <v>2837</v>
      </c>
      <c r="E25" s="471"/>
      <c r="F25" s="2884">
        <f>'数据-取费表'!B48+'数据-取费表'!B49</f>
        <v>3.0499999999999999E-2</v>
      </c>
      <c r="G25" s="2848" t="s">
        <v>2293</v>
      </c>
      <c r="H25" s="2841"/>
      <c r="I25" s="2841"/>
      <c r="J25" s="2841"/>
      <c r="K25" s="2842"/>
    </row>
    <row r="26" spans="1:14" s="2120" customFormat="1" ht="13.5" customHeight="1">
      <c r="A26" s="2878" t="s">
        <v>1863</v>
      </c>
      <c r="B26" s="3062" t="s">
        <v>2844</v>
      </c>
      <c r="C26" s="2885">
        <f ca="1">C28</f>
        <v>560</v>
      </c>
      <c r="D26" s="469">
        <f ca="1">C27</f>
        <v>7.4200000000000002E-2</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7.4200000000000002E-2</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2846</v>
      </c>
      <c r="C28" s="2888">
        <f ca="1">ROUND(IF('数据-取费表'!B22&lt;=1,(C18+C19+C20+C23+C24)*F26*'数据-取费表'!B24/2,(C18+C19+C20+C23+C24)*(POWER((1+F26),'数据-取费表'!B24/2)-1)),0)</f>
        <v>560</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2853</v>
      </c>
      <c r="D29" s="470"/>
      <c r="E29" s="470"/>
      <c r="F29" s="3063">
        <f>'数据-取费表'!B41</f>
        <v>5.6000000000000001E-2</v>
      </c>
      <c r="G29" s="2849" t="s">
        <v>498</v>
      </c>
      <c r="H29" s="2841"/>
      <c r="I29" s="2841"/>
      <c r="J29" s="2841"/>
      <c r="K29" s="2842"/>
    </row>
    <row r="30" spans="1:14" s="2123" customFormat="1" ht="13.5" customHeight="1">
      <c r="A30" s="1636" t="s">
        <v>1865</v>
      </c>
      <c r="B30" s="2890" t="s">
        <v>500</v>
      </c>
      <c r="C30" s="2885">
        <f ca="1">C31</f>
        <v>19229</v>
      </c>
      <c r="D30" s="479">
        <f ca="1">C32</f>
        <v>0.1032</v>
      </c>
      <c r="E30" s="471" t="s">
        <v>495</v>
      </c>
      <c r="F30" s="473"/>
      <c r="G30" s="2840" t="s">
        <v>501</v>
      </c>
      <c r="H30" s="2841"/>
      <c r="I30" s="2841"/>
      <c r="J30" s="2841"/>
      <c r="K30" s="2842"/>
    </row>
    <row r="31" spans="1:14" s="2122" customFormat="1" ht="13.5" customHeight="1">
      <c r="A31" s="805" t="s">
        <v>1858</v>
      </c>
      <c r="B31" s="2886"/>
      <c r="C31" s="452">
        <f ca="1">C18+C19+C20+C23+C24+C26+C29</f>
        <v>19229</v>
      </c>
      <c r="D31" s="474"/>
      <c r="E31" s="475"/>
      <c r="F31" s="476"/>
      <c r="G31" s="260"/>
      <c r="H31" s="2843"/>
      <c r="I31" s="2843"/>
      <c r="J31" s="2843"/>
      <c r="K31" s="278"/>
    </row>
    <row r="32" spans="1:14" s="2122" customFormat="1" ht="13.5" customHeight="1">
      <c r="A32" s="805" t="s">
        <v>1859</v>
      </c>
      <c r="B32" s="2886"/>
      <c r="C32" s="53">
        <f ca="1">ROUND(C25+D26,4)</f>
        <v>0.1032</v>
      </c>
      <c r="D32" s="474"/>
      <c r="E32" s="475"/>
      <c r="F32" s="476"/>
      <c r="G32" s="260"/>
      <c r="H32" s="2843"/>
      <c r="I32" s="2843"/>
      <c r="J32" s="2843"/>
      <c r="K32" s="278"/>
    </row>
    <row r="33" spans="1:11" s="2124" customFormat="1" ht="13.5" customHeight="1">
      <c r="A33" s="3060" t="s">
        <v>2841</v>
      </c>
      <c r="B33" s="3058" t="s">
        <v>2839</v>
      </c>
      <c r="C33" s="480">
        <f ca="1">C35</f>
        <v>1582</v>
      </c>
      <c r="D33" s="469">
        <f ca="1">C34</f>
        <v>0.10290000000000001</v>
      </c>
      <c r="E33" s="471" t="s">
        <v>495</v>
      </c>
      <c r="F33" s="481">
        <f ca="1">IF(B1="",'数据-取费表'!Q16,INDIRECT("'数据-取费表'!q"&amp;$K$1))</f>
        <v>0.1</v>
      </c>
      <c r="G33" s="2844"/>
      <c r="H33" s="2845"/>
      <c r="I33" s="2845"/>
      <c r="J33" s="2845"/>
      <c r="K33" s="2846"/>
    </row>
    <row r="34" spans="1:11" s="2125" customFormat="1" ht="13.5" customHeight="1">
      <c r="A34" s="377" t="s">
        <v>1858</v>
      </c>
      <c r="B34" s="2891" t="s">
        <v>502</v>
      </c>
      <c r="C34" s="474">
        <f ca="1">ROUND((1+C25)*F33,4)</f>
        <v>0.10290000000000001</v>
      </c>
      <c r="D34" s="474"/>
      <c r="E34" s="475"/>
      <c r="F34" s="482"/>
      <c r="G34" s="260" t="s">
        <v>2294</v>
      </c>
      <c r="H34" s="2843"/>
      <c r="I34" s="2843"/>
      <c r="J34" s="2843"/>
      <c r="K34" s="278"/>
    </row>
    <row r="35" spans="1:11" s="2125" customFormat="1" ht="13.5" customHeight="1" thickBot="1">
      <c r="A35" s="1637" t="s">
        <v>1859</v>
      </c>
      <c r="B35" s="3059" t="s">
        <v>2847</v>
      </c>
      <c r="C35" s="1629">
        <f ca="1">ROUND((C18+C19+C20+C23+C24)*F33,0)</f>
        <v>1582</v>
      </c>
      <c r="D35" s="1630"/>
      <c r="E35" s="2892"/>
      <c r="F35" s="1631"/>
      <c r="G35" s="2850"/>
      <c r="H35" s="2851"/>
      <c r="I35" s="2851"/>
      <c r="J35" s="2851"/>
      <c r="K35" s="2852"/>
    </row>
    <row r="36" spans="1:11" s="2087" customFormat="1" ht="13.5" customHeight="1" thickBot="1">
      <c r="A36" s="283" t="s">
        <v>1846</v>
      </c>
      <c r="B36" s="2854"/>
      <c r="C36" s="2893">
        <f ca="1">ROUND((C6-C30-C33)/(1+D30+D33),0)</f>
        <v>27093</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1" t="str">
        <f>项目基本情况!B1</f>
        <v>出让国有建设用地使用权抵押价格预评估</v>
      </c>
      <c r="C37" s="3191"/>
      <c r="D37" s="3191"/>
      <c r="E37" s="3191"/>
      <c r="F37" s="3191"/>
      <c r="G37" s="3191"/>
      <c r="H37" s="3191"/>
      <c r="I37" s="3191"/>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8</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0"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2661</v>
      </c>
      <c r="B6" s="435"/>
      <c r="C6" s="1624">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4" t="s">
        <v>1850</v>
      </c>
      <c r="B13" s="451" t="s">
        <v>479</v>
      </c>
      <c r="C13" s="452">
        <f ca="1">IF(B1="",'数据-取费表'!M16,INDIRECT("'数据-取费表'!M"&amp;$K$1)+INDIRECT("'数据-取费表'!t"&amp;$K$1))</f>
        <v>12028</v>
      </c>
      <c r="D13" s="453"/>
      <c r="E13" s="367"/>
      <c r="F13" s="454"/>
      <c r="G13" s="446"/>
      <c r="H13" s="449"/>
      <c r="I13" s="449"/>
      <c r="J13" s="449"/>
      <c r="K13" s="450"/>
    </row>
    <row r="14" spans="1:41" s="2118" customFormat="1" ht="13.5" customHeight="1">
      <c r="A14" s="1634" t="s">
        <v>1851</v>
      </c>
      <c r="B14" s="451" t="s">
        <v>480</v>
      </c>
      <c r="C14" s="53">
        <f ca="1">ROUND(C13*F14,0)</f>
        <v>361</v>
      </c>
      <c r="D14" s="453"/>
      <c r="E14" s="367"/>
      <c r="F14" s="455">
        <f>'数据-取费表'!B33</f>
        <v>0.03</v>
      </c>
      <c r="G14" s="446" t="s">
        <v>503</v>
      </c>
      <c r="H14" s="449"/>
      <c r="I14" s="449"/>
      <c r="J14" s="449"/>
      <c r="K14" s="450"/>
    </row>
    <row r="15" spans="1:41" s="2118" customFormat="1" ht="13.5" customHeight="1">
      <c r="A15" s="1634" t="s">
        <v>1852</v>
      </c>
      <c r="B15" s="451" t="s">
        <v>482</v>
      </c>
      <c r="C15" s="53">
        <f ca="1">ROUND(IF(B1="",SUMIF('数据-取费表'!C:C,"住宅",'数据-取费表'!M:M)*F15,IF(INDIRECT("'数据-取费表'!c"&amp;$K$1)="住宅",INDIRECT("'数据-取费表'!M"&amp;$K$1)*F15,0)),0)</f>
        <v>106</v>
      </c>
      <c r="D15" s="453"/>
      <c r="E15" s="367"/>
      <c r="F15" s="455">
        <f>'数据-取费表'!B34</f>
        <v>0.02</v>
      </c>
      <c r="G15" s="446" t="s">
        <v>503</v>
      </c>
      <c r="H15" s="449"/>
      <c r="I15" s="449"/>
      <c r="J15" s="449"/>
      <c r="K15" s="450"/>
    </row>
    <row r="16" spans="1:41" s="2119" customFormat="1" ht="13.5" customHeight="1">
      <c r="A16" s="1634" t="s">
        <v>1853</v>
      </c>
      <c r="B16" s="451" t="s">
        <v>484</v>
      </c>
      <c r="C16" s="53">
        <f ca="1">ROUND(D16*E16/10000,0)</f>
        <v>1375</v>
      </c>
      <c r="D16" s="453">
        <f ca="1">IF(B1="",'数据-汇总表'!E3,INDIRECT("'数据-取费表'!K"&amp;$K$1)+INDIRECT("'数据-取费表'!S"&amp;$K$1))</f>
        <v>68728.649999999994</v>
      </c>
      <c r="E16" s="53">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1" t="s">
        <v>485</v>
      </c>
      <c r="C17" s="456">
        <f ca="1">ROUND(C13*F17,0)</f>
        <v>180</v>
      </c>
      <c r="D17" s="457"/>
      <c r="E17" s="456"/>
      <c r="F17" s="458">
        <f>'数据-取费表'!B36</f>
        <v>1.4999999999999999E-2</v>
      </c>
      <c r="G17" s="446" t="s">
        <v>503</v>
      </c>
      <c r="H17" s="459"/>
      <c r="I17" s="459"/>
      <c r="J17" s="459"/>
      <c r="K17" s="460"/>
    </row>
    <row r="18" spans="1:14" s="2121" customFormat="1" ht="13.5" customHeight="1">
      <c r="A18" s="1635" t="s">
        <v>1855</v>
      </c>
      <c r="B18" s="461" t="s">
        <v>487</v>
      </c>
      <c r="C18" s="462">
        <f ca="1">SUM(C13:C17)</f>
        <v>14050</v>
      </c>
      <c r="D18" s="463"/>
      <c r="E18" s="464"/>
      <c r="F18" s="464"/>
      <c r="G18" s="1328" t="s">
        <v>2437</v>
      </c>
      <c r="H18" s="449"/>
      <c r="I18" s="449"/>
      <c r="J18" s="449"/>
      <c r="K18" s="450"/>
    </row>
    <row r="19" spans="1:14" s="2121" customFormat="1" ht="13.5" customHeight="1">
      <c r="A19" s="1635" t="s">
        <v>1856</v>
      </c>
      <c r="B19" s="461" t="s">
        <v>493</v>
      </c>
      <c r="C19" s="462">
        <f ca="1">ROUND(C18*F19,0)</f>
        <v>141</v>
      </c>
      <c r="D19" s="464"/>
      <c r="E19" s="464"/>
      <c r="F19" s="468">
        <f>'数据-取费表'!B37</f>
        <v>0.01</v>
      </c>
      <c r="G19" s="446" t="s">
        <v>504</v>
      </c>
      <c r="H19" s="449"/>
      <c r="I19" s="449"/>
      <c r="J19" s="449"/>
      <c r="K19" s="450"/>
      <c r="L19" s="2123"/>
      <c r="M19" s="2123"/>
      <c r="N19" s="2123"/>
    </row>
    <row r="20" spans="1:14" s="2121" customFormat="1" ht="13.5" customHeight="1">
      <c r="A20" s="1635" t="s">
        <v>1857</v>
      </c>
      <c r="B20" s="461" t="s">
        <v>505</v>
      </c>
      <c r="C20" s="3056">
        <f>F20</f>
        <v>1.4999999999999999E-2</v>
      </c>
      <c r="D20" s="471" t="s">
        <v>506</v>
      </c>
      <c r="E20" s="471"/>
      <c r="F20" s="488">
        <f>'数据-取费表'!B38</f>
        <v>1.4999999999999999E-2</v>
      </c>
      <c r="G20" s="1328" t="s">
        <v>507</v>
      </c>
      <c r="H20" s="449"/>
      <c r="I20" s="449"/>
      <c r="J20" s="449"/>
      <c r="K20" s="450"/>
      <c r="L20" s="2123"/>
      <c r="M20" s="2123"/>
      <c r="N20" s="2123"/>
    </row>
    <row r="21" spans="1:14" s="2123" customFormat="1" ht="13.5" customHeight="1">
      <c r="A21" s="1635" t="s">
        <v>1860</v>
      </c>
      <c r="B21" s="463" t="s">
        <v>494</v>
      </c>
      <c r="C21" s="472">
        <f ca="1">C22</f>
        <v>503</v>
      </c>
      <c r="D21" s="469">
        <f ca="1">C23</f>
        <v>5.0000000000000001E-4</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2459</v>
      </c>
    </row>
    <row r="22" spans="1:14" s="2122" customFormat="1" ht="13.5" customHeight="1">
      <c r="A22" s="1634" t="s">
        <v>1850</v>
      </c>
      <c r="B22" s="1329" t="s">
        <v>2440</v>
      </c>
      <c r="C22" s="489">
        <f ca="1">ROUND(IF('数据-取费表'!B22&lt;=1,(C18+C19)*F21*'数据-取费表'!B20/2,(C18+C19)*(POWER((1+F21),'数据-取费表'!B20/2)-1)),0)</f>
        <v>503</v>
      </c>
      <c r="D22" s="474"/>
      <c r="E22" s="475"/>
      <c r="F22" s="476"/>
      <c r="G22" s="2593" t="str">
        <f>IF('数据-取费表'!B22&lt;=1,"((1)+(2))×年利率×建设期÷2","((1)+(2))×((1+年利率)^(建设期÷2)-1)")</f>
        <v>((1)+(2))×((1+年利率)^(建设期÷2)-1)</v>
      </c>
      <c r="H22" s="459"/>
      <c r="I22" s="459"/>
      <c r="J22" s="459"/>
      <c r="K22" s="460"/>
    </row>
    <row r="23" spans="1:14" s="2122" customFormat="1" ht="13.5" customHeight="1">
      <c r="A23" s="1634" t="s">
        <v>1851</v>
      </c>
      <c r="B23" s="1329" t="s">
        <v>509</v>
      </c>
      <c r="C23" s="490">
        <f ca="1">ROUND(IF('数据-取费表'!B22&lt;=1,F20*F21*'数据-取费表'!B20/2,F20*(POWER((1+F21),'数据-取费表'!B20/2)-1)),4)</f>
        <v>5.0000000000000001E-4</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5" t="s">
        <v>1861</v>
      </c>
      <c r="B24" s="3058" t="s">
        <v>2840</v>
      </c>
      <c r="C24" s="480">
        <f ca="1">C25</f>
        <v>1419</v>
      </c>
      <c r="D24" s="491">
        <f ca="1">C26</f>
        <v>1.5E-3</v>
      </c>
      <c r="E24" s="471" t="s">
        <v>508</v>
      </c>
      <c r="F24" s="481">
        <f ca="1">IF(B1="",'数据-取费表'!Q16,INDIRECT("'数据-取费表'!q"&amp;$K$1))</f>
        <v>0.1</v>
      </c>
      <c r="G24" s="446"/>
      <c r="H24" s="449"/>
      <c r="I24" s="449"/>
      <c r="J24" s="449"/>
      <c r="K24" s="450"/>
    </row>
    <row r="25" spans="1:14" s="2122" customFormat="1" ht="13.5" customHeight="1">
      <c r="A25" s="1634" t="s">
        <v>1850</v>
      </c>
      <c r="B25" s="1329" t="s">
        <v>2441</v>
      </c>
      <c r="C25" s="492">
        <f ca="1">ROUND((C18+C19)*F24,0)</f>
        <v>1419</v>
      </c>
      <c r="D25" s="474"/>
      <c r="E25" s="475"/>
      <c r="F25" s="482"/>
      <c r="G25" s="1327" t="s">
        <v>2438</v>
      </c>
      <c r="H25" s="459"/>
      <c r="I25" s="459"/>
      <c r="J25" s="459"/>
      <c r="K25" s="460"/>
    </row>
    <row r="26" spans="1:14" s="2122" customFormat="1" ht="13.5" customHeight="1">
      <c r="A26" s="1634" t="s">
        <v>1851</v>
      </c>
      <c r="B26" s="1329" t="s">
        <v>510</v>
      </c>
      <c r="C26" s="493">
        <f ca="1">ROUND(F20*F24,4)</f>
        <v>1.5E-3</v>
      </c>
      <c r="D26" s="474"/>
      <c r="E26" s="483"/>
      <c r="F26" s="482"/>
      <c r="G26" s="1327" t="s">
        <v>511</v>
      </c>
      <c r="H26" s="459"/>
      <c r="I26" s="459"/>
      <c r="J26" s="459"/>
      <c r="K26" s="460"/>
    </row>
    <row r="27" spans="1:14" s="2122" customFormat="1" ht="13.5" customHeight="1">
      <c r="A27" s="1638" t="s">
        <v>1869</v>
      </c>
      <c r="B27" s="461" t="s">
        <v>512</v>
      </c>
      <c r="C27" s="3057">
        <f>ROUND(F27/(1+'数据-取费表'!C42),4)</f>
        <v>5.33E-2</v>
      </c>
      <c r="D27" s="464" t="s">
        <v>2838</v>
      </c>
      <c r="E27" s="464"/>
      <c r="F27" s="468">
        <f>'数据-取费表'!B41</f>
        <v>5.6000000000000001E-2</v>
      </c>
      <c r="G27" s="1962" t="s">
        <v>2295</v>
      </c>
      <c r="H27" s="449"/>
      <c r="I27" s="449"/>
      <c r="J27" s="449"/>
      <c r="K27" s="450"/>
    </row>
    <row r="28" spans="1:14" s="2123" customFormat="1" ht="13.5" customHeight="1">
      <c r="A28" s="1638" t="s">
        <v>1870</v>
      </c>
      <c r="B28" s="478" t="s">
        <v>513</v>
      </c>
      <c r="C28" s="472">
        <f ca="1">ROUND((C18+C19+C21+C24)/(1-C20-D21-D24-C27),0)</f>
        <v>17331</v>
      </c>
      <c r="D28" s="479"/>
      <c r="E28" s="471"/>
      <c r="F28" s="473"/>
      <c r="G28" s="1328" t="s">
        <v>2439</v>
      </c>
      <c r="H28" s="449"/>
      <c r="I28" s="449"/>
      <c r="J28" s="449"/>
      <c r="K28" s="450"/>
    </row>
    <row r="29" spans="1:14" s="2123" customFormat="1" ht="13.5" customHeight="1">
      <c r="A29" s="1638"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5.6000000000000001E-2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510"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2"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30"/>
    </row>
    <row r="6" spans="1:29" ht="15">
      <c r="A6" s="514" t="s">
        <v>522</v>
      </c>
      <c r="B6" s="515"/>
      <c r="C6" s="3365" t="s">
        <v>523</v>
      </c>
      <c r="D6" s="3366"/>
      <c r="E6" s="3402" t="s">
        <v>524</v>
      </c>
      <c r="F6" s="3403"/>
      <c r="G6" s="3365" t="s">
        <v>525</v>
      </c>
      <c r="H6" s="3366"/>
      <c r="I6" s="3365" t="s">
        <v>526</v>
      </c>
      <c r="J6" s="3366"/>
      <c r="K6" s="516" t="s">
        <v>527</v>
      </c>
      <c r="L6" s="2135"/>
      <c r="M6" s="2136"/>
      <c r="N6" s="2136"/>
      <c r="O6" s="2136"/>
      <c r="P6" s="3367" t="s">
        <v>528</v>
      </c>
      <c r="Q6" s="3368"/>
      <c r="R6" s="3373" t="s">
        <v>524</v>
      </c>
      <c r="S6" s="3374"/>
      <c r="T6" s="3373" t="s">
        <v>525</v>
      </c>
      <c r="U6" s="3374"/>
      <c r="V6" s="3360" t="s">
        <v>526</v>
      </c>
      <c r="W6" s="3360"/>
      <c r="X6" s="1568"/>
      <c r="Y6" s="3373" t="s">
        <v>528</v>
      </c>
      <c r="Z6" s="3374"/>
      <c r="AA6" s="3362" t="s">
        <v>524</v>
      </c>
      <c r="AB6" s="3363" t="s">
        <v>525</v>
      </c>
      <c r="AC6" s="3362" t="s">
        <v>526</v>
      </c>
    </row>
    <row r="7" spans="1:29" ht="15">
      <c r="A7" s="517"/>
      <c r="B7" s="518"/>
      <c r="C7" s="3383" t="s">
        <v>2930</v>
      </c>
      <c r="D7" s="3382"/>
      <c r="E7" s="3404" t="s">
        <v>2931</v>
      </c>
      <c r="F7" s="3405"/>
      <c r="G7" s="3383" t="s">
        <v>2932</v>
      </c>
      <c r="H7" s="3382"/>
      <c r="I7" s="3383" t="s">
        <v>2933</v>
      </c>
      <c r="J7" s="3382"/>
      <c r="K7" s="516"/>
      <c r="L7" s="2135"/>
      <c r="M7" s="2136"/>
      <c r="N7" s="2136"/>
      <c r="O7" s="2136"/>
      <c r="P7" s="3369"/>
      <c r="Q7" s="3370"/>
      <c r="R7" s="3375"/>
      <c r="S7" s="3376"/>
      <c r="T7" s="3375"/>
      <c r="U7" s="3376"/>
      <c r="V7" s="3360"/>
      <c r="W7" s="3360"/>
      <c r="X7" s="1568"/>
      <c r="Y7" s="3375"/>
      <c r="Z7" s="3376"/>
      <c r="AA7" s="3363"/>
      <c r="AB7" s="3363"/>
      <c r="AC7" s="3363"/>
    </row>
    <row r="8" spans="1:29" ht="15.75" thickBot="1">
      <c r="A8" s="519"/>
      <c r="B8" s="520"/>
      <c r="C8" s="3399" t="s">
        <v>2934</v>
      </c>
      <c r="D8" s="3380"/>
      <c r="E8" s="3400" t="s">
        <v>2934</v>
      </c>
      <c r="F8" s="3401"/>
      <c r="G8" s="3399" t="s">
        <v>2934</v>
      </c>
      <c r="H8" s="3380"/>
      <c r="I8" s="3399" t="s">
        <v>2934</v>
      </c>
      <c r="J8" s="3380"/>
      <c r="K8" s="516" t="s">
        <v>529</v>
      </c>
      <c r="L8" s="2135"/>
      <c r="M8" s="2136"/>
      <c r="N8" s="2136"/>
      <c r="O8" s="2136"/>
      <c r="P8" s="3371"/>
      <c r="Q8" s="3372"/>
      <c r="R8" s="3375"/>
      <c r="S8" s="3376"/>
      <c r="T8" s="3377"/>
      <c r="U8" s="3378"/>
      <c r="V8" s="3360"/>
      <c r="W8" s="3360"/>
      <c r="X8" s="1568"/>
      <c r="Y8" s="3377"/>
      <c r="Z8" s="3378"/>
      <c r="AA8" s="3364"/>
      <c r="AB8" s="3364"/>
      <c r="AC8" s="3364"/>
    </row>
    <row r="9" spans="1:29" s="1221" customFormat="1" ht="15.75" thickBot="1">
      <c r="A9" s="2940"/>
      <c r="B9" s="2947" t="s">
        <v>530</v>
      </c>
      <c r="C9" s="521">
        <f>'数据-取费表'!B2</f>
        <v>43123</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392" t="s">
        <v>531</v>
      </c>
      <c r="Q9" s="3394"/>
      <c r="R9" s="1569" t="s">
        <v>8</v>
      </c>
      <c r="S9" s="1570">
        <f t="shared" ref="S9:S17" si="0">F9</f>
        <v>0</v>
      </c>
      <c r="T9" s="1569" t="s">
        <v>8</v>
      </c>
      <c r="U9" s="1570">
        <f t="shared" ref="U9:U17" si="1">H9</f>
        <v>0</v>
      </c>
      <c r="V9" s="1569" t="s">
        <v>8</v>
      </c>
      <c r="W9" s="1570">
        <f t="shared" ref="W9:W17" si="2">J9</f>
        <v>0</v>
      </c>
      <c r="X9" s="1571"/>
      <c r="Y9" s="3392" t="s">
        <v>531</v>
      </c>
      <c r="Z9" s="3393"/>
      <c r="AA9" s="1572" t="e">
        <f>D9/F9</f>
        <v>#DIV/0!</v>
      </c>
      <c r="AB9" s="1572" t="e">
        <f>D9/H9</f>
        <v>#DIV/0!</v>
      </c>
      <c r="AC9" s="1572"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392" t="s">
        <v>534</v>
      </c>
      <c r="Q10" s="3393"/>
      <c r="R10" s="1569" t="s">
        <v>8</v>
      </c>
      <c r="S10" s="1570">
        <f t="shared" si="0"/>
        <v>0</v>
      </c>
      <c r="T10" s="1569" t="s">
        <v>8</v>
      </c>
      <c r="U10" s="1570">
        <f t="shared" si="1"/>
        <v>0</v>
      </c>
      <c r="V10" s="1569" t="s">
        <v>8</v>
      </c>
      <c r="W10" s="1570">
        <f t="shared" si="2"/>
        <v>0</v>
      </c>
      <c r="X10" s="1571"/>
      <c r="Y10" s="3392" t="s">
        <v>534</v>
      </c>
      <c r="Z10" s="3393"/>
      <c r="AA10" s="1572" t="e">
        <f t="shared" ref="AA10:AA42" si="3">D10/F10</f>
        <v>#DIV/0!</v>
      </c>
      <c r="AB10" s="1572" t="e">
        <f t="shared" ref="AB10:AB42" si="4">D10/H10</f>
        <v>#DIV/0!</v>
      </c>
      <c r="AC10" s="1572" t="e">
        <f t="shared" ref="AC10:AC42" si="5">D10/J10</f>
        <v>#DIV/0!</v>
      </c>
    </row>
    <row r="11" spans="1:29" s="1221" customFormat="1" ht="15">
      <c r="A11" s="2942"/>
      <c r="B11" s="2949" t="s">
        <v>2765</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359" t="s">
        <v>536</v>
      </c>
      <c r="Q11" s="1152" t="str">
        <f t="shared" ref="Q11:Q17" si="6">B11</f>
        <v>用途</v>
      </c>
      <c r="R11" s="1569" t="s">
        <v>8</v>
      </c>
      <c r="S11" s="1570">
        <f t="shared" si="0"/>
        <v>100</v>
      </c>
      <c r="T11" s="1569" t="s">
        <v>8</v>
      </c>
      <c r="U11" s="1570">
        <f t="shared" si="1"/>
        <v>100</v>
      </c>
      <c r="V11" s="1569" t="s">
        <v>8</v>
      </c>
      <c r="W11" s="1570">
        <f t="shared" si="2"/>
        <v>100</v>
      </c>
      <c r="X11" s="1571"/>
      <c r="Y11" s="3305" t="s">
        <v>537</v>
      </c>
      <c r="Z11" s="1151" t="str">
        <f t="shared" ref="Z11:Z17" si="7">Q11</f>
        <v>用途</v>
      </c>
      <c r="AA11" s="1572">
        <f t="shared" si="3"/>
        <v>1</v>
      </c>
      <c r="AB11" s="1572">
        <f t="shared" si="4"/>
        <v>1</v>
      </c>
      <c r="AC11" s="1572">
        <f t="shared" si="5"/>
        <v>1</v>
      </c>
    </row>
    <row r="12" spans="1:29" s="1339" customFormat="1" ht="27">
      <c r="A12" s="2943"/>
      <c r="B12" s="2948" t="s">
        <v>2766</v>
      </c>
      <c r="C12" s="530"/>
      <c r="D12" s="254">
        <v>100</v>
      </c>
      <c r="E12" s="530"/>
      <c r="F12" s="254">
        <f>ROUND(100/'数据-取费表'!G16,0)</f>
        <v>100</v>
      </c>
      <c r="G12" s="530"/>
      <c r="H12" s="254">
        <f>ROUND(100/'数据-取费表'!G16,0)</f>
        <v>100</v>
      </c>
      <c r="I12" s="530"/>
      <c r="J12" s="254">
        <f>ROUND(100/'数据-取费表'!G16,0)</f>
        <v>100</v>
      </c>
      <c r="K12" s="533"/>
      <c r="L12" s="2140"/>
      <c r="M12" s="2180"/>
      <c r="N12" s="2180"/>
      <c r="O12" s="2141"/>
      <c r="P12" s="3359"/>
      <c r="Q12" s="1152" t="str">
        <f t="shared" si="6"/>
        <v>土地使用年限（年）</v>
      </c>
      <c r="R12" s="1569" t="s">
        <v>8</v>
      </c>
      <c r="S12" s="1570">
        <f t="shared" si="0"/>
        <v>100</v>
      </c>
      <c r="T12" s="1569" t="s">
        <v>8</v>
      </c>
      <c r="U12" s="1570">
        <f t="shared" si="1"/>
        <v>100</v>
      </c>
      <c r="V12" s="1569" t="s">
        <v>8</v>
      </c>
      <c r="W12" s="1570">
        <f t="shared" si="2"/>
        <v>100</v>
      </c>
      <c r="X12" s="1571"/>
      <c r="Y12" s="3305"/>
      <c r="Z12" s="1151" t="str">
        <f t="shared" si="7"/>
        <v>土地使用年限（年）</v>
      </c>
      <c r="AA12" s="1572">
        <f t="shared" si="3"/>
        <v>1</v>
      </c>
      <c r="AB12" s="1572">
        <f t="shared" si="4"/>
        <v>1</v>
      </c>
      <c r="AC12" s="1572">
        <f t="shared" si="5"/>
        <v>1</v>
      </c>
    </row>
    <row r="13" spans="1:29" ht="15">
      <c r="A13" s="2944"/>
      <c r="B13" s="2948" t="s">
        <v>2767</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359"/>
      <c r="Q13" s="1152" t="str">
        <f t="shared" si="6"/>
        <v>容积率</v>
      </c>
      <c r="R13" s="1569" t="s">
        <v>8</v>
      </c>
      <c r="S13" s="1570" t="e">
        <f t="shared" si="0"/>
        <v>#N/A</v>
      </c>
      <c r="T13" s="1569" t="s">
        <v>8</v>
      </c>
      <c r="U13" s="1570" t="e">
        <f t="shared" si="1"/>
        <v>#N/A</v>
      </c>
      <c r="V13" s="1569" t="s">
        <v>8</v>
      </c>
      <c r="W13" s="1570" t="e">
        <f t="shared" si="2"/>
        <v>#N/A</v>
      </c>
      <c r="X13" s="1571"/>
      <c r="Y13" s="3305"/>
      <c r="Z13" s="1151" t="str">
        <f t="shared" si="7"/>
        <v>容积率</v>
      </c>
      <c r="AA13" s="1572" t="e">
        <f t="shared" si="3"/>
        <v>#N/A</v>
      </c>
      <c r="AB13" s="1572" t="e">
        <f t="shared" si="4"/>
        <v>#N/A</v>
      </c>
      <c r="AC13" s="1572" t="e">
        <f t="shared" si="5"/>
        <v>#N/A</v>
      </c>
    </row>
    <row r="14" spans="1:29" s="1221" customFormat="1" ht="15">
      <c r="A14" s="2945"/>
      <c r="B14" s="2950">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359"/>
      <c r="Q14" s="1152">
        <f t="shared" si="6"/>
        <v>111</v>
      </c>
      <c r="R14" s="1569" t="s">
        <v>8</v>
      </c>
      <c r="S14" s="1570">
        <f t="shared" si="0"/>
        <v>100</v>
      </c>
      <c r="T14" s="1569" t="s">
        <v>8</v>
      </c>
      <c r="U14" s="1570">
        <f t="shared" si="1"/>
        <v>100</v>
      </c>
      <c r="V14" s="1569" t="s">
        <v>8</v>
      </c>
      <c r="W14" s="1570">
        <f t="shared" si="2"/>
        <v>100</v>
      </c>
      <c r="X14" s="1571"/>
      <c r="Y14" s="3305"/>
      <c r="Z14" s="1151">
        <f t="shared" si="7"/>
        <v>111</v>
      </c>
      <c r="AA14" s="1572">
        <f>D14/F14</f>
        <v>1</v>
      </c>
      <c r="AB14" s="1572">
        <f>D14/H14</f>
        <v>1</v>
      </c>
      <c r="AC14" s="1572">
        <f>D14/J14</f>
        <v>1</v>
      </c>
    </row>
    <row r="15" spans="1:29" ht="15">
      <c r="A15" s="2945"/>
      <c r="B15" s="2950">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359"/>
      <c r="Q15" s="1152">
        <f t="shared" si="6"/>
        <v>111</v>
      </c>
      <c r="R15" s="1569" t="s">
        <v>8</v>
      </c>
      <c r="S15" s="1570">
        <f t="shared" si="0"/>
        <v>100</v>
      </c>
      <c r="T15" s="1569" t="s">
        <v>8</v>
      </c>
      <c r="U15" s="1570">
        <f t="shared" si="1"/>
        <v>100</v>
      </c>
      <c r="V15" s="1569" t="s">
        <v>8</v>
      </c>
      <c r="W15" s="1570">
        <f t="shared" si="2"/>
        <v>100</v>
      </c>
      <c r="X15" s="1571"/>
      <c r="Y15" s="3305"/>
      <c r="Z15" s="1151">
        <f t="shared" si="7"/>
        <v>111</v>
      </c>
      <c r="AA15" s="1572">
        <f t="shared" si="3"/>
        <v>1</v>
      </c>
      <c r="AB15" s="1572">
        <f t="shared" si="4"/>
        <v>1</v>
      </c>
      <c r="AC15" s="1572">
        <f t="shared" si="5"/>
        <v>1</v>
      </c>
    </row>
    <row r="16" spans="1:29" ht="15.75" thickBot="1">
      <c r="A16" s="2946"/>
      <c r="B16" s="2951">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359"/>
      <c r="Q16" s="1152">
        <f t="shared" si="6"/>
        <v>111</v>
      </c>
      <c r="R16" s="1569" t="s">
        <v>8</v>
      </c>
      <c r="S16" s="1570">
        <f t="shared" si="0"/>
        <v>100</v>
      </c>
      <c r="T16" s="1569" t="s">
        <v>8</v>
      </c>
      <c r="U16" s="1570">
        <f t="shared" si="1"/>
        <v>100</v>
      </c>
      <c r="V16" s="1569" t="s">
        <v>8</v>
      </c>
      <c r="W16" s="1570">
        <f t="shared" si="2"/>
        <v>100</v>
      </c>
      <c r="X16" s="1571"/>
      <c r="Y16" s="3305"/>
      <c r="Z16" s="1151">
        <f t="shared" si="7"/>
        <v>111</v>
      </c>
      <c r="AA16" s="1572">
        <f t="shared" si="3"/>
        <v>1</v>
      </c>
      <c r="AB16" s="1572">
        <f t="shared" si="4"/>
        <v>1</v>
      </c>
      <c r="AC16" s="1572">
        <f t="shared" si="5"/>
        <v>1</v>
      </c>
    </row>
    <row r="17" spans="1:29" ht="57">
      <c r="A17" s="2938" t="s">
        <v>2763</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395" t="s">
        <v>541</v>
      </c>
      <c r="Q17" s="1573" t="str">
        <f t="shared" si="6"/>
        <v>产业集聚程度</v>
      </c>
      <c r="R17" s="1574" t="s">
        <v>8</v>
      </c>
      <c r="S17" s="1575">
        <f t="shared" si="0"/>
        <v>100</v>
      </c>
      <c r="T17" s="1574" t="s">
        <v>8</v>
      </c>
      <c r="U17" s="1575">
        <f t="shared" si="1"/>
        <v>100</v>
      </c>
      <c r="V17" s="1574" t="s">
        <v>8</v>
      </c>
      <c r="W17" s="1575">
        <f t="shared" si="2"/>
        <v>100</v>
      </c>
      <c r="X17" s="1568"/>
      <c r="Y17" s="3395" t="s">
        <v>541</v>
      </c>
      <c r="Z17" s="1576" t="str">
        <f t="shared" si="7"/>
        <v>产业集聚程度</v>
      </c>
      <c r="AA17" s="1577">
        <f t="shared" si="3"/>
        <v>1</v>
      </c>
      <c r="AB17" s="1577">
        <f t="shared" si="4"/>
        <v>1</v>
      </c>
      <c r="AC17" s="1577">
        <f t="shared" si="5"/>
        <v>1</v>
      </c>
    </row>
    <row r="18" spans="1:29" ht="15">
      <c r="A18" s="534"/>
      <c r="B18" s="871"/>
      <c r="C18" s="578"/>
      <c r="D18" s="557"/>
      <c r="E18" s="556"/>
      <c r="F18" s="557"/>
      <c r="G18" s="556"/>
      <c r="H18" s="561"/>
      <c r="I18" s="556"/>
      <c r="J18" s="557"/>
      <c r="K18" s="533"/>
      <c r="L18" s="2144"/>
      <c r="M18" s="2136"/>
      <c r="N18" s="2136"/>
      <c r="O18" s="2143"/>
      <c r="P18" s="3396"/>
      <c r="Q18" s="1573"/>
      <c r="R18" s="1574"/>
      <c r="S18" s="1575"/>
      <c r="T18" s="1574"/>
      <c r="U18" s="1575"/>
      <c r="V18" s="1574"/>
      <c r="W18" s="1575"/>
      <c r="X18" s="1568"/>
      <c r="Y18" s="3396"/>
      <c r="Z18" s="1576"/>
      <c r="AA18" s="1577">
        <v>1</v>
      </c>
      <c r="AB18" s="1577">
        <v>1</v>
      </c>
      <c r="AC18" s="1577">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4"/>
      <c r="B20" s="923"/>
      <c r="C20" s="578"/>
      <c r="D20" s="557"/>
      <c r="E20" s="558"/>
      <c r="F20" s="557"/>
      <c r="G20" s="558"/>
      <c r="H20" s="557"/>
      <c r="I20" s="560"/>
      <c r="J20" s="557"/>
      <c r="K20" s="533"/>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7"/>
      <c r="B22" s="597"/>
      <c r="C22" s="578"/>
      <c r="D22" s="557"/>
      <c r="E22" s="558"/>
      <c r="F22" s="559"/>
      <c r="G22" s="560"/>
      <c r="H22" s="559"/>
      <c r="I22" s="560"/>
      <c r="J22" s="559"/>
      <c r="K22" s="1349"/>
      <c r="L22" s="2144"/>
      <c r="M22" s="2136"/>
      <c r="N22" s="2136"/>
      <c r="O22" s="2143"/>
      <c r="P22" s="3396"/>
      <c r="Q22" s="1573"/>
      <c r="R22" s="1574"/>
      <c r="S22" s="1575"/>
      <c r="T22" s="1574"/>
      <c r="U22" s="1575"/>
      <c r="V22" s="1574"/>
      <c r="W22" s="1575"/>
      <c r="X22" s="1568"/>
      <c r="Y22" s="3396"/>
      <c r="Z22" s="1576"/>
      <c r="AA22" s="1577"/>
      <c r="AB22" s="1577"/>
      <c r="AC22" s="1577"/>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7"/>
      <c r="B24" s="597"/>
      <c r="C24" s="578"/>
      <c r="D24" s="557"/>
      <c r="E24" s="556"/>
      <c r="F24" s="557"/>
      <c r="G24" s="556"/>
      <c r="H24" s="557"/>
      <c r="I24" s="578"/>
      <c r="J24" s="557"/>
      <c r="K24" s="533"/>
      <c r="L24" s="2144"/>
      <c r="M24" s="2136"/>
      <c r="N24" s="2136"/>
      <c r="O24" s="2143"/>
      <c r="P24" s="3396"/>
      <c r="Q24" s="1573"/>
      <c r="R24" s="1574"/>
      <c r="S24" s="1575"/>
      <c r="T24" s="1574"/>
      <c r="U24" s="1575"/>
      <c r="V24" s="1574"/>
      <c r="W24" s="1575"/>
      <c r="X24" s="1568"/>
      <c r="Y24" s="3396"/>
      <c r="Z24" s="1576"/>
      <c r="AA24" s="1577">
        <v>1</v>
      </c>
      <c r="AB24" s="1577">
        <v>1</v>
      </c>
      <c r="AC24" s="1577">
        <v>1</v>
      </c>
    </row>
    <row r="25" spans="1:29" s="1221" customFormat="1" ht="42.75">
      <c r="A25" s="579"/>
      <c r="B25" s="2619" t="s">
        <v>2555</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396"/>
      <c r="Q25" s="1152" t="str">
        <f t="shared" si="8"/>
        <v>公共配套设施</v>
      </c>
      <c r="R25" s="1569" t="s">
        <v>8</v>
      </c>
      <c r="S25" s="1570">
        <f>F25</f>
        <v>100</v>
      </c>
      <c r="T25" s="1569" t="s">
        <v>8</v>
      </c>
      <c r="U25" s="1570">
        <f>H25</f>
        <v>100</v>
      </c>
      <c r="V25" s="1569" t="s">
        <v>8</v>
      </c>
      <c r="W25" s="1570">
        <f>J25</f>
        <v>100</v>
      </c>
      <c r="X25" s="1571"/>
      <c r="Y25" s="3396"/>
      <c r="Z25" s="1151" t="str">
        <f>Q25</f>
        <v>公共配套设施</v>
      </c>
      <c r="AA25" s="1577">
        <f>D25/F25</f>
        <v>1</v>
      </c>
      <c r="AB25" s="1577">
        <f>D25/H25</f>
        <v>1</v>
      </c>
      <c r="AC25" s="1577">
        <f>D25/J25</f>
        <v>1</v>
      </c>
    </row>
    <row r="26" spans="1:29" s="1221" customFormat="1" ht="15">
      <c r="A26" s="579"/>
      <c r="B26" s="597"/>
      <c r="C26" s="2618"/>
      <c r="D26" s="557"/>
      <c r="E26" s="556"/>
      <c r="F26" s="557"/>
      <c r="G26" s="556"/>
      <c r="H26" s="557"/>
      <c r="I26" s="578"/>
      <c r="J26" s="557"/>
      <c r="K26" s="533"/>
      <c r="L26" s="2137"/>
      <c r="M26" s="2138"/>
      <c r="N26" s="2138"/>
      <c r="O26" s="2139"/>
      <c r="P26" s="3396"/>
      <c r="Q26" s="1152"/>
      <c r="R26" s="1569"/>
      <c r="S26" s="1570"/>
      <c r="T26" s="1569"/>
      <c r="U26" s="1570"/>
      <c r="V26" s="1569"/>
      <c r="W26" s="1570"/>
      <c r="X26" s="1571"/>
      <c r="Y26" s="3396"/>
      <c r="Z26" s="1151"/>
      <c r="AA26" s="1572">
        <v>1</v>
      </c>
      <c r="AB26" s="1572">
        <v>1</v>
      </c>
      <c r="AC26" s="1572">
        <v>1</v>
      </c>
    </row>
    <row r="27" spans="1:29" s="1221" customFormat="1" ht="28.5">
      <c r="A27" s="579"/>
      <c r="B27" s="2619" t="s">
        <v>2556</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396"/>
      <c r="Q27" s="2604" t="str">
        <f t="shared" ref="Q27" si="9">B27</f>
        <v>基础设施水平</v>
      </c>
      <c r="R27" s="1569" t="s">
        <v>8</v>
      </c>
      <c r="S27" s="1570">
        <f>F27</f>
        <v>100</v>
      </c>
      <c r="T27" s="1569" t="s">
        <v>8</v>
      </c>
      <c r="U27" s="1570">
        <f>H27</f>
        <v>100</v>
      </c>
      <c r="V27" s="1569" t="s">
        <v>8</v>
      </c>
      <c r="W27" s="1570">
        <f>J27</f>
        <v>100</v>
      </c>
      <c r="X27" s="1571"/>
      <c r="Y27" s="3396"/>
      <c r="Z27" s="2601" t="str">
        <f>Q27</f>
        <v>基础设施水平</v>
      </c>
      <c r="AA27" s="1577">
        <f>D27/F27</f>
        <v>1</v>
      </c>
      <c r="AB27" s="1577">
        <f>D27/H27</f>
        <v>1</v>
      </c>
      <c r="AC27" s="1577">
        <f>D27/J27</f>
        <v>1</v>
      </c>
    </row>
    <row r="28" spans="1:29" s="1221" customFormat="1" ht="15">
      <c r="A28" s="579"/>
      <c r="B28" s="597"/>
      <c r="C28" s="2618"/>
      <c r="D28" s="557"/>
      <c r="E28" s="581"/>
      <c r="F28" s="557"/>
      <c r="G28" s="581"/>
      <c r="H28" s="557"/>
      <c r="I28" s="581"/>
      <c r="J28" s="557"/>
      <c r="K28" s="533"/>
      <c r="L28" s="2137"/>
      <c r="M28" s="2138"/>
      <c r="N28" s="2138"/>
      <c r="O28" s="2139"/>
      <c r="P28" s="3396"/>
      <c r="Q28" s="2604"/>
      <c r="R28" s="1569"/>
      <c r="S28" s="1570"/>
      <c r="T28" s="1569"/>
      <c r="U28" s="1570"/>
      <c r="V28" s="1569"/>
      <c r="W28" s="1570"/>
      <c r="X28" s="1571"/>
      <c r="Y28" s="3396"/>
      <c r="Z28" s="2601"/>
      <c r="AA28" s="1572">
        <v>1</v>
      </c>
      <c r="AB28" s="1572">
        <v>1</v>
      </c>
      <c r="AC28" s="1572">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4"/>
      <c r="B31" s="597"/>
      <c r="C31" s="578"/>
      <c r="D31" s="557"/>
      <c r="E31" s="556"/>
      <c r="F31" s="557"/>
      <c r="G31" s="556"/>
      <c r="H31" s="557"/>
      <c r="I31" s="578"/>
      <c r="J31" s="557"/>
      <c r="K31" s="583"/>
      <c r="L31" s="2144"/>
      <c r="M31" s="2136"/>
      <c r="N31" s="2136"/>
      <c r="O31" s="2143"/>
      <c r="P31" s="3396"/>
      <c r="Q31" s="1573"/>
      <c r="R31" s="1574"/>
      <c r="S31" s="1575"/>
      <c r="T31" s="1574"/>
      <c r="U31" s="1575"/>
      <c r="V31" s="1574"/>
      <c r="W31" s="1575"/>
      <c r="X31" s="1568"/>
      <c r="Y31" s="3396"/>
      <c r="Z31" s="1576"/>
      <c r="AA31" s="1577">
        <v>1</v>
      </c>
      <c r="AB31" s="1577">
        <v>1</v>
      </c>
      <c r="AC31" s="1577">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397" t="s">
        <v>551</v>
      </c>
      <c r="Q34" s="1573">
        <f t="shared" si="8"/>
        <v>111</v>
      </c>
      <c r="R34" s="1574" t="s">
        <v>8</v>
      </c>
      <c r="S34" s="1575">
        <f t="shared" si="10"/>
        <v>100</v>
      </c>
      <c r="T34" s="1574" t="s">
        <v>8</v>
      </c>
      <c r="U34" s="1575">
        <f t="shared" si="11"/>
        <v>100</v>
      </c>
      <c r="V34" s="1574" t="s">
        <v>8</v>
      </c>
      <c r="W34" s="1575">
        <f t="shared" si="12"/>
        <v>100</v>
      </c>
      <c r="X34" s="1568"/>
      <c r="Y34" s="3398" t="s">
        <v>551</v>
      </c>
      <c r="Z34" s="1576">
        <f t="shared" si="13"/>
        <v>111</v>
      </c>
      <c r="AA34" s="1577">
        <f t="shared" si="3"/>
        <v>1</v>
      </c>
      <c r="AB34" s="1577">
        <f t="shared" si="4"/>
        <v>1</v>
      </c>
      <c r="AC34" s="1577">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35" t="s">
        <v>2764</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1" customFormat="1" ht="15">
      <c r="A38" s="602"/>
      <c r="B38" s="1897" t="s">
        <v>2429</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1" t="str">
        <f t="shared" si="13"/>
        <v>宗地开发程度</v>
      </c>
      <c r="AA38" s="1572">
        <f t="shared" si="3"/>
        <v>1</v>
      </c>
      <c r="AB38" s="1572">
        <f t="shared" si="4"/>
        <v>1</v>
      </c>
      <c r="AC38" s="1572">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98" t="s">
        <v>602</v>
      </c>
      <c r="Q39" s="1573" t="str">
        <f t="shared" si="14"/>
        <v>工程地质条件</v>
      </c>
      <c r="R39" s="1574" t="s">
        <v>8</v>
      </c>
      <c r="S39" s="1575">
        <f t="shared" si="10"/>
        <v>100</v>
      </c>
      <c r="T39" s="1574" t="s">
        <v>8</v>
      </c>
      <c r="U39" s="1575">
        <f t="shared" si="11"/>
        <v>100</v>
      </c>
      <c r="V39" s="1574" t="s">
        <v>8</v>
      </c>
      <c r="W39" s="1575">
        <f t="shared" si="12"/>
        <v>100</v>
      </c>
      <c r="X39" s="1568"/>
      <c r="Y39" s="3398" t="s">
        <v>602</v>
      </c>
      <c r="Z39" s="1576" t="str">
        <f t="shared" si="13"/>
        <v>工程地质条件</v>
      </c>
      <c r="AA39" s="1577">
        <f t="shared" si="3"/>
        <v>1</v>
      </c>
      <c r="AB39" s="1577">
        <f t="shared" si="4"/>
        <v>1</v>
      </c>
      <c r="AC39" s="1577">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9" t="s">
        <v>557</v>
      </c>
      <c r="B43" s="610" t="s">
        <v>2935</v>
      </c>
      <c r="C43" s="611" t="s">
        <v>1</v>
      </c>
      <c r="D43" s="612"/>
      <c r="E43" s="613"/>
      <c r="F43" s="614"/>
      <c r="G43" s="615"/>
      <c r="H43" s="616"/>
      <c r="I43" s="613"/>
      <c r="J43" s="616"/>
      <c r="K43" s="1341"/>
      <c r="L43" s="2146"/>
      <c r="M43" s="2136"/>
      <c r="N43" s="2136"/>
      <c r="O43" s="2147"/>
      <c r="P43" s="3359" t="str">
        <f>A43</f>
        <v>成交单价</v>
      </c>
      <c r="Q43" s="3359"/>
      <c r="R43" s="3360">
        <f>E43</f>
        <v>0</v>
      </c>
      <c r="S43" s="3360"/>
      <c r="T43" s="3360">
        <f>G43</f>
        <v>0</v>
      </c>
      <c r="U43" s="3360"/>
      <c r="V43" s="3360">
        <f>I43</f>
        <v>0</v>
      </c>
      <c r="W43" s="3360"/>
      <c r="X43" s="1560"/>
      <c r="Y43" s="1582"/>
      <c r="Z43" s="1560"/>
      <c r="AA43" s="1560"/>
      <c r="AB43" s="1560"/>
      <c r="AC43" s="1560"/>
    </row>
    <row r="44" spans="1:29" ht="15.75" thickBot="1">
      <c r="A44" s="617" t="s">
        <v>2702</v>
      </c>
      <c r="B44" s="618"/>
      <c r="C44" s="619" t="e">
        <f>R45</f>
        <v>#DIV/0!</v>
      </c>
      <c r="D44" s="620"/>
      <c r="E44" s="619" t="e">
        <f>R44</f>
        <v>#DIV/0!</v>
      </c>
      <c r="F44" s="621"/>
      <c r="G44" s="622" t="e">
        <f>T44</f>
        <v>#DIV/0!</v>
      </c>
      <c r="H44" s="620"/>
      <c r="I44" s="619" t="e">
        <f>V44</f>
        <v>#DIV/0!</v>
      </c>
      <c r="J44" s="620"/>
      <c r="K44" s="1342"/>
      <c r="L44" s="2146"/>
      <c r="M44" s="2136"/>
      <c r="N44" s="2136"/>
      <c r="O44" s="2147"/>
      <c r="P44" s="3359" t="str">
        <f>A44</f>
        <v>比较价格（元/平方米）</v>
      </c>
      <c r="Q44" s="3359"/>
      <c r="R44" s="3361" t="e">
        <f>ROUND(PRODUCT(R43,AA9:AA42),0)</f>
        <v>#DIV/0!</v>
      </c>
      <c r="S44" s="3361"/>
      <c r="T44" s="3361" t="e">
        <f>ROUND(PRODUCT(T43,AB9:AB42),0)</f>
        <v>#DIV/0!</v>
      </c>
      <c r="U44" s="3361"/>
      <c r="V44" s="3361" t="e">
        <f>ROUND(PRODUCT(V43,AC9:AC42),0)</f>
        <v>#DIV/0!</v>
      </c>
      <c r="W44" s="3361"/>
      <c r="X44" s="1560"/>
      <c r="Y44" s="1560"/>
      <c r="Z44" s="1560"/>
      <c r="AA44" s="1560"/>
      <c r="AB44" s="1560"/>
      <c r="AC44" s="1560"/>
    </row>
    <row r="45" spans="1:29" ht="15.75" thickBot="1">
      <c r="A45" s="623" t="s">
        <v>2936</v>
      </c>
      <c r="B45" s="624"/>
      <c r="C45" s="625" t="e">
        <f>R45</f>
        <v>#DIV/0!</v>
      </c>
      <c r="D45" s="625"/>
      <c r="E45" s="625"/>
      <c r="F45" s="625"/>
      <c r="G45" s="625"/>
      <c r="H45" s="625"/>
      <c r="I45" s="625"/>
      <c r="J45" s="625"/>
      <c r="K45" s="1343"/>
      <c r="L45" s="2146"/>
      <c r="M45" s="2136"/>
      <c r="N45" s="2136"/>
      <c r="O45" s="2147"/>
      <c r="P45" s="3356" t="str">
        <f>A45</f>
        <v>估价对象XX用房的比较价格（楼面单价，元/平方米）</v>
      </c>
      <c r="Q45" s="3357"/>
      <c r="R45" s="3358" t="e">
        <f>ROUND(AVERAGE(R44:V44),0)</f>
        <v>#DIV/0!</v>
      </c>
      <c r="S45" s="3358"/>
      <c r="T45" s="3358"/>
      <c r="U45" s="3358"/>
      <c r="V45" s="3358"/>
      <c r="W45" s="335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1" t="s">
        <v>1726</v>
      </c>
      <c r="D52" s="2229" t="s">
        <v>2297</v>
      </c>
      <c r="E52" s="633" t="s">
        <v>563</v>
      </c>
      <c r="F52" s="1953" t="s">
        <v>564</v>
      </c>
      <c r="G52" s="3406" t="s">
        <v>2288</v>
      </c>
      <c r="H52" s="3407"/>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31546.169999999991</v>
      </c>
      <c r="F53" s="1952" t="e">
        <f t="shared" ref="F53:F62" si="15">ROUND(B53*E53/10000,0)</f>
        <v>#DIV/0!</v>
      </c>
      <c r="G53" s="3408"/>
      <c r="H53" s="340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410"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41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41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41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40" t="e">
        <f t="shared" si="17"/>
        <v>#DIV/0!</v>
      </c>
      <c r="C58" s="380">
        <f t="shared" si="16"/>
        <v>0</v>
      </c>
      <c r="D58" s="2231">
        <v>0.25</v>
      </c>
      <c r="E58" s="643">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2298</v>
      </c>
      <c r="E63" s="645">
        <f>IF(B43="楼面地价",SUM(E53:E62),'数据-汇总表'!D3)</f>
        <v>25391.93</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2018-1-1</v>
      </c>
      <c r="D65" s="2827">
        <f>EDATE(C65,-3)</f>
        <v>43009</v>
      </c>
      <c r="E65" s="2827">
        <f t="shared" ref="E65:N65" si="18">EDATE(D65,-3)</f>
        <v>42917</v>
      </c>
      <c r="F65" s="2827">
        <f t="shared" si="18"/>
        <v>42826</v>
      </c>
      <c r="G65" s="2827">
        <f t="shared" si="18"/>
        <v>42736</v>
      </c>
      <c r="H65" s="2827">
        <f t="shared" si="18"/>
        <v>42644</v>
      </c>
      <c r="I65" s="2827">
        <f t="shared" si="18"/>
        <v>42552</v>
      </c>
      <c r="J65" s="2827">
        <f t="shared" si="18"/>
        <v>42461</v>
      </c>
      <c r="K65" s="2827">
        <f t="shared" si="18"/>
        <v>42370</v>
      </c>
      <c r="L65" s="2827">
        <f t="shared" si="18"/>
        <v>42278</v>
      </c>
      <c r="M65" s="2827">
        <f t="shared" si="18"/>
        <v>42186</v>
      </c>
      <c r="N65" s="2827">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8"/>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1" t="str">
        <f>"北京市平均增长率"&amp;TEXT(基准地价!P24,"0.00%")</f>
        <v>北京市平均增长率0.00%</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2555</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2557</v>
      </c>
      <c r="C95" s="2624" t="s">
        <v>2558</v>
      </c>
      <c r="D95" s="2624" t="s">
        <v>2559</v>
      </c>
      <c r="E95" s="2624" t="s">
        <v>2560</v>
      </c>
      <c r="F95" s="2624" t="s">
        <v>2561</v>
      </c>
      <c r="G95" s="2624" t="s">
        <v>2562</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2430</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2770</v>
      </c>
      <c r="S1" s="2963" t="s">
        <v>2771</v>
      </c>
      <c r="T1" s="2963" t="s">
        <v>2792</v>
      </c>
      <c r="U1" s="2963" t="s">
        <v>2793</v>
      </c>
      <c r="V1" s="2963" t="s">
        <v>2794</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2937</v>
      </c>
      <c r="G3" s="1040">
        <f>IF(F3="宗地容积率",'数据-汇总表'!I4,IF(F3="估价对象容积率",'数据-汇总表'!I6,'数据-汇总表'!I7))</f>
        <v>1.99</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1">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420"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2773</v>
      </c>
      <c r="X7" s="2954">
        <f>G2</f>
        <v>0</v>
      </c>
      <c r="Y7" s="2954" t="s">
        <v>2774</v>
      </c>
      <c r="Z7" s="2955">
        <f>G3</f>
        <v>1.99</v>
      </c>
      <c r="AA7" s="2194"/>
      <c r="AB7" s="2194"/>
      <c r="AC7" s="2195"/>
      <c r="AD7" s="2956"/>
      <c r="AE7" s="2956"/>
      <c r="AF7" s="2956"/>
      <c r="AG7" s="2956"/>
      <c r="AH7" s="2956"/>
      <c r="AI7" s="2956"/>
      <c r="AJ7" s="2957"/>
    </row>
    <row r="8" spans="1:39" ht="15">
      <c r="A8" s="3421"/>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412" t="s">
        <v>2791</v>
      </c>
      <c r="X8" s="3413"/>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21"/>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411" t="s">
        <v>2787</v>
      </c>
      <c r="X9" s="2958" t="s">
        <v>2788</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21"/>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411"/>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21"/>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411" t="s">
        <v>2789</v>
      </c>
      <c r="X11" s="1049" t="s">
        <v>2774</v>
      </c>
      <c r="Y11" s="1654">
        <f>$G$3</f>
        <v>1.99</v>
      </c>
      <c r="Z11" s="1654">
        <f t="shared" ref="Z11:AJ11" si="3">$G$3</f>
        <v>1.99</v>
      </c>
      <c r="AA11" s="1654">
        <f t="shared" si="3"/>
        <v>1.99</v>
      </c>
      <c r="AB11" s="1654">
        <f t="shared" si="3"/>
        <v>1.99</v>
      </c>
      <c r="AC11" s="1654">
        <f t="shared" si="3"/>
        <v>1.99</v>
      </c>
      <c r="AD11" s="1654">
        <f t="shared" si="3"/>
        <v>1.99</v>
      </c>
      <c r="AE11" s="1654">
        <f t="shared" si="3"/>
        <v>1.99</v>
      </c>
      <c r="AF11" s="1654">
        <f t="shared" si="3"/>
        <v>1.99</v>
      </c>
      <c r="AG11" s="1654">
        <f t="shared" si="3"/>
        <v>1.99</v>
      </c>
      <c r="AH11" s="1654">
        <f t="shared" si="3"/>
        <v>1.99</v>
      </c>
      <c r="AI11" s="1654">
        <f t="shared" si="3"/>
        <v>1.99</v>
      </c>
      <c r="AJ11" s="1654">
        <f t="shared" si="3"/>
        <v>1.99</v>
      </c>
    </row>
    <row r="12" spans="1:39" ht="25.5" thickBot="1">
      <c r="A12" s="3420"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411"/>
      <c r="X12" s="2961" t="s">
        <v>2790</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22"/>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411"/>
      <c r="X13" s="2961"/>
      <c r="Y13" s="2960">
        <f>(-0.163*(Y12^2)-0.59*Y12+7617)*(10^(-4))/Y11</f>
        <v>0.38276381909547741</v>
      </c>
      <c r="Z13" s="2960">
        <f t="shared" ref="Z13:AJ13" si="5">(-0.163*(Z12^2)-0.59*Z12+7617)*(10^(-4))/Z11</f>
        <v>0.38276381909547741</v>
      </c>
      <c r="AA13" s="2960">
        <f t="shared" si="5"/>
        <v>0.38276381909547741</v>
      </c>
      <c r="AB13" s="2960">
        <f t="shared" si="5"/>
        <v>0.38276381909547741</v>
      </c>
      <c r="AC13" s="2960">
        <f t="shared" si="5"/>
        <v>0.38276381909547741</v>
      </c>
      <c r="AD13" s="2960">
        <f t="shared" si="5"/>
        <v>0.38276381909547741</v>
      </c>
      <c r="AE13" s="2960">
        <f t="shared" si="5"/>
        <v>0.38276381909547741</v>
      </c>
      <c r="AF13" s="2960">
        <f t="shared" si="5"/>
        <v>0.38276381909547741</v>
      </c>
      <c r="AG13" s="2960">
        <f t="shared" si="5"/>
        <v>0.38276381909547741</v>
      </c>
      <c r="AH13" s="2960">
        <f t="shared" si="5"/>
        <v>0.38276381909547741</v>
      </c>
      <c r="AI13" s="2960">
        <f t="shared" si="5"/>
        <v>0.38276381909547741</v>
      </c>
      <c r="AJ13" s="2960">
        <f t="shared" si="5"/>
        <v>0.38276381909547741</v>
      </c>
    </row>
    <row r="14" spans="1:39" ht="12.75" customHeight="1" thickBot="1">
      <c r="A14" s="3422"/>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423"/>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420"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421"/>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43123</v>
      </c>
      <c r="H19" s="1476" t="s">
        <v>2938</v>
      </c>
      <c r="I19" s="2812" t="str">
        <f>IF(H19="季度增幅（自定义）",SUMIF(N21:N24,E2,O21:O24),"")</f>
        <v/>
      </c>
      <c r="J19" s="1472"/>
      <c r="K19" s="1482"/>
      <c r="L19" s="3066" t="s">
        <v>2849</v>
      </c>
      <c r="M19" s="3067">
        <f>ROUND(SUMIF(地价!B2:F2,E2,地价!B20:F20),0)</f>
        <v>0</v>
      </c>
      <c r="N19" s="2814" t="s">
        <v>1678</v>
      </c>
      <c r="O19" s="2813">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8" t="s">
        <v>2850</v>
      </c>
      <c r="M20" s="3069">
        <f>ROUND(SUMPRODUCT((地价!A5:A20=YEAR(G19)&amp;"-"&amp;ROUNDUP(MONTH(G19)/3,0))*(地价!B2:F2=E2)*(地价!B5:F20)),0)</f>
        <v>0</v>
      </c>
      <c r="N20" s="2817" t="s">
        <v>2654</v>
      </c>
      <c r="O20" s="2815" t="s">
        <v>2653</v>
      </c>
      <c r="P20" s="2816" t="s">
        <v>2659</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2769</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1.9</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0</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2"/>
      <c r="S25" s="2952"/>
      <c r="T25" s="2952"/>
      <c r="U25" s="2952"/>
      <c r="V25" s="2952"/>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6" t="s">
        <v>2965</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7"/>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7"/>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8"/>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4" t="s">
        <v>2940</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3" t="s">
        <v>2939</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4" t="s">
        <v>2941</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3" t="s">
        <v>2939</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3" t="s">
        <v>2939</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3" t="s">
        <v>2939</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4" t="s">
        <v>1635</v>
      </c>
      <c r="B90" s="3424"/>
      <c r="C90" s="3424"/>
      <c r="D90" s="3424"/>
      <c r="E90" s="3424"/>
      <c r="F90" s="3424"/>
      <c r="G90" s="3424"/>
      <c r="H90" s="3424"/>
      <c r="I90" s="3424"/>
      <c r="J90" s="3424"/>
      <c r="K90" s="2476"/>
      <c r="L90" s="2476"/>
      <c r="M90" s="2476"/>
      <c r="N90" s="2476"/>
    </row>
    <row r="91" spans="1:40">
      <c r="A91" s="3425" t="s">
        <v>1445</v>
      </c>
      <c r="B91" s="3425" t="s">
        <v>1636</v>
      </c>
      <c r="C91" s="1141" t="s">
        <v>1637</v>
      </c>
      <c r="D91" s="1142"/>
      <c r="E91" s="1142"/>
      <c r="F91" s="1142"/>
      <c r="G91" s="1142"/>
      <c r="H91" s="1142"/>
      <c r="I91" s="1142"/>
      <c r="J91" s="1143"/>
      <c r="K91" s="1135"/>
      <c r="L91" s="1135"/>
      <c r="M91" s="1135"/>
      <c r="N91" s="1135"/>
    </row>
    <row r="92" spans="1:40">
      <c r="A92" s="3425"/>
      <c r="B92" s="3425"/>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4" t="s">
        <v>2772</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15"/>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15"/>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15"/>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15"/>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15"/>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15"/>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16"/>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14" t="s">
        <v>1639</v>
      </c>
      <c r="B101" s="1148" t="s">
        <v>907</v>
      </c>
      <c r="C101" s="1149">
        <f>$G$3</f>
        <v>1.99</v>
      </c>
      <c r="D101" s="1149">
        <f t="shared" ref="D101:N101" si="31">$G$3</f>
        <v>1.99</v>
      </c>
      <c r="E101" s="1149">
        <f t="shared" si="31"/>
        <v>1.99</v>
      </c>
      <c r="F101" s="1149">
        <f t="shared" si="31"/>
        <v>1.99</v>
      </c>
      <c r="G101" s="1149">
        <f t="shared" si="31"/>
        <v>1.99</v>
      </c>
      <c r="H101" s="1149">
        <f t="shared" si="31"/>
        <v>1.99</v>
      </c>
      <c r="I101" s="1149">
        <f t="shared" si="31"/>
        <v>1.99</v>
      </c>
      <c r="J101" s="1149">
        <f t="shared" si="31"/>
        <v>1.99</v>
      </c>
      <c r="K101" s="1149">
        <f t="shared" si="31"/>
        <v>1.99</v>
      </c>
      <c r="L101" s="1149">
        <f t="shared" si="31"/>
        <v>1.99</v>
      </c>
      <c r="M101" s="1149">
        <f t="shared" si="31"/>
        <v>1.99</v>
      </c>
      <c r="N101" s="1149">
        <f t="shared" si="31"/>
        <v>1.99</v>
      </c>
    </row>
    <row r="102" spans="1:14">
      <c r="A102" s="3415"/>
      <c r="B102" s="1144">
        <v>1</v>
      </c>
      <c r="C102" s="1145">
        <f>1.9362/C101</f>
        <v>0.97296482412060303</v>
      </c>
      <c r="D102" s="1145">
        <f>1.9362/D101</f>
        <v>0.97296482412060303</v>
      </c>
      <c r="E102" s="1145">
        <f>1.8629/E101</f>
        <v>0.93613065326633171</v>
      </c>
      <c r="F102" s="1145">
        <f>1.8629/F101</f>
        <v>0.93613065326633171</v>
      </c>
      <c r="G102" s="1145">
        <f>1.8629/G101</f>
        <v>0.93613065326633171</v>
      </c>
      <c r="H102" s="1145">
        <f>1.8629/H101</f>
        <v>0.93613065326633171</v>
      </c>
      <c r="I102" s="1145">
        <f>1.8629/I101</f>
        <v>0.93613065326633171</v>
      </c>
      <c r="J102" s="1145">
        <f>1.942/J101</f>
        <v>0.97587939698492465</v>
      </c>
      <c r="K102" s="1145">
        <f>1.942/K101</f>
        <v>0.97587939698492465</v>
      </c>
      <c r="L102" s="1145">
        <f>1.942/L101</f>
        <v>0.97587939698492465</v>
      </c>
      <c r="M102" s="1145">
        <f>1.942/M101</f>
        <v>0.97587939698492465</v>
      </c>
      <c r="N102" s="1145">
        <f>1.942/N101</f>
        <v>0.97587939698492465</v>
      </c>
    </row>
    <row r="103" spans="1:14">
      <c r="A103" s="3415"/>
      <c r="B103" s="1144">
        <v>2</v>
      </c>
      <c r="C103" s="1145">
        <f>1.4198/C101</f>
        <v>0.71346733668341711</v>
      </c>
      <c r="D103" s="1145">
        <f>1.4198/D101</f>
        <v>0.71346733668341711</v>
      </c>
      <c r="E103" s="1145">
        <f>1.3372/E101</f>
        <v>0.67195979899497482</v>
      </c>
      <c r="F103" s="1145">
        <f>1.3372/F101</f>
        <v>0.67195979899497482</v>
      </c>
      <c r="G103" s="1145">
        <f>1.3372/G101</f>
        <v>0.67195979899497482</v>
      </c>
      <c r="H103" s="1145">
        <f>1.3372/H101</f>
        <v>0.67195979899497482</v>
      </c>
      <c r="I103" s="1145">
        <f>1.3372/I101</f>
        <v>0.67195979899497482</v>
      </c>
      <c r="J103" s="1145">
        <f>1.2799/J101</f>
        <v>0.64316582914572862</v>
      </c>
      <c r="K103" s="1145">
        <f>1.2799/K101</f>
        <v>0.64316582914572862</v>
      </c>
      <c r="L103" s="1145">
        <f>1.2799/L101</f>
        <v>0.64316582914572862</v>
      </c>
      <c r="M103" s="1145">
        <f>1.2799/M101</f>
        <v>0.64316582914572862</v>
      </c>
      <c r="N103" s="1145">
        <f>1.2799/N101</f>
        <v>0.64316582914572862</v>
      </c>
    </row>
    <row r="104" spans="1:14">
      <c r="A104" s="3415"/>
      <c r="B104" s="1144">
        <v>3</v>
      </c>
      <c r="C104" s="1145">
        <f>1.1594/C101</f>
        <v>0.58261306532663315</v>
      </c>
      <c r="D104" s="1145">
        <f>1.1594/D101</f>
        <v>0.58261306532663315</v>
      </c>
      <c r="E104" s="1145">
        <f>1.0788/E101</f>
        <v>0.54211055276381914</v>
      </c>
      <c r="F104" s="1145">
        <f>1.0788/F101</f>
        <v>0.54211055276381914</v>
      </c>
      <c r="G104" s="1145">
        <f>1.0788/G101</f>
        <v>0.54211055276381914</v>
      </c>
      <c r="H104" s="1145">
        <f>1.0788/H101</f>
        <v>0.54211055276381914</v>
      </c>
      <c r="I104" s="1145">
        <f>1.0788/I101</f>
        <v>0.54211055276381914</v>
      </c>
      <c r="J104" s="1145">
        <f>1.0072/J101</f>
        <v>0.50613065326633166</v>
      </c>
      <c r="K104" s="1145">
        <f>1.0072/K101</f>
        <v>0.50613065326633166</v>
      </c>
      <c r="L104" s="1145">
        <f>1.0072/L101</f>
        <v>0.50613065326633166</v>
      </c>
      <c r="M104" s="1145">
        <f>1.0072/M101</f>
        <v>0.50613065326633166</v>
      </c>
      <c r="N104" s="1145">
        <f>1.0072/N101</f>
        <v>0.50613065326633166</v>
      </c>
    </row>
    <row r="105" spans="1:14">
      <c r="A105" s="3415"/>
      <c r="B105" s="1144">
        <v>4</v>
      </c>
      <c r="C105" s="1145">
        <f>0.9622/C101</f>
        <v>0.48351758793969851</v>
      </c>
      <c r="D105" s="1145">
        <f>0.9622/D101</f>
        <v>0.48351758793969851</v>
      </c>
      <c r="E105" s="1145">
        <f>0.8656/E101</f>
        <v>0.43497487437185933</v>
      </c>
      <c r="F105" s="1145">
        <f>0.8656/F101</f>
        <v>0.43497487437185933</v>
      </c>
      <c r="G105" s="1145">
        <f>0.8656/G101</f>
        <v>0.43497487437185933</v>
      </c>
      <c r="H105" s="1145">
        <f>0.8656/H101</f>
        <v>0.43497487437185933</v>
      </c>
      <c r="I105" s="1145">
        <f>0.8656/I101</f>
        <v>0.43497487437185933</v>
      </c>
      <c r="J105" s="1145">
        <f>0.7525/J101</f>
        <v>0.37814070351758794</v>
      </c>
      <c r="K105" s="1145">
        <f>0.7525/K101</f>
        <v>0.37814070351758794</v>
      </c>
      <c r="L105" s="1145">
        <f>0.7525/L101</f>
        <v>0.37814070351758794</v>
      </c>
      <c r="M105" s="1145">
        <f>0.7525/M101</f>
        <v>0.37814070351758794</v>
      </c>
      <c r="N105" s="1145">
        <f>0.7525/N101</f>
        <v>0.37814070351758794</v>
      </c>
    </row>
    <row r="106" spans="1:14">
      <c r="A106" s="3415"/>
      <c r="B106" s="1144">
        <v>5</v>
      </c>
      <c r="C106" s="1145">
        <f>0.8417/C101</f>
        <v>0.42296482412060304</v>
      </c>
      <c r="D106" s="1145">
        <f>0.8417/D101</f>
        <v>0.42296482412060304</v>
      </c>
      <c r="E106" s="1145">
        <f>0.7371/E101</f>
        <v>0.37040201005025125</v>
      </c>
      <c r="F106" s="1145">
        <f>0.7371/F101</f>
        <v>0.37040201005025125</v>
      </c>
      <c r="G106" s="1145">
        <f>0.7371/G101</f>
        <v>0.37040201005025125</v>
      </c>
      <c r="H106" s="1145">
        <f>0.7371/H101</f>
        <v>0.37040201005025125</v>
      </c>
      <c r="I106" s="1145">
        <f>0.7371/I101</f>
        <v>0.37040201005025125</v>
      </c>
      <c r="J106" s="1145">
        <f>0.5659/J101</f>
        <v>0.2843718592964824</v>
      </c>
      <c r="K106" s="1145">
        <f>0.5659/K101</f>
        <v>0.2843718592964824</v>
      </c>
      <c r="L106" s="1145">
        <f>0.5659/L101</f>
        <v>0.2843718592964824</v>
      </c>
      <c r="M106" s="1145">
        <f>0.5659/M101</f>
        <v>0.2843718592964824</v>
      </c>
      <c r="N106" s="1145">
        <f>0.5659/N101</f>
        <v>0.2843718592964824</v>
      </c>
    </row>
    <row r="107" spans="1:14">
      <c r="A107" s="3415"/>
      <c r="B107" s="1144">
        <v>6</v>
      </c>
      <c r="C107" s="1145">
        <f>0.7608/C101</f>
        <v>0.38231155778894477</v>
      </c>
      <c r="D107" s="1145">
        <f>0.7608/D101</f>
        <v>0.38231155778894477</v>
      </c>
      <c r="E107" s="1145">
        <f>0.6482/E101</f>
        <v>0.32572864321608042</v>
      </c>
      <c r="F107" s="1145">
        <f>0.6482/F101</f>
        <v>0.32572864321608042</v>
      </c>
      <c r="G107" s="1145">
        <f>0.6482/G101</f>
        <v>0.32572864321608042</v>
      </c>
      <c r="H107" s="1145">
        <f>0.6482/H101</f>
        <v>0.32572864321608042</v>
      </c>
      <c r="I107" s="1145">
        <f>0.6482/I101</f>
        <v>0.32572864321608042</v>
      </c>
      <c r="J107" s="1145">
        <f>0.4525/J101</f>
        <v>0.22738693467336685</v>
      </c>
      <c r="K107" s="1145">
        <f>0.4525/K101</f>
        <v>0.22738693467336685</v>
      </c>
      <c r="L107" s="1145">
        <f>0.4525/L101</f>
        <v>0.22738693467336685</v>
      </c>
      <c r="M107" s="1145">
        <f>0.4525/M101</f>
        <v>0.22738693467336685</v>
      </c>
      <c r="N107" s="1145">
        <f>0.4525/N101</f>
        <v>0.22738693467336685</v>
      </c>
    </row>
    <row r="108" spans="1:14">
      <c r="A108" s="3415"/>
      <c r="B108" s="3417"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16"/>
      <c r="B109" s="3418"/>
      <c r="C109" s="1147">
        <f>(-0.163*(C108^2)-0.59*C108+7617)*(10^(-4))/C101</f>
        <v>0.3820024120603015</v>
      </c>
      <c r="D109" s="1147">
        <f>(-0.163*(D108^2)-0.59*D108+7617)*(10^(-4))/D101</f>
        <v>0.3820024120603015</v>
      </c>
      <c r="E109" s="1147">
        <f>(-0.161*(E108^2)-7.509*E108+6533)*(10^(-4))/E101</f>
        <v>0.32475497487437188</v>
      </c>
      <c r="F109" s="1147">
        <f>(-0.161*(F108^2)-7.509*F108+6533)*(10^(-4))/F101</f>
        <v>0.32475497487437188</v>
      </c>
      <c r="G109" s="1147">
        <f>(-0.161*(G108^2)-7.509*G108+6533)*(10^(-4))/G101</f>
        <v>0.32475497487437188</v>
      </c>
      <c r="H109" s="1147">
        <f>(-0.161*(H108^2)-7.509*H108+6533)*(10^(-4))/H101</f>
        <v>0.32475497487437188</v>
      </c>
      <c r="I109" s="1147">
        <f>(-0.161*(I108^2)-7.509*I108+6533)*(10^(-4))/I101</f>
        <v>0.32475497487437188</v>
      </c>
      <c r="J109" s="1147">
        <f>(-0.214*(J108^2)-21.991*J108+4665)*(10^(-4))/J101</f>
        <v>0.22489326633165832</v>
      </c>
      <c r="K109" s="1147">
        <f>(-0.214*(K108^2)-21.991*K108+4665)*(10^(-4))/K101</f>
        <v>0.22489326633165832</v>
      </c>
      <c r="L109" s="1147">
        <f>(-0.214*(L108^2)-21.991*L108+4665)*(10^(-4))/L101</f>
        <v>0.22489326633165832</v>
      </c>
      <c r="M109" s="1147">
        <f>(-0.214*(M108^2)-21.991*M108+4665)*(10^(-4))/M101</f>
        <v>0.22489326633165832</v>
      </c>
      <c r="N109" s="1147">
        <f>(-0.214*(N108^2)-21.991*N108+4665)*(10^(-4))/N101</f>
        <v>0.22489326633165832</v>
      </c>
    </row>
    <row r="110" spans="1:14">
      <c r="A110" s="3419" t="s">
        <v>1641</v>
      </c>
      <c r="B110" s="3419"/>
      <c r="C110" s="3419"/>
      <c r="D110" s="3419"/>
      <c r="E110" s="3419"/>
      <c r="F110" s="3419"/>
      <c r="G110" s="3419"/>
      <c r="H110" s="3419"/>
      <c r="I110" s="3419"/>
      <c r="J110" s="3419"/>
      <c r="K110" s="2474"/>
      <c r="L110" s="2474"/>
      <c r="M110" s="2474"/>
      <c r="N110" s="2474"/>
    </row>
    <row r="112" spans="1:14" ht="12.75" thickBot="1"/>
    <row r="113" spans="1:13" ht="25.5" thickBot="1">
      <c r="A113" s="1017" t="s">
        <v>897</v>
      </c>
      <c r="B113" s="2477">
        <f>G3</f>
        <v>1.99</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0.91479999999999995</v>
      </c>
      <c r="C115" s="1031">
        <f>B115</f>
        <v>0.91479999999999995</v>
      </c>
      <c r="D115" s="1031">
        <f>ROUND(0.8331-0.0109*B113,4)</f>
        <v>0.81140000000000001</v>
      </c>
      <c r="E115" s="1031">
        <f>D115</f>
        <v>0.81140000000000001</v>
      </c>
      <c r="F115" s="1031">
        <f>E115</f>
        <v>0.81140000000000001</v>
      </c>
      <c r="G115" s="1031">
        <f>F115</f>
        <v>0.81140000000000001</v>
      </c>
      <c r="H115" s="1031">
        <f>G115</f>
        <v>0.81140000000000001</v>
      </c>
      <c r="I115" s="1031">
        <f>ROUND(0.689-0.0155*B113,4)</f>
        <v>0.65820000000000001</v>
      </c>
      <c r="J115" s="1031">
        <f t="shared" ref="J115:M118" si="33">I115</f>
        <v>0.65820000000000001</v>
      </c>
      <c r="K115" s="1031">
        <f t="shared" si="33"/>
        <v>0.65820000000000001</v>
      </c>
      <c r="L115" s="1031">
        <f t="shared" si="33"/>
        <v>0.65820000000000001</v>
      </c>
      <c r="M115" s="1032">
        <f t="shared" si="33"/>
        <v>0.65820000000000001</v>
      </c>
    </row>
    <row r="116" spans="1:13" ht="12.75">
      <c r="A116" s="1030" t="s">
        <v>902</v>
      </c>
      <c r="B116" s="1031">
        <f>ROUND(0.949-0.012*B113,4)</f>
        <v>0.92510000000000003</v>
      </c>
      <c r="C116" s="1031">
        <f>B116</f>
        <v>0.92510000000000003</v>
      </c>
      <c r="D116" s="1031">
        <f>ROUND(0.8567-0.013*B113,4)</f>
        <v>0.83079999999999998</v>
      </c>
      <c r="E116" s="1031">
        <f t="shared" ref="E116:H117" si="34">D116</f>
        <v>0.83079999999999998</v>
      </c>
      <c r="F116" s="1031">
        <f t="shared" si="34"/>
        <v>0.83079999999999998</v>
      </c>
      <c r="G116" s="1031">
        <f t="shared" si="34"/>
        <v>0.83079999999999998</v>
      </c>
      <c r="H116" s="1031">
        <f t="shared" si="34"/>
        <v>0.83079999999999998</v>
      </c>
      <c r="I116" s="1031">
        <f>ROUND(0.7694-0.014*B113,4)</f>
        <v>0.74150000000000005</v>
      </c>
      <c r="J116" s="1031">
        <f t="shared" si="33"/>
        <v>0.74150000000000005</v>
      </c>
      <c r="K116" s="1031">
        <f t="shared" si="33"/>
        <v>0.74150000000000005</v>
      </c>
      <c r="L116" s="1031">
        <f t="shared" si="33"/>
        <v>0.74150000000000005</v>
      </c>
      <c r="M116" s="1032">
        <f t="shared" si="33"/>
        <v>0.74150000000000005</v>
      </c>
    </row>
    <row r="117" spans="1:13" ht="12.75">
      <c r="A117" s="1033" t="s">
        <v>903</v>
      </c>
      <c r="B117" s="1031">
        <f>ROUND(0.8808-0.006*B113,4)</f>
        <v>0.86890000000000001</v>
      </c>
      <c r="C117" s="1031">
        <f>B117</f>
        <v>0.86890000000000001</v>
      </c>
      <c r="D117" s="1031">
        <f>ROUND(0.8748-0.008*B113,4)</f>
        <v>0.8589</v>
      </c>
      <c r="E117" s="1031">
        <f t="shared" si="34"/>
        <v>0.8589</v>
      </c>
      <c r="F117" s="1031">
        <f t="shared" si="34"/>
        <v>0.8589</v>
      </c>
      <c r="G117" s="1031">
        <f t="shared" si="34"/>
        <v>0.8589</v>
      </c>
      <c r="H117" s="1031">
        <f t="shared" si="34"/>
        <v>0.8589</v>
      </c>
      <c r="I117" s="1031">
        <f>ROUND(0.7412-0.0095*B113,4)</f>
        <v>0.72230000000000005</v>
      </c>
      <c r="J117" s="1031">
        <f t="shared" si="33"/>
        <v>0.72230000000000005</v>
      </c>
      <c r="K117" s="1031">
        <f t="shared" si="33"/>
        <v>0.72230000000000005</v>
      </c>
      <c r="L117" s="1031">
        <f t="shared" si="33"/>
        <v>0.72230000000000005</v>
      </c>
      <c r="M117" s="1032">
        <f t="shared" si="33"/>
        <v>0.72230000000000005</v>
      </c>
    </row>
    <row r="118" spans="1:13" ht="13.5" thickBot="1">
      <c r="A118" s="1034" t="s">
        <v>904</v>
      </c>
      <c r="B118" s="1035">
        <f>ROUND(0.7275-0.01*B113,4)</f>
        <v>0.70760000000000001</v>
      </c>
      <c r="C118" s="1035">
        <f>B118</f>
        <v>0.70760000000000001</v>
      </c>
      <c r="D118" s="1035">
        <f>ROUND(0.7043-0.012*B113,4)</f>
        <v>0.6804</v>
      </c>
      <c r="E118" s="1035">
        <f>D118</f>
        <v>0.6804</v>
      </c>
      <c r="F118" s="1035">
        <f>E118</f>
        <v>0.6804</v>
      </c>
      <c r="G118" s="1035">
        <f>ROUND(0.6299-0.0122*B113,4)</f>
        <v>0.60560000000000003</v>
      </c>
      <c r="H118" s="1035">
        <f>G118</f>
        <v>0.60560000000000003</v>
      </c>
      <c r="I118" s="1035">
        <f>ROUND(0.5667-0.0136*B113,4)</f>
        <v>0.53959999999999997</v>
      </c>
      <c r="J118" s="1035">
        <f t="shared" si="33"/>
        <v>0.53959999999999997</v>
      </c>
      <c r="K118" s="1035">
        <f t="shared" si="33"/>
        <v>0.53959999999999997</v>
      </c>
      <c r="L118" s="1035">
        <f t="shared" si="33"/>
        <v>0.53959999999999997</v>
      </c>
      <c r="M118" s="1036">
        <f t="shared" si="33"/>
        <v>0.53959999999999997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25" t="s">
        <v>1009</v>
      </c>
      <c r="B18" s="1155" t="s">
        <v>1448</v>
      </c>
      <c r="C18" s="1132" t="s">
        <v>1449</v>
      </c>
      <c r="D18" s="1133"/>
      <c r="E18" s="1155">
        <v>1</v>
      </c>
      <c r="F18" s="1134" t="s">
        <v>1450</v>
      </c>
      <c r="G18" s="1135"/>
      <c r="H18" s="1106"/>
      <c r="I18" s="1106"/>
    </row>
    <row r="19" spans="1:9" s="1600" customFormat="1" ht="19.5" customHeight="1">
      <c r="A19" s="3425"/>
      <c r="B19" s="3425" t="s">
        <v>1451</v>
      </c>
      <c r="C19" s="1132" t="s">
        <v>1452</v>
      </c>
      <c r="D19" s="1133"/>
      <c r="E19" s="1155">
        <v>0.9</v>
      </c>
      <c r="F19" s="1134" t="s">
        <v>1453</v>
      </c>
      <c r="G19" s="1135"/>
      <c r="H19" s="1106"/>
      <c r="I19" s="1106"/>
    </row>
    <row r="20" spans="1:9" s="1600" customFormat="1" ht="19.5" customHeight="1">
      <c r="A20" s="3425"/>
      <c r="B20" s="3425"/>
      <c r="C20" s="1132" t="s">
        <v>1454</v>
      </c>
      <c r="D20" s="1133"/>
      <c r="E20" s="1155">
        <v>1.1000000000000001</v>
      </c>
      <c r="F20" s="1134" t="s">
        <v>1455</v>
      </c>
      <c r="G20" s="1135"/>
      <c r="H20" s="1106"/>
      <c r="I20" s="1106"/>
    </row>
    <row r="21" spans="1:9" s="1600" customFormat="1" ht="19.5" customHeight="1">
      <c r="A21" s="3425"/>
      <c r="B21" s="3425"/>
      <c r="C21" s="1132" t="s">
        <v>1456</v>
      </c>
      <c r="D21" s="1133"/>
      <c r="E21" s="1155">
        <v>0.8</v>
      </c>
      <c r="F21" s="1134" t="s">
        <v>1457</v>
      </c>
      <c r="G21" s="1135"/>
      <c r="H21" s="1106"/>
      <c r="I21" s="1106"/>
    </row>
    <row r="22" spans="1:9" s="1600" customFormat="1" ht="19.5" customHeight="1">
      <c r="A22" s="3425"/>
      <c r="B22" s="3425"/>
      <c r="C22" s="1132" t="s">
        <v>1458</v>
      </c>
      <c r="D22" s="1133"/>
      <c r="E22" s="1155">
        <v>0.5</v>
      </c>
      <c r="F22" s="1134"/>
      <c r="G22" s="1135"/>
      <c r="H22" s="1106"/>
      <c r="I22" s="1106"/>
    </row>
    <row r="23" spans="1:9" s="1600" customFormat="1" ht="19.5" customHeight="1">
      <c r="A23" s="3425" t="s">
        <v>1031</v>
      </c>
      <c r="B23" s="1155" t="s">
        <v>1448</v>
      </c>
      <c r="C23" s="1132" t="s">
        <v>1459</v>
      </c>
      <c r="D23" s="1133"/>
      <c r="E23" s="1155">
        <v>1</v>
      </c>
      <c r="F23" s="1134" t="s">
        <v>1460</v>
      </c>
      <c r="G23" s="1135"/>
      <c r="H23" s="1106"/>
      <c r="I23" s="1106"/>
    </row>
    <row r="24" spans="1:9" s="1600" customFormat="1" ht="19.5" customHeight="1">
      <c r="A24" s="3425"/>
      <c r="B24" s="3425" t="s">
        <v>1451</v>
      </c>
      <c r="C24" s="1132" t="s">
        <v>1461</v>
      </c>
      <c r="D24" s="1133"/>
      <c r="E24" s="1155">
        <v>0.5</v>
      </c>
      <c r="F24" s="1134"/>
      <c r="G24" s="1135"/>
      <c r="H24" s="1106"/>
      <c r="I24" s="1106"/>
    </row>
    <row r="25" spans="1:9" s="1600" customFormat="1" ht="19.5" customHeight="1">
      <c r="A25" s="3425"/>
      <c r="B25" s="3425"/>
      <c r="C25" s="1132" t="s">
        <v>1462</v>
      </c>
      <c r="D25" s="1133"/>
      <c r="E25" s="1155">
        <v>1.1000000000000001</v>
      </c>
      <c r="F25" s="1134"/>
      <c r="G25" s="1135"/>
      <c r="H25" s="1106"/>
      <c r="I25" s="1106"/>
    </row>
    <row r="26" spans="1:9" s="1600" customFormat="1" ht="19.5" customHeight="1">
      <c r="A26" s="3425"/>
      <c r="B26" s="3425"/>
      <c r="C26" s="1132" t="s">
        <v>1463</v>
      </c>
      <c r="D26" s="1133"/>
      <c r="E26" s="1155">
        <v>1.1000000000000001</v>
      </c>
      <c r="F26" s="1134"/>
      <c r="G26" s="1135"/>
      <c r="H26" s="1106"/>
      <c r="I26" s="1106"/>
    </row>
    <row r="27" spans="1:9" s="1600" customFormat="1" ht="19.5" customHeight="1">
      <c r="A27" s="3425"/>
      <c r="B27" s="3425"/>
      <c r="C27" s="1132" t="s">
        <v>1464</v>
      </c>
      <c r="D27" s="1133"/>
      <c r="E27" s="1155">
        <v>0.9</v>
      </c>
      <c r="F27" s="1134" t="s">
        <v>1465</v>
      </c>
      <c r="G27" s="1135"/>
      <c r="H27" s="1106"/>
      <c r="I27" s="1106"/>
    </row>
    <row r="28" spans="1:9" s="1600" customFormat="1" ht="19.5" customHeight="1">
      <c r="A28" s="3425"/>
      <c r="B28" s="3425"/>
      <c r="C28" s="1132" t="s">
        <v>1466</v>
      </c>
      <c r="D28" s="1133"/>
      <c r="E28" s="1155">
        <v>0.9</v>
      </c>
      <c r="F28" s="1134" t="s">
        <v>1467</v>
      </c>
      <c r="G28" s="1135"/>
      <c r="H28" s="1106"/>
      <c r="I28" s="1106"/>
    </row>
    <row r="29" spans="1:9" s="1600" customFormat="1" ht="19.5" customHeight="1">
      <c r="A29" s="3425"/>
      <c r="B29" s="3425"/>
      <c r="C29" s="1132" t="s">
        <v>1468</v>
      </c>
      <c r="D29" s="1133"/>
      <c r="E29" s="1155">
        <v>0.9</v>
      </c>
      <c r="F29" s="1134" t="s">
        <v>1469</v>
      </c>
      <c r="G29" s="1135"/>
      <c r="H29" s="1106"/>
      <c r="I29" s="1106"/>
    </row>
    <row r="30" spans="1:9" s="1600" customFormat="1" ht="19.5" customHeight="1">
      <c r="A30" s="3425"/>
      <c r="B30" s="3425"/>
      <c r="C30" s="1132" t="s">
        <v>1470</v>
      </c>
      <c r="D30" s="1133"/>
      <c r="E30" s="1155">
        <v>0.9</v>
      </c>
      <c r="F30" s="1134" t="s">
        <v>1471</v>
      </c>
      <c r="G30" s="1135"/>
      <c r="H30" s="1106"/>
      <c r="I30" s="1106"/>
    </row>
    <row r="31" spans="1:9" s="1600" customFormat="1" ht="19.5" customHeight="1">
      <c r="A31" s="3425"/>
      <c r="B31" s="3425"/>
      <c r="C31" s="1132" t="s">
        <v>1472</v>
      </c>
      <c r="D31" s="1133"/>
      <c r="E31" s="1155">
        <v>0.8</v>
      </c>
      <c r="F31" s="1134" t="s">
        <v>1473</v>
      </c>
      <c r="G31" s="1135"/>
      <c r="H31" s="1106"/>
      <c r="I31" s="1106"/>
    </row>
    <row r="32" spans="1:9" s="1600" customFormat="1" ht="19.5" customHeight="1">
      <c r="A32" s="3425"/>
      <c r="B32" s="3425"/>
      <c r="C32" s="1132" t="s">
        <v>1474</v>
      </c>
      <c r="D32" s="1133"/>
      <c r="E32" s="1155">
        <v>0.8</v>
      </c>
      <c r="F32" s="1134" t="s">
        <v>1475</v>
      </c>
      <c r="G32" s="1135"/>
      <c r="H32" s="1106"/>
      <c r="I32" s="1106"/>
    </row>
    <row r="33" spans="1:9" s="1600" customFormat="1" ht="19.5" customHeight="1">
      <c r="A33" s="3425" t="s">
        <v>1476</v>
      </c>
      <c r="B33" s="1155" t="s">
        <v>1448</v>
      </c>
      <c r="C33" s="1132" t="s">
        <v>1477</v>
      </c>
      <c r="D33" s="1133"/>
      <c r="E33" s="1155">
        <v>1</v>
      </c>
      <c r="F33" s="1134" t="s">
        <v>1478</v>
      </c>
      <c r="G33" s="1135"/>
      <c r="H33" s="1106"/>
      <c r="I33" s="1106"/>
    </row>
    <row r="34" spans="1:9" s="1600" customFormat="1" ht="19.5" customHeight="1">
      <c r="A34" s="3425"/>
      <c r="B34" s="1155" t="s">
        <v>1451</v>
      </c>
      <c r="C34" s="1132" t="s">
        <v>1479</v>
      </c>
      <c r="D34" s="1133"/>
      <c r="E34" s="1155">
        <v>1.5</v>
      </c>
      <c r="F34" s="1134" t="s">
        <v>1480</v>
      </c>
      <c r="G34" s="1135"/>
      <c r="H34" s="1106"/>
      <c r="I34" s="1106"/>
    </row>
    <row r="35" spans="1:9" s="1600" customFormat="1" ht="19.5" customHeight="1">
      <c r="A35" s="3425" t="s">
        <v>1434</v>
      </c>
      <c r="B35" s="1155" t="s">
        <v>1448</v>
      </c>
      <c r="C35" s="1132" t="s">
        <v>1481</v>
      </c>
      <c r="D35" s="1133"/>
      <c r="E35" s="1155">
        <v>1</v>
      </c>
      <c r="F35" s="1134" t="s">
        <v>1482</v>
      </c>
      <c r="G35" s="1135"/>
      <c r="H35" s="1106"/>
      <c r="I35" s="1106"/>
    </row>
    <row r="36" spans="1:9" s="1600" customFormat="1" ht="19.5" customHeight="1">
      <c r="A36" s="3425"/>
      <c r="B36" s="3425" t="s">
        <v>1451</v>
      </c>
      <c r="C36" s="1132" t="s">
        <v>1483</v>
      </c>
      <c r="D36" s="1133"/>
      <c r="E36" s="1155">
        <v>1</v>
      </c>
      <c r="F36" s="1134" t="s">
        <v>1484</v>
      </c>
      <c r="G36" s="1135"/>
      <c r="H36" s="1106"/>
      <c r="I36" s="1106"/>
    </row>
    <row r="37" spans="1:9" s="1600" customFormat="1" ht="19.5" customHeight="1">
      <c r="A37" s="3425"/>
      <c r="B37" s="3425"/>
      <c r="C37" s="1132" t="s">
        <v>1485</v>
      </c>
      <c r="D37" s="1133"/>
      <c r="E37" s="1155">
        <v>1.5</v>
      </c>
      <c r="F37" s="1134" t="s">
        <v>1486</v>
      </c>
      <c r="G37" s="1135"/>
      <c r="H37" s="1106"/>
      <c r="I37" s="1106"/>
    </row>
    <row r="38" spans="1:9" s="1600" customFormat="1" ht="19.5" customHeight="1">
      <c r="A38" s="3425"/>
      <c r="B38" s="3425"/>
      <c r="C38" s="1132" t="s">
        <v>1487</v>
      </c>
      <c r="D38" s="1133"/>
      <c r="E38" s="1155">
        <v>1</v>
      </c>
      <c r="F38" s="1134" t="s">
        <v>1488</v>
      </c>
      <c r="G38" s="1135"/>
      <c r="H38" s="1106"/>
      <c r="I38" s="1106"/>
    </row>
    <row r="39" spans="1:9" s="1600" customFormat="1" ht="19.5" customHeight="1">
      <c r="A39" s="3425"/>
      <c r="B39" s="3425"/>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25" t="s">
        <v>1503</v>
      </c>
      <c r="C61" s="1069" t="s">
        <v>1504</v>
      </c>
      <c r="D61" s="1069" t="s">
        <v>1505</v>
      </c>
      <c r="E61" s="1140">
        <v>0.5</v>
      </c>
      <c r="F61" s="1155">
        <v>80</v>
      </c>
      <c r="H61" s="1106">
        <f>SUMIF(C59:C119,基准地价!C8,E59:E119)</f>
        <v>0</v>
      </c>
    </row>
    <row r="62" spans="1:8" s="1106" customFormat="1" ht="24">
      <c r="A62" s="1155">
        <v>2</v>
      </c>
      <c r="B62" s="3425"/>
      <c r="C62" s="1069" t="s">
        <v>1506</v>
      </c>
      <c r="D62" s="1069" t="s">
        <v>1507</v>
      </c>
      <c r="E62" s="1140">
        <v>0.5</v>
      </c>
      <c r="F62" s="1155">
        <v>80</v>
      </c>
    </row>
    <row r="63" spans="1:8" s="1106" customFormat="1" ht="36">
      <c r="A63" s="1155">
        <v>3</v>
      </c>
      <c r="B63" s="3425"/>
      <c r="C63" s="1069" t="s">
        <v>1508</v>
      </c>
      <c r="D63" s="1069" t="s">
        <v>1509</v>
      </c>
      <c r="E63" s="1140">
        <v>0.5</v>
      </c>
      <c r="F63" s="1155">
        <v>80</v>
      </c>
    </row>
    <row r="64" spans="1:8" s="1106" customFormat="1" ht="36">
      <c r="A64" s="1155">
        <v>4</v>
      </c>
      <c r="B64" s="3425"/>
      <c r="C64" s="1069" t="s">
        <v>1510</v>
      </c>
      <c r="D64" s="1069" t="s">
        <v>1511</v>
      </c>
      <c r="E64" s="1140">
        <v>0.4</v>
      </c>
      <c r="F64" s="1155">
        <v>60</v>
      </c>
    </row>
    <row r="65" spans="1:6" s="1106" customFormat="1" ht="36">
      <c r="A65" s="1155">
        <v>5</v>
      </c>
      <c r="B65" s="3425"/>
      <c r="C65" s="1069" t="s">
        <v>1512</v>
      </c>
      <c r="D65" s="1069" t="s">
        <v>1513</v>
      </c>
      <c r="E65" s="1140">
        <v>0.2</v>
      </c>
      <c r="F65" s="1155">
        <v>30</v>
      </c>
    </row>
    <row r="66" spans="1:6" s="1106" customFormat="1" ht="36">
      <c r="A66" s="1155">
        <v>6</v>
      </c>
      <c r="B66" s="3425"/>
      <c r="C66" s="1069" t="s">
        <v>1514</v>
      </c>
      <c r="D66" s="1069" t="s">
        <v>1515</v>
      </c>
      <c r="E66" s="1140">
        <v>0.3</v>
      </c>
      <c r="F66" s="1155">
        <v>50</v>
      </c>
    </row>
    <row r="67" spans="1:6" s="1106" customFormat="1" ht="36">
      <c r="A67" s="1155">
        <v>7</v>
      </c>
      <c r="B67" s="3425"/>
      <c r="C67" s="1069" t="s">
        <v>1516</v>
      </c>
      <c r="D67" s="1069" t="s">
        <v>1517</v>
      </c>
      <c r="E67" s="1140">
        <v>0.2</v>
      </c>
      <c r="F67" s="1155">
        <v>30</v>
      </c>
    </row>
    <row r="68" spans="1:6" s="1106" customFormat="1" ht="36">
      <c r="A68" s="1155">
        <v>8</v>
      </c>
      <c r="B68" s="3425"/>
      <c r="C68" s="1069" t="s">
        <v>1518</v>
      </c>
      <c r="D68" s="1069" t="s">
        <v>1519</v>
      </c>
      <c r="E68" s="1140">
        <v>0.2</v>
      </c>
      <c r="F68" s="1155">
        <v>30</v>
      </c>
    </row>
    <row r="69" spans="1:6" s="1106" customFormat="1" ht="36">
      <c r="A69" s="1155">
        <v>9</v>
      </c>
      <c r="B69" s="3425"/>
      <c r="C69" s="1069" t="s">
        <v>1520</v>
      </c>
      <c r="D69" s="1069" t="s">
        <v>1521</v>
      </c>
      <c r="E69" s="1140">
        <v>0.2</v>
      </c>
      <c r="F69" s="1155">
        <v>30</v>
      </c>
    </row>
    <row r="70" spans="1:6" s="1106" customFormat="1" ht="48">
      <c r="A70" s="1155">
        <v>10</v>
      </c>
      <c r="B70" s="3425"/>
      <c r="C70" s="1069" t="s">
        <v>1522</v>
      </c>
      <c r="D70" s="1069" t="s">
        <v>1523</v>
      </c>
      <c r="E70" s="1140">
        <v>0.2</v>
      </c>
      <c r="F70" s="1155">
        <v>30</v>
      </c>
    </row>
    <row r="71" spans="1:6" s="1106" customFormat="1" ht="48">
      <c r="A71" s="1155">
        <v>11</v>
      </c>
      <c r="B71" s="3425"/>
      <c r="C71" s="1069" t="s">
        <v>1524</v>
      </c>
      <c r="D71" s="1069" t="s">
        <v>1525</v>
      </c>
      <c r="E71" s="1140">
        <v>0.2</v>
      </c>
      <c r="F71" s="1155">
        <v>30</v>
      </c>
    </row>
    <row r="72" spans="1:6" s="1106" customFormat="1" ht="36">
      <c r="A72" s="1155">
        <v>12</v>
      </c>
      <c r="B72" s="3425"/>
      <c r="C72" s="1069" t="s">
        <v>1526</v>
      </c>
      <c r="D72" s="1069" t="s">
        <v>1527</v>
      </c>
      <c r="E72" s="1140">
        <v>0.5</v>
      </c>
      <c r="F72" s="1155">
        <v>80</v>
      </c>
    </row>
    <row r="73" spans="1:6" s="1106" customFormat="1" ht="24">
      <c r="A73" s="1155">
        <v>13</v>
      </c>
      <c r="B73" s="3425"/>
      <c r="C73" s="1069" t="s">
        <v>1528</v>
      </c>
      <c r="D73" s="1069" t="s">
        <v>1529</v>
      </c>
      <c r="E73" s="1140">
        <v>0.4</v>
      </c>
      <c r="F73" s="1155">
        <v>60</v>
      </c>
    </row>
    <row r="74" spans="1:6" s="1106" customFormat="1" ht="24">
      <c r="A74" s="1155">
        <v>14</v>
      </c>
      <c r="B74" s="3425"/>
      <c r="C74" s="1069" t="s">
        <v>1530</v>
      </c>
      <c r="D74" s="1069" t="s">
        <v>1531</v>
      </c>
      <c r="E74" s="1140">
        <v>0.2</v>
      </c>
      <c r="F74" s="1155">
        <v>30</v>
      </c>
    </row>
    <row r="75" spans="1:6" s="1106" customFormat="1" ht="24">
      <c r="A75" s="1155">
        <v>15</v>
      </c>
      <c r="B75" s="3425"/>
      <c r="C75" s="1069" t="s">
        <v>1532</v>
      </c>
      <c r="D75" s="1069" t="s">
        <v>1533</v>
      </c>
      <c r="E75" s="1140">
        <v>0.2</v>
      </c>
      <c r="F75" s="1155">
        <v>30</v>
      </c>
    </row>
    <row r="76" spans="1:6" s="1106" customFormat="1" ht="24">
      <c r="A76" s="1155">
        <v>16</v>
      </c>
      <c r="B76" s="3425" t="s">
        <v>1534</v>
      </c>
      <c r="C76" s="1069" t="s">
        <v>1535</v>
      </c>
      <c r="D76" s="1069" t="s">
        <v>1536</v>
      </c>
      <c r="E76" s="1140">
        <v>0.5</v>
      </c>
      <c r="F76" s="1155">
        <v>80</v>
      </c>
    </row>
    <row r="77" spans="1:6" s="1106" customFormat="1" ht="24">
      <c r="A77" s="1155">
        <v>17</v>
      </c>
      <c r="B77" s="3425"/>
      <c r="C77" s="1069" t="s">
        <v>1537</v>
      </c>
      <c r="D77" s="1069" t="s">
        <v>1538</v>
      </c>
      <c r="E77" s="1140">
        <v>0.5</v>
      </c>
      <c r="F77" s="1155">
        <v>80</v>
      </c>
    </row>
    <row r="78" spans="1:6" s="1106" customFormat="1" ht="24">
      <c r="A78" s="1155">
        <v>18</v>
      </c>
      <c r="B78" s="3425"/>
      <c r="C78" s="1069" t="s">
        <v>1539</v>
      </c>
      <c r="D78" s="1069" t="s">
        <v>1540</v>
      </c>
      <c r="E78" s="1140">
        <v>0.2</v>
      </c>
      <c r="F78" s="1155">
        <v>30</v>
      </c>
    </row>
    <row r="79" spans="1:6" s="1106" customFormat="1" ht="24">
      <c r="A79" s="1155">
        <v>19</v>
      </c>
      <c r="B79" s="3425"/>
      <c r="C79" s="1069" t="s">
        <v>1541</v>
      </c>
      <c r="D79" s="1069" t="s">
        <v>1542</v>
      </c>
      <c r="E79" s="1140">
        <v>0.5</v>
      </c>
      <c r="F79" s="1155">
        <v>80</v>
      </c>
    </row>
    <row r="80" spans="1:6" s="1106" customFormat="1" ht="36">
      <c r="A80" s="1155">
        <v>20</v>
      </c>
      <c r="B80" s="3425"/>
      <c r="C80" s="1069" t="s">
        <v>1543</v>
      </c>
      <c r="D80" s="1069" t="s">
        <v>1544</v>
      </c>
      <c r="E80" s="1140">
        <v>0.2</v>
      </c>
      <c r="F80" s="1155">
        <v>30</v>
      </c>
    </row>
    <row r="81" spans="1:6" s="1106" customFormat="1" ht="36">
      <c r="A81" s="1155">
        <v>21</v>
      </c>
      <c r="B81" s="3425"/>
      <c r="C81" s="1069" t="s">
        <v>1545</v>
      </c>
      <c r="D81" s="1069" t="s">
        <v>1546</v>
      </c>
      <c r="E81" s="1140">
        <v>0.2</v>
      </c>
      <c r="F81" s="1155">
        <v>30</v>
      </c>
    </row>
    <row r="82" spans="1:6" s="1106" customFormat="1" ht="48">
      <c r="A82" s="1155">
        <v>22</v>
      </c>
      <c r="B82" s="3425"/>
      <c r="C82" s="1069" t="s">
        <v>1547</v>
      </c>
      <c r="D82" s="1069" t="s">
        <v>1548</v>
      </c>
      <c r="E82" s="1140">
        <v>0.2</v>
      </c>
      <c r="F82" s="1155">
        <v>30</v>
      </c>
    </row>
    <row r="83" spans="1:6" s="1106" customFormat="1" ht="48">
      <c r="A83" s="1155">
        <v>23</v>
      </c>
      <c r="B83" s="3425"/>
      <c r="C83" s="1069" t="s">
        <v>1549</v>
      </c>
      <c r="D83" s="1069" t="s">
        <v>1550</v>
      </c>
      <c r="E83" s="1140">
        <v>0.2</v>
      </c>
      <c r="F83" s="1155">
        <v>30</v>
      </c>
    </row>
    <row r="84" spans="1:6" s="1106" customFormat="1" ht="36">
      <c r="A84" s="1155">
        <v>24</v>
      </c>
      <c r="B84" s="3425"/>
      <c r="C84" s="1069" t="s">
        <v>1551</v>
      </c>
      <c r="D84" s="1069" t="s">
        <v>1552</v>
      </c>
      <c r="E84" s="1140">
        <v>0.2</v>
      </c>
      <c r="F84" s="1155">
        <v>30</v>
      </c>
    </row>
    <row r="85" spans="1:6" s="1106" customFormat="1" ht="36">
      <c r="A85" s="1155">
        <v>25</v>
      </c>
      <c r="B85" s="3425"/>
      <c r="C85" s="1069" t="s">
        <v>1553</v>
      </c>
      <c r="D85" s="1069" t="s">
        <v>1554</v>
      </c>
      <c r="E85" s="1140">
        <v>0.5</v>
      </c>
      <c r="F85" s="1155">
        <v>80</v>
      </c>
    </row>
    <row r="86" spans="1:6" s="1106" customFormat="1" ht="36">
      <c r="A86" s="1155">
        <v>26</v>
      </c>
      <c r="B86" s="3425"/>
      <c r="C86" s="1069" t="s">
        <v>1555</v>
      </c>
      <c r="D86" s="1069" t="s">
        <v>1556</v>
      </c>
      <c r="E86" s="1140">
        <v>0.2</v>
      </c>
      <c r="F86" s="1155">
        <v>30</v>
      </c>
    </row>
    <row r="87" spans="1:6" s="1106" customFormat="1" ht="36">
      <c r="A87" s="1155">
        <v>27</v>
      </c>
      <c r="B87" s="3425"/>
      <c r="C87" s="1069" t="s">
        <v>1557</v>
      </c>
      <c r="D87" s="1069" t="s">
        <v>1558</v>
      </c>
      <c r="E87" s="1140">
        <v>0.2</v>
      </c>
      <c r="F87" s="1155">
        <v>30</v>
      </c>
    </row>
    <row r="88" spans="1:6" s="1106" customFormat="1" ht="36">
      <c r="A88" s="1155">
        <v>28</v>
      </c>
      <c r="B88" s="3425"/>
      <c r="C88" s="1069" t="s">
        <v>1559</v>
      </c>
      <c r="D88" s="1069" t="s">
        <v>1560</v>
      </c>
      <c r="E88" s="1140">
        <v>0.2</v>
      </c>
      <c r="F88" s="1155">
        <v>30</v>
      </c>
    </row>
    <row r="89" spans="1:6" s="1106" customFormat="1" ht="24">
      <c r="A89" s="1155">
        <v>29</v>
      </c>
      <c r="B89" s="3425"/>
      <c r="C89" s="1069" t="s">
        <v>1561</v>
      </c>
      <c r="D89" s="1069" t="s">
        <v>1562</v>
      </c>
      <c r="E89" s="1140">
        <v>0.2</v>
      </c>
      <c r="F89" s="1155">
        <v>30</v>
      </c>
    </row>
    <row r="90" spans="1:6" s="1106" customFormat="1" ht="24">
      <c r="A90" s="1155">
        <v>30</v>
      </c>
      <c r="B90" s="3425"/>
      <c r="C90" s="1069" t="s">
        <v>1563</v>
      </c>
      <c r="D90" s="1069" t="s">
        <v>1564</v>
      </c>
      <c r="E90" s="1140">
        <v>0.2</v>
      </c>
      <c r="F90" s="1155">
        <v>30</v>
      </c>
    </row>
    <row r="91" spans="1:6" s="1106" customFormat="1" ht="36">
      <c r="A91" s="1155">
        <v>31</v>
      </c>
      <c r="B91" s="3425"/>
      <c r="C91" s="1069" t="s">
        <v>1565</v>
      </c>
      <c r="D91" s="1069" t="s">
        <v>1566</v>
      </c>
      <c r="E91" s="1140">
        <v>0.2</v>
      </c>
      <c r="F91" s="1155">
        <v>30</v>
      </c>
    </row>
    <row r="92" spans="1:6" s="1106" customFormat="1" ht="24">
      <c r="A92" s="1155">
        <v>32</v>
      </c>
      <c r="B92" s="3425" t="s">
        <v>1567</v>
      </c>
      <c r="C92" s="1155" t="s">
        <v>1568</v>
      </c>
      <c r="D92" s="1069" t="s">
        <v>1569</v>
      </c>
      <c r="E92" s="1140">
        <v>0.2</v>
      </c>
      <c r="F92" s="1155">
        <v>30</v>
      </c>
    </row>
    <row r="93" spans="1:6" s="1106" customFormat="1" ht="36">
      <c r="A93" s="1155">
        <v>33</v>
      </c>
      <c r="B93" s="3425"/>
      <c r="C93" s="1155" t="s">
        <v>1570</v>
      </c>
      <c r="D93" s="1069" t="s">
        <v>1571</v>
      </c>
      <c r="E93" s="1140">
        <v>0.2</v>
      </c>
      <c r="F93" s="1155">
        <v>30</v>
      </c>
    </row>
    <row r="94" spans="1:6" s="1106" customFormat="1" ht="48">
      <c r="A94" s="1155">
        <v>34</v>
      </c>
      <c r="B94" s="3425"/>
      <c r="C94" s="1155" t="s">
        <v>1572</v>
      </c>
      <c r="D94" s="1069" t="s">
        <v>1573</v>
      </c>
      <c r="E94" s="1140">
        <v>0.2</v>
      </c>
      <c r="F94" s="1155">
        <v>30</v>
      </c>
    </row>
    <row r="95" spans="1:6" s="1106" customFormat="1" ht="36">
      <c r="A95" s="1155">
        <v>35</v>
      </c>
      <c r="B95" s="3425"/>
      <c r="C95" s="1155" t="s">
        <v>1574</v>
      </c>
      <c r="D95" s="1069" t="s">
        <v>1575</v>
      </c>
      <c r="E95" s="1140">
        <v>0.2</v>
      </c>
      <c r="F95" s="1155">
        <v>30</v>
      </c>
    </row>
    <row r="96" spans="1:6" s="1106" customFormat="1" ht="48">
      <c r="A96" s="1155">
        <v>36</v>
      </c>
      <c r="B96" s="3425"/>
      <c r="C96" s="1069" t="s">
        <v>1576</v>
      </c>
      <c r="D96" s="1069" t="s">
        <v>1577</v>
      </c>
      <c r="E96" s="1140">
        <v>0.2</v>
      </c>
      <c r="F96" s="1155">
        <v>30</v>
      </c>
    </row>
    <row r="97" spans="1:6" s="1106" customFormat="1" ht="36">
      <c r="A97" s="1155">
        <v>37</v>
      </c>
      <c r="B97" s="3425"/>
      <c r="C97" s="1155" t="s">
        <v>1578</v>
      </c>
      <c r="D97" s="1069" t="s">
        <v>1579</v>
      </c>
      <c r="E97" s="1140">
        <v>0.2</v>
      </c>
      <c r="F97" s="1155">
        <v>30</v>
      </c>
    </row>
    <row r="98" spans="1:6" s="1106" customFormat="1" ht="36">
      <c r="A98" s="1155">
        <v>38</v>
      </c>
      <c r="B98" s="3425"/>
      <c r="C98" s="1155" t="s">
        <v>1580</v>
      </c>
      <c r="D98" s="1069" t="s">
        <v>1581</v>
      </c>
      <c r="E98" s="1140">
        <v>0.2</v>
      </c>
      <c r="F98" s="1155">
        <v>30</v>
      </c>
    </row>
    <row r="99" spans="1:6" s="1106" customFormat="1" ht="36">
      <c r="A99" s="1155">
        <v>39</v>
      </c>
      <c r="B99" s="3425" t="s">
        <v>1582</v>
      </c>
      <c r="C99" s="1155" t="s">
        <v>1583</v>
      </c>
      <c r="D99" s="1069" t="s">
        <v>1584</v>
      </c>
      <c r="E99" s="1140">
        <v>0.3</v>
      </c>
      <c r="F99" s="1155">
        <v>50</v>
      </c>
    </row>
    <row r="100" spans="1:6" s="1106" customFormat="1" ht="24">
      <c r="A100" s="1155">
        <v>40</v>
      </c>
      <c r="B100" s="3425"/>
      <c r="C100" s="1155" t="s">
        <v>1585</v>
      </c>
      <c r="D100" s="1069" t="s">
        <v>1586</v>
      </c>
      <c r="E100" s="1140">
        <v>0.2</v>
      </c>
      <c r="F100" s="1155">
        <v>30</v>
      </c>
    </row>
    <row r="101" spans="1:6" s="1106" customFormat="1" ht="36">
      <c r="A101" s="1155">
        <v>41</v>
      </c>
      <c r="B101" s="3425"/>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25" t="s">
        <v>1597</v>
      </c>
      <c r="C105" s="1155" t="s">
        <v>1598</v>
      </c>
      <c r="D105" s="1069" t="s">
        <v>1599</v>
      </c>
      <c r="E105" s="1140">
        <v>0.2</v>
      </c>
      <c r="F105" s="1155">
        <v>30</v>
      </c>
    </row>
    <row r="106" spans="1:6" s="1106" customFormat="1" ht="36">
      <c r="A106" s="1155">
        <v>46</v>
      </c>
      <c r="B106" s="3425"/>
      <c r="C106" s="1155" t="s">
        <v>1600</v>
      </c>
      <c r="D106" s="1069" t="s">
        <v>1601</v>
      </c>
      <c r="E106" s="1140">
        <v>0.2</v>
      </c>
      <c r="F106" s="1155">
        <v>30</v>
      </c>
    </row>
    <row r="107" spans="1:6" s="1106" customFormat="1" ht="36">
      <c r="A107" s="1155">
        <v>47</v>
      </c>
      <c r="B107" s="3425" t="s">
        <v>1602</v>
      </c>
      <c r="C107" s="1155" t="s">
        <v>1603</v>
      </c>
      <c r="D107" s="1069" t="s">
        <v>1604</v>
      </c>
      <c r="E107" s="1140">
        <v>0.3</v>
      </c>
      <c r="F107" s="1155">
        <v>50</v>
      </c>
    </row>
    <row r="108" spans="1:6" s="1106" customFormat="1" ht="36">
      <c r="A108" s="1155">
        <v>48</v>
      </c>
      <c r="B108" s="3425"/>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25" t="s">
        <v>1613</v>
      </c>
      <c r="C111" s="1155" t="s">
        <v>1614</v>
      </c>
      <c r="D111" s="1069" t="s">
        <v>1615</v>
      </c>
      <c r="E111" s="1140">
        <v>0.2</v>
      </c>
      <c r="F111" s="1155">
        <v>30</v>
      </c>
    </row>
    <row r="112" spans="1:6" s="1106" customFormat="1" ht="24">
      <c r="A112" s="1155">
        <v>52</v>
      </c>
      <c r="B112" s="3425"/>
      <c r="C112" s="1155" t="s">
        <v>1616</v>
      </c>
      <c r="D112" s="1069" t="s">
        <v>1617</v>
      </c>
      <c r="E112" s="1140">
        <v>0.2</v>
      </c>
      <c r="F112" s="1155">
        <v>30</v>
      </c>
    </row>
    <row r="113" spans="1:14" s="1106" customFormat="1" ht="24">
      <c r="A113" s="1155">
        <v>53</v>
      </c>
      <c r="B113" s="3425"/>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25" t="s">
        <v>1626</v>
      </c>
      <c r="C116" s="1155" t="s">
        <v>1627</v>
      </c>
      <c r="D116" s="1069" t="s">
        <v>1628</v>
      </c>
      <c r="E116" s="1140">
        <v>0.2</v>
      </c>
      <c r="F116" s="1155">
        <v>30</v>
      </c>
    </row>
    <row r="117" spans="1:14" ht="36">
      <c r="A117" s="1155">
        <v>57</v>
      </c>
      <c r="B117" s="3425"/>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24" t="s">
        <v>1635</v>
      </c>
      <c r="B121" s="3424"/>
      <c r="C121" s="3424"/>
      <c r="D121" s="3424"/>
      <c r="E121" s="3424"/>
      <c r="F121" s="3424"/>
      <c r="G121" s="3424"/>
      <c r="H121" s="3424"/>
      <c r="I121" s="3424"/>
      <c r="J121" s="3424"/>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29" t="s">
        <v>1041</v>
      </c>
      <c r="B1" s="3429"/>
      <c r="C1" s="3429"/>
      <c r="D1" s="3429"/>
      <c r="E1" s="3429"/>
      <c r="F1" s="3429"/>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30" t="s">
        <v>1054</v>
      </c>
      <c r="B2" s="3430"/>
      <c r="C2" s="3430"/>
      <c r="D2" s="3430"/>
      <c r="E2" s="3430"/>
      <c r="F2" s="3430"/>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31"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32"/>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3" t="s">
        <v>2083</v>
      </c>
      <c r="B1" s="3433"/>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2953</v>
      </c>
      <c r="B1" s="3136"/>
      <c r="C1" s="3136"/>
      <c r="D1" s="3136"/>
      <c r="E1" s="3136"/>
      <c r="F1" s="3136"/>
    </row>
    <row r="2" spans="1:6" ht="14.25">
      <c r="A2" s="3137" t="s">
        <v>2947</v>
      </c>
      <c r="B2" s="3138" t="e">
        <f ca="1">SUMIF(B7:B14,"&lt;&gt;#ref!",B7:B14)</f>
        <v>#DIV/0!</v>
      </c>
      <c r="C2" s="3137" t="s">
        <v>2948</v>
      </c>
      <c r="D2" s="3136"/>
      <c r="E2" s="3136"/>
      <c r="F2" s="3136"/>
    </row>
    <row r="3" spans="1:6" ht="14.25">
      <c r="A3" s="3137" t="s">
        <v>2950</v>
      </c>
      <c r="B3" s="3138" t="e">
        <f ca="1">ROUND(B2*10000/E3,0)</f>
        <v>#DIV/0!</v>
      </c>
      <c r="C3" s="3137" t="s">
        <v>2082</v>
      </c>
      <c r="D3" s="3137" t="s">
        <v>2949</v>
      </c>
      <c r="E3" s="3138" t="e">
        <f ca="1">SUM(E7:E14)</f>
        <v>#REF!</v>
      </c>
      <c r="F3" s="3136"/>
    </row>
    <row r="4" spans="1:6" ht="14.25">
      <c r="A4" s="3137" t="s">
        <v>2957</v>
      </c>
      <c r="B4" s="3138" t="e">
        <f ca="1">ROUND(B2*10000/E4,0)</f>
        <v>#DIV/0!</v>
      </c>
      <c r="C4" s="3137" t="s">
        <v>2082</v>
      </c>
      <c r="D4" s="3137" t="s">
        <v>2958</v>
      </c>
      <c r="E4" s="3138" t="e">
        <f ca="1">SUM(F7:F14)</f>
        <v>#REF!</v>
      </c>
      <c r="F4" s="3136"/>
    </row>
    <row r="5" spans="1:6" ht="14.25">
      <c r="A5" s="3139"/>
      <c r="B5" s="1883"/>
      <c r="C5" s="1883"/>
      <c r="D5" s="1883"/>
      <c r="E5" s="1883"/>
      <c r="F5" s="3136"/>
    </row>
    <row r="6" spans="1:6" ht="28.5">
      <c r="A6" s="3140" t="s">
        <v>2954</v>
      </c>
      <c r="B6" s="3137" t="s">
        <v>2951</v>
      </c>
      <c r="C6" s="3138"/>
      <c r="D6" s="1883"/>
      <c r="E6" s="3137" t="s">
        <v>2952</v>
      </c>
      <c r="F6" s="3137" t="s">
        <v>2956</v>
      </c>
    </row>
    <row r="7" spans="1:6" ht="14.25">
      <c r="A7" s="259" t="s">
        <v>2955</v>
      </c>
      <c r="B7" s="3141" t="e">
        <f ca="1">SUMIF(INDIRECT("'"&amp;A7&amp;"'"&amp;"!A:A"),"总价",INDIRECT("'"&amp;A7&amp;"'"&amp;"!B:B"))</f>
        <v>#DIV/0!</v>
      </c>
      <c r="C7" s="3137" t="s">
        <v>2948</v>
      </c>
      <c r="D7" s="1883"/>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2948</v>
      </c>
      <c r="D8" s="1883"/>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2948</v>
      </c>
      <c r="D9" s="1883"/>
      <c r="E9" s="3142" t="e">
        <f t="shared" ca="1" si="1"/>
        <v>#REF!</v>
      </c>
      <c r="F9" s="3142" t="e">
        <f t="shared" ca="1" si="2"/>
        <v>#REF!</v>
      </c>
    </row>
    <row r="10" spans="1:6" ht="14.25">
      <c r="A10" s="259"/>
      <c r="B10" s="3141" t="e">
        <f t="shared" ca="1" si="0"/>
        <v>#REF!</v>
      </c>
      <c r="C10" s="3137" t="s">
        <v>2948</v>
      </c>
      <c r="D10" s="1883"/>
      <c r="E10" s="3142" t="e">
        <f t="shared" ca="1" si="1"/>
        <v>#REF!</v>
      </c>
      <c r="F10" s="3142" t="e">
        <f t="shared" ca="1" si="2"/>
        <v>#REF!</v>
      </c>
    </row>
    <row r="11" spans="1:6" ht="14.25">
      <c r="A11" s="259"/>
      <c r="B11" s="3141" t="e">
        <f t="shared" ca="1" si="0"/>
        <v>#REF!</v>
      </c>
      <c r="C11" s="3137" t="s">
        <v>2948</v>
      </c>
      <c r="D11" s="1883"/>
      <c r="E11" s="3142" t="e">
        <f t="shared" ca="1" si="1"/>
        <v>#REF!</v>
      </c>
      <c r="F11" s="3142" t="e">
        <f t="shared" ca="1" si="2"/>
        <v>#REF!</v>
      </c>
    </row>
    <row r="12" spans="1:6" ht="14.25">
      <c r="A12" s="259"/>
      <c r="B12" s="3141" t="e">
        <f t="shared" ca="1" si="0"/>
        <v>#REF!</v>
      </c>
      <c r="C12" s="3137" t="s">
        <v>2948</v>
      </c>
      <c r="D12" s="1883"/>
      <c r="E12" s="3142" t="e">
        <f t="shared" ca="1" si="1"/>
        <v>#REF!</v>
      </c>
      <c r="F12" s="3142" t="e">
        <f t="shared" ca="1" si="2"/>
        <v>#REF!</v>
      </c>
    </row>
    <row r="13" spans="1:6" ht="14.25">
      <c r="A13" s="259"/>
      <c r="B13" s="3141" t="e">
        <f t="shared" ca="1" si="0"/>
        <v>#REF!</v>
      </c>
      <c r="C13" s="3137" t="s">
        <v>2948</v>
      </c>
      <c r="D13" s="1883"/>
      <c r="E13" s="3142" t="e">
        <f t="shared" ca="1" si="1"/>
        <v>#REF!</v>
      </c>
      <c r="F13" s="3142" t="e">
        <f t="shared" ca="1" si="2"/>
        <v>#REF!</v>
      </c>
    </row>
    <row r="14" spans="1:6" ht="14.25">
      <c r="A14" s="3135"/>
      <c r="B14" s="3141" t="e">
        <f t="shared" ca="1" si="0"/>
        <v>#REF!</v>
      </c>
      <c r="C14" s="3137" t="s">
        <v>2948</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2379</v>
      </c>
      <c r="F1" s="2414">
        <f ca="1">J54</f>
        <v>0</v>
      </c>
      <c r="G1" s="776">
        <f>MATCH(C1,'数据-取费表'!A6:A16,0)+5</f>
        <v>8</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7">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8" t="s">
        <v>696</v>
      </c>
      <c r="I3" s="2059"/>
      <c r="J3" s="2059"/>
      <c r="K3" s="2060"/>
      <c r="L3" s="2059"/>
      <c r="M3" s="2059"/>
    </row>
    <row r="4" spans="1:25" ht="18" customHeight="1">
      <c r="A4" s="1647" t="s">
        <v>697</v>
      </c>
      <c r="B4" s="1353">
        <f ca="1">ROUND(B2*10000/'数据-汇总表'!D3,0)</f>
        <v>0</v>
      </c>
      <c r="C4" s="430"/>
      <c r="D4" s="2057"/>
      <c r="E4" s="2058"/>
      <c r="F4" s="2058"/>
      <c r="G4" s="1591"/>
      <c r="H4" s="778"/>
      <c r="I4" s="2059"/>
      <c r="J4" s="2059"/>
      <c r="K4" s="2060"/>
      <c r="L4" s="2059"/>
      <c r="M4" s="2059"/>
    </row>
    <row r="5" spans="1:25" ht="18" customHeight="1" thickBot="1">
      <c r="A5" s="1648"/>
      <c r="B5" s="432">
        <f ca="1">ROUND(B2/('数据-汇总表'!D3/666.67),0)</f>
        <v>0</v>
      </c>
      <c r="C5" s="433" t="s">
        <v>698</v>
      </c>
      <c r="D5" s="2057"/>
      <c r="E5" s="2058"/>
      <c r="F5" s="2058"/>
      <c r="G5" s="1591"/>
      <c r="H5" s="778"/>
      <c r="I5" s="2059"/>
      <c r="J5" s="2059"/>
      <c r="K5" s="2060"/>
      <c r="L5" s="2059"/>
      <c r="M5" s="2059"/>
    </row>
    <row r="6" spans="1:25" ht="18" customHeight="1">
      <c r="A6" s="1830" t="s">
        <v>699</v>
      </c>
      <c r="B6" s="1822" t="s">
        <v>700</v>
      </c>
      <c r="C6" s="1822" t="s">
        <v>633</v>
      </c>
      <c r="D6" s="1822" t="s">
        <v>634</v>
      </c>
      <c r="E6" s="781" t="s">
        <v>635</v>
      </c>
      <c r="F6" s="782"/>
      <c r="G6" s="1593"/>
      <c r="H6" s="1830" t="s">
        <v>631</v>
      </c>
      <c r="I6" s="1822" t="s">
        <v>632</v>
      </c>
      <c r="J6" s="1822" t="s">
        <v>633</v>
      </c>
      <c r="K6" s="1822" t="s">
        <v>634</v>
      </c>
      <c r="L6" s="781" t="s">
        <v>635</v>
      </c>
      <c r="M6" s="782"/>
    </row>
    <row r="7" spans="1:25" ht="18" customHeight="1">
      <c r="A7" s="783">
        <v>1</v>
      </c>
      <c r="B7" s="784" t="s">
        <v>2464</v>
      </c>
      <c r="C7" s="53">
        <f ca="1">C8+C12+C14</f>
        <v>0</v>
      </c>
      <c r="D7" s="2522" t="s">
        <v>2467</v>
      </c>
      <c r="E7" s="2516"/>
      <c r="F7" s="2517"/>
      <c r="G7" s="1593"/>
      <c r="H7" s="783">
        <v>1</v>
      </c>
      <c r="I7" s="784" t="s">
        <v>2464</v>
      </c>
      <c r="J7" s="53">
        <f ca="1">J8+J12+J14</f>
        <v>0</v>
      </c>
      <c r="K7" s="2522" t="s">
        <v>2467</v>
      </c>
      <c r="L7" s="2516"/>
      <c r="M7" s="2517"/>
    </row>
    <row r="8" spans="1:25" ht="18" customHeight="1">
      <c r="A8" s="1832" t="s">
        <v>1826</v>
      </c>
      <c r="B8" s="3435" t="s">
        <v>2469</v>
      </c>
      <c r="C8" s="1827">
        <f ca="1">ROUND(F8*F10*F9*(1-F11)/10000,0)</f>
        <v>0</v>
      </c>
      <c r="D8" s="1824" t="s">
        <v>2541</v>
      </c>
      <c r="E8" s="61" t="s">
        <v>638</v>
      </c>
      <c r="F8" s="787">
        <f ca="1">INDIRECT("'数据-取费表'!u"&amp;$G$1)</f>
        <v>0</v>
      </c>
      <c r="G8" s="1593"/>
      <c r="H8" s="2530" t="s">
        <v>1826</v>
      </c>
      <c r="I8" s="3435" t="s">
        <v>2469</v>
      </c>
      <c r="J8" s="785">
        <f ca="1">ROUND(M8*M10*M9*(1-M11)/10000,0)</f>
        <v>0</v>
      </c>
      <c r="K8" s="343" t="s">
        <v>2541</v>
      </c>
      <c r="L8" s="786" t="s">
        <v>1740</v>
      </c>
      <c r="M8" s="787">
        <f ca="1">INDIRECT("'数据-取费表'!z"&amp;$G$1)</f>
        <v>0</v>
      </c>
    </row>
    <row r="9" spans="1:25" ht="18" customHeight="1">
      <c r="A9" s="2526"/>
      <c r="B9" s="3436"/>
      <c r="C9" s="1828"/>
      <c r="D9" s="1825"/>
      <c r="E9" s="61" t="s">
        <v>639</v>
      </c>
      <c r="F9" s="787">
        <f ca="1">IF(INDIRECT("'数据-取费表'!ah"&amp;$G$1)="",INDIRECT("'数据-取费表'!k"&amp;$G$1),INDIRECT("'数据-取费表'!ah"&amp;$G$1))</f>
        <v>0</v>
      </c>
      <c r="G9" s="1593"/>
      <c r="H9" s="2515"/>
      <c r="I9" s="3436"/>
      <c r="J9" s="790"/>
      <c r="K9" s="791"/>
      <c r="L9" s="786" t="s">
        <v>1741</v>
      </c>
      <c r="M9" s="787">
        <f ca="1">F9</f>
        <v>0</v>
      </c>
    </row>
    <row r="10" spans="1:25" ht="18" customHeight="1">
      <c r="A10" s="2519"/>
      <c r="B10" s="3437"/>
      <c r="C10" s="1828"/>
      <c r="D10" s="1825"/>
      <c r="E10" s="61" t="s">
        <v>640</v>
      </c>
      <c r="F10" s="787">
        <f ca="1">INDIRECT("'数据-取费表'!ai"&amp;$G$1)</f>
        <v>0</v>
      </c>
      <c r="G10" s="1593"/>
      <c r="H10" s="2515"/>
      <c r="I10" s="3437"/>
      <c r="J10" s="790"/>
      <c r="K10" s="791"/>
      <c r="L10" s="786" t="s">
        <v>1742</v>
      </c>
      <c r="M10" s="787">
        <f ca="1">INDIRECT("'数据-取费表'!ai"&amp;$G$1)</f>
        <v>0</v>
      </c>
    </row>
    <row r="11" spans="1:25" ht="18" customHeight="1">
      <c r="A11" s="788"/>
      <c r="B11" s="3438"/>
      <c r="C11" s="1828"/>
      <c r="D11" s="1825"/>
      <c r="E11" s="61" t="s">
        <v>641</v>
      </c>
      <c r="F11" s="796">
        <f ca="1">INDIRECT("'数据-取费表'!w"&amp;$G$1)</f>
        <v>0</v>
      </c>
      <c r="G11" s="1593"/>
      <c r="H11" s="2531"/>
      <c r="I11" s="3437"/>
      <c r="J11" s="790"/>
      <c r="K11" s="791"/>
      <c r="L11" s="797" t="s">
        <v>1743</v>
      </c>
      <c r="M11" s="798">
        <f ca="1">INDIRECT("'数据-取费表'!ab"&amp;$G$1)</f>
        <v>0</v>
      </c>
    </row>
    <row r="12" spans="1:25" ht="18" customHeight="1">
      <c r="A12" s="1832" t="s">
        <v>1827</v>
      </c>
      <c r="B12" s="2520" t="s">
        <v>2465</v>
      </c>
      <c r="C12" s="801">
        <f ca="1">ROUND(IF(F12="押一",F8*F10*F9/12*F13,IF(F12="押二",F8*F10*F9/12*2*F13,IF(F12="押三",F8*F10*F9/12*3*F13,C13*F13)))/10000,0)</f>
        <v>0</v>
      </c>
      <c r="D12" s="2527" t="s">
        <v>2472</v>
      </c>
      <c r="E12" s="2524" t="s">
        <v>2470</v>
      </c>
      <c r="F12" s="2647"/>
      <c r="G12" s="1593"/>
      <c r="H12" s="2587" t="s">
        <v>1827</v>
      </c>
      <c r="I12" s="2592" t="s">
        <v>2465</v>
      </c>
      <c r="J12" s="785">
        <f ca="1">ROUND(IF(M12="押一",M8*M10*M9/12*M13,IF(M12="押二",M8*M10*M9/12*2*M13,IF(M12="押三",M8*M10*M9/12*3*M13,J13*M13)))/10000,0)</f>
        <v>0</v>
      </c>
      <c r="K12" s="2527" t="s">
        <v>2472</v>
      </c>
      <c r="L12" s="2524" t="s">
        <v>2470</v>
      </c>
      <c r="M12" s="2647"/>
    </row>
    <row r="13" spans="1:25" ht="18" customHeight="1">
      <c r="A13" s="792"/>
      <c r="B13" s="2521" t="s">
        <v>2580</v>
      </c>
      <c r="C13" s="2525"/>
      <c r="D13" s="791"/>
      <c r="E13" s="2524" t="s">
        <v>2462</v>
      </c>
      <c r="F13" s="798">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4">
        <f ca="1">ROUND(C31*F15,0)</f>
        <v>0</v>
      </c>
      <c r="D15" s="1836" t="s">
        <v>643</v>
      </c>
      <c r="E15" s="797" t="s">
        <v>644</v>
      </c>
      <c r="F15" s="802">
        <f ca="1">INDIRECT("'数据-取费表'!y"&amp;$G$1)</f>
        <v>0</v>
      </c>
      <c r="G15" s="1593"/>
      <c r="H15" s="1831" t="s">
        <v>1828</v>
      </c>
      <c r="I15" s="1829" t="s">
        <v>645</v>
      </c>
      <c r="J15" s="1821">
        <f ca="1">ROUND(J16*J17,0)</f>
        <v>0</v>
      </c>
      <c r="K15" s="1823" t="s">
        <v>643</v>
      </c>
      <c r="L15" s="803"/>
      <c r="M15" s="804"/>
    </row>
    <row r="16" spans="1:25" ht="18" customHeight="1">
      <c r="A16" s="805" t="s">
        <v>1877</v>
      </c>
      <c r="B16" s="786" t="s">
        <v>646</v>
      </c>
      <c r="C16" s="806">
        <f ca="1">INDIRECT("'数据-取费表'!m"&amp;$G$1)+INDIRECT("'数据-取费表'!t"&amp;$G$1)</f>
        <v>0</v>
      </c>
      <c r="D16" s="1981" t="s">
        <v>647</v>
      </c>
      <c r="E16" s="1982"/>
      <c r="F16" s="807"/>
      <c r="G16" s="1593"/>
      <c r="H16" s="805" t="s">
        <v>2073</v>
      </c>
      <c r="I16" s="2233" t="s">
        <v>2833</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4"/>
      <c r="H17" s="805" t="s">
        <v>2074</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3"/>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200</v>
      </c>
      <c r="G19" s="1594"/>
      <c r="H19" s="805" t="s">
        <v>2073</v>
      </c>
      <c r="I19" s="786" t="s">
        <v>657</v>
      </c>
      <c r="J19" s="53">
        <f ca="1">ROUND(IF(项目基本情况!B11="自然人",J7*M19,J20+J21+J22),0)</f>
        <v>0</v>
      </c>
      <c r="K19" s="1981" t="s">
        <v>658</v>
      </c>
      <c r="L19" s="1979" t="s">
        <v>659</v>
      </c>
      <c r="M19" s="812">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4"/>
      <c r="H20" s="805" t="s">
        <v>1833</v>
      </c>
      <c r="I20" s="786" t="s">
        <v>661</v>
      </c>
      <c r="J20" s="53">
        <f ca="1">ROUND(J7*M20/1.05,1)</f>
        <v>0</v>
      </c>
      <c r="K20" s="1979" t="s">
        <v>662</v>
      </c>
      <c r="L20" s="786" t="s">
        <v>650</v>
      </c>
      <c r="M20" s="811">
        <f>'数据-取费表'!B41</f>
        <v>5.6000000000000001E-2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3"/>
      <c r="H21" s="1832"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0.01</v>
      </c>
      <c r="G22" s="1594"/>
      <c r="H22" s="1834" t="s">
        <v>1852</v>
      </c>
      <c r="I22" s="1824" t="s">
        <v>669</v>
      </c>
      <c r="J22" s="54">
        <f ca="1">ROUND(M22*M23/10000,0)</f>
        <v>0</v>
      </c>
      <c r="K22" s="816" t="s">
        <v>670</v>
      </c>
      <c r="L22" s="786" t="s">
        <v>671</v>
      </c>
      <c r="M22" s="642">
        <f>'数据-取费表'!B52</f>
        <v>4</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1.4999999999999999E-2</v>
      </c>
      <c r="G23" s="1594"/>
      <c r="H23" s="1835"/>
      <c r="I23" s="1826"/>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3"/>
      <c r="H24" s="1833" t="s">
        <v>2074</v>
      </c>
      <c r="I24" s="786" t="s">
        <v>677</v>
      </c>
      <c r="J24" s="53">
        <f ca="1">ROUND(J16*M24,0)</f>
        <v>0</v>
      </c>
      <c r="K24" s="1979" t="s">
        <v>678</v>
      </c>
      <c r="L24" s="786" t="s">
        <v>650</v>
      </c>
      <c r="M24" s="819">
        <f ca="1">INDIRECT("'数据-取费表'!Ak"&amp;$G$1)</f>
        <v>0</v>
      </c>
    </row>
    <row r="25" spans="1:25" s="2066" customFormat="1" ht="18" customHeight="1">
      <c r="A25" s="805" t="s">
        <v>1877</v>
      </c>
      <c r="B25" s="786" t="s">
        <v>2442</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1.5</v>
      </c>
      <c r="G25" s="1594"/>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5.0000000000000001E-4</v>
      </c>
      <c r="D26" s="2597" t="str">
        <f>IF(F25&lt;=1,"销售费用×利率×(建设周期÷2)","销售费用×((1+利率)^(建设周期÷2)-1)")</f>
        <v>销售费用×((1+利率)^(建设周期÷2)-1)</v>
      </c>
      <c r="E26" s="786" t="s">
        <v>683</v>
      </c>
      <c r="F26" s="821">
        <f ca="1">'数据-取费表'!B40</f>
        <v>4.7500000000000001E-2</v>
      </c>
      <c r="G26" s="1594"/>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3"/>
      <c r="H27" s="799" t="s">
        <v>1830</v>
      </c>
      <c r="I27" s="3038" t="s">
        <v>2830</v>
      </c>
      <c r="J27" s="801">
        <f ca="1">J7-J18</f>
        <v>0</v>
      </c>
      <c r="K27" s="1981" t="s">
        <v>701</v>
      </c>
      <c r="L27" s="1983"/>
      <c r="M27" s="822"/>
    </row>
    <row r="28" spans="1:25" ht="18" customHeight="1">
      <c r="A28" s="805" t="s">
        <v>1877</v>
      </c>
      <c r="B28" s="786" t="s">
        <v>2443</v>
      </c>
      <c r="C28" s="53">
        <f ca="1">ROUND((C21+C22)*F28,0)</f>
        <v>0</v>
      </c>
      <c r="D28" s="814" t="s">
        <v>702</v>
      </c>
      <c r="E28" s="797" t="s">
        <v>703</v>
      </c>
      <c r="F28" s="796">
        <f ca="1">INDIRECT("'数据-取费表'!q"&amp;$G$1)</f>
        <v>0</v>
      </c>
      <c r="G28" s="1593"/>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3"/>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5.33E-2</v>
      </c>
      <c r="D30" s="814" t="s">
        <v>710</v>
      </c>
      <c r="E30" s="786" t="s">
        <v>650</v>
      </c>
      <c r="F30" s="811">
        <f>'数据-取费表'!B41</f>
        <v>5.6000000000000001E-2</v>
      </c>
      <c r="G30" s="1594"/>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4"/>
      <c r="H31" s="825" t="s">
        <v>1874</v>
      </c>
      <c r="I31" s="3039" t="s">
        <v>2832</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4">
        <f ca="1">ROUND(C33+C38+C39+C40,0)</f>
        <v>0</v>
      </c>
      <c r="D32" s="1823"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5.6000000000000001E-2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4</v>
      </c>
      <c r="G36" s="2064"/>
      <c r="H36" s="2067"/>
      <c r="I36" s="3434"/>
      <c r="J36" s="2081"/>
      <c r="K36" s="2082"/>
      <c r="L36" s="2081"/>
      <c r="M36" s="2081"/>
    </row>
    <row r="37" spans="1:18" ht="18" customHeight="1">
      <c r="A37" s="817"/>
      <c r="B37" s="795"/>
      <c r="C37" s="69"/>
      <c r="D37" s="818"/>
      <c r="E37" s="786" t="s">
        <v>675</v>
      </c>
      <c r="F37" s="787">
        <f ca="1">INDIRECT("'数据-取费表'!r"&amp;$G$1)</f>
        <v>0</v>
      </c>
      <c r="G37" s="2064"/>
      <c r="H37" s="2067"/>
      <c r="I37" s="3434"/>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5" t="s">
        <v>2966</v>
      </c>
      <c r="F43" s="3156">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4">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7" t="s">
        <v>2969</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2"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9"/>
      <c r="L54" s="3440"/>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9" t="s">
        <v>2360</v>
      </c>
      <c r="J56" s="3153"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2"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4"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1" t="s">
        <v>2945</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2">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3">
        <v>0</v>
      </c>
      <c r="O65" s="2430" t="s">
        <v>2420</v>
      </c>
      <c r="P65" s="1593"/>
      <c r="Q65" s="1605"/>
      <c r="R65" s="1593"/>
    </row>
    <row r="66" spans="1:18" s="2061" customFormat="1" ht="15.75" thickBot="1">
      <c r="A66" s="2098"/>
      <c r="B66" s="2099"/>
      <c r="C66" s="2099"/>
      <c r="I66" s="2411" t="s">
        <v>2377</v>
      </c>
      <c r="J66" s="2412">
        <v>40</v>
      </c>
      <c r="K66" s="2412">
        <v>30</v>
      </c>
      <c r="L66" s="2412">
        <v>50</v>
      </c>
      <c r="M66" s="3132">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7" t="s">
        <v>2583</v>
      </c>
      <c r="C1" s="3447"/>
      <c r="D1" s="3447"/>
      <c r="E1" s="3447"/>
      <c r="F1" s="3447"/>
      <c r="G1" s="3446" t="s">
        <v>2584</v>
      </c>
      <c r="H1" s="3446"/>
      <c r="I1" s="3446"/>
      <c r="J1" s="3446"/>
      <c r="K1" s="3446"/>
      <c r="L1" s="3446"/>
      <c r="N1" s="3446" t="s">
        <v>2585</v>
      </c>
      <c r="O1" s="3446"/>
      <c r="P1" s="3446"/>
      <c r="Q1" s="3446"/>
      <c r="R1" s="2681"/>
      <c r="S1" s="3446" t="s">
        <v>2586</v>
      </c>
      <c r="T1" s="3446"/>
      <c r="U1" s="3446"/>
      <c r="V1" s="3446"/>
      <c r="X1" s="3445" t="s">
        <v>2647</v>
      </c>
      <c r="Y1" s="3446"/>
      <c r="Z1" s="3446"/>
      <c r="AA1" s="3446"/>
      <c r="AB1" s="3446"/>
      <c r="AD1" s="3445" t="s">
        <v>2652</v>
      </c>
      <c r="AE1" s="3446"/>
      <c r="AF1" s="3446"/>
      <c r="AG1" s="3446"/>
      <c r="AH1" s="3446"/>
    </row>
    <row r="2" spans="1:34" s="2783" customFormat="1" ht="14.25" thickBot="1">
      <c r="B2" s="2792" t="s">
        <v>2587</v>
      </c>
      <c r="C2" s="2792" t="s">
        <v>2650</v>
      </c>
      <c r="D2" s="2784" t="s">
        <v>1646</v>
      </c>
      <c r="E2" s="2784" t="s">
        <v>1953</v>
      </c>
      <c r="F2" s="2792" t="s">
        <v>2651</v>
      </c>
      <c r="G2" s="2787"/>
      <c r="H2" s="2786"/>
      <c r="I2" s="2792" t="s">
        <v>2960</v>
      </c>
      <c r="J2" s="2784" t="s">
        <v>2962</v>
      </c>
      <c r="K2" s="2784" t="s">
        <v>2963</v>
      </c>
      <c r="L2" s="2792" t="s">
        <v>2964</v>
      </c>
      <c r="N2" s="2792" t="s">
        <v>2587</v>
      </c>
      <c r="O2" s="2784" t="s">
        <v>2961</v>
      </c>
      <c r="P2" s="2784" t="s">
        <v>1953</v>
      </c>
      <c r="Q2" s="2792" t="s">
        <v>2651</v>
      </c>
      <c r="R2" s="2785"/>
      <c r="S2" s="2792" t="s">
        <v>2587</v>
      </c>
      <c r="T2" s="2784" t="s">
        <v>2961</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2972</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2971</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4">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2"/>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42"/>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43"/>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44">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2"/>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42"/>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43"/>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41">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2"/>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42"/>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43"/>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41">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2"/>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42"/>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43"/>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2" t="s">
        <v>2591</v>
      </c>
      <c r="B21" s="2688">
        <v>299</v>
      </c>
      <c r="C21" s="2688">
        <v>252</v>
      </c>
      <c r="D21" s="2688">
        <f t="shared" si="28"/>
        <v>252</v>
      </c>
      <c r="E21" s="2688">
        <v>409</v>
      </c>
      <c r="F21" s="2689">
        <v>227</v>
      </c>
      <c r="G21" s="3448">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9"/>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9"/>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50"/>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41">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42"/>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42"/>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43"/>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41">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2">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42">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43">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41">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2">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42">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43">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41">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2">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42">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43">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41">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2">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42">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43">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41">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2">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42">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43">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41">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2">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42">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43">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41">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2">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42">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43">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41">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2">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42">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43">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41">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42">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42">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43">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41">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42">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42">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43">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25391.93平方米。根据《建设工程规划许可证》[]、《出让合同》[]，估价对象规划建筑面积为68728.65平方米。</v>
      </c>
    </row>
    <row r="7" spans="1:4" ht="56.25">
      <c r="A7" s="1797" t="s">
        <v>2756</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2018年1月23日（评估专业人员勘察现场之日）</v>
      </c>
    </row>
    <row r="12" spans="1:4" ht="18.75">
      <c r="A12" s="1799" t="s">
        <v>2029</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根据《国有土地使用证》[]，估价对象（分摊）出让国有建设用地使用权面积为25391.93平方米。根据《建设工程规划许可证》[]、《出让合同》[]，估价对象规划建筑面积为68728.65平方米。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本次估价对象为出让国有建设用地使用权，《国有土地使用证》[]证载土地终止日期为住宅2086年11月24日、商业2056年11月24日。截至估价期日，出让国有建设用地使用权剩余土地使用年限为。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I47" sqref="I47"/>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3088</v>
      </c>
      <c r="E1" s="2652"/>
      <c r="F1" s="2835" t="s">
        <v>3069</v>
      </c>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5" t="s">
        <v>467</v>
      </c>
      <c r="B2" s="2648">
        <f>ROUND(B3*D3/10000,0)</f>
        <v>50718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1" t="s">
        <v>520</v>
      </c>
      <c r="B3" s="853">
        <f>C49</f>
        <v>17277</v>
      </c>
      <c r="C3" s="854" t="s">
        <v>723</v>
      </c>
      <c r="D3" s="853">
        <f>SUMIF('数据-汇总表'!$C19:$C33,D1,'数据-汇总表'!$E19:$E33)</f>
        <v>29355.819999999992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4" t="s">
        <v>522</v>
      </c>
      <c r="B4" s="515"/>
      <c r="C4" s="3365" t="s">
        <v>523</v>
      </c>
      <c r="D4" s="3366"/>
      <c r="E4" s="3402" t="s">
        <v>524</v>
      </c>
      <c r="F4" s="3403"/>
      <c r="G4" s="3365" t="s">
        <v>525</v>
      </c>
      <c r="H4" s="3366"/>
      <c r="I4" s="3365" t="s">
        <v>526</v>
      </c>
      <c r="J4" s="3366"/>
      <c r="K4" s="855" t="s">
        <v>527</v>
      </c>
      <c r="L4" s="2135"/>
      <c r="M4" s="2136"/>
      <c r="N4" s="2136"/>
      <c r="O4" s="2136"/>
      <c r="P4" s="3367" t="s">
        <v>528</v>
      </c>
      <c r="Q4" s="3368"/>
      <c r="R4" s="3373" t="s">
        <v>524</v>
      </c>
      <c r="S4" s="3374"/>
      <c r="T4" s="3373" t="s">
        <v>525</v>
      </c>
      <c r="U4" s="3374"/>
      <c r="V4" s="3360" t="s">
        <v>526</v>
      </c>
      <c r="W4" s="3360"/>
      <c r="X4" s="1568"/>
      <c r="Y4" s="3373" t="s">
        <v>528</v>
      </c>
      <c r="Z4" s="3374"/>
      <c r="AA4" s="3362" t="s">
        <v>524</v>
      </c>
      <c r="AB4" s="3362" t="s">
        <v>525</v>
      </c>
      <c r="AC4" s="3362" t="s">
        <v>526</v>
      </c>
    </row>
    <row r="5" spans="1:29" ht="15">
      <c r="A5" s="517"/>
      <c r="B5" s="518"/>
      <c r="C5" s="3383" t="s">
        <v>2930</v>
      </c>
      <c r="D5" s="3382"/>
      <c r="E5" s="3454" t="s">
        <v>3077</v>
      </c>
      <c r="F5" s="3405"/>
      <c r="G5" s="3381" t="s">
        <v>3080</v>
      </c>
      <c r="H5" s="3382"/>
      <c r="I5" s="3381" t="s">
        <v>3083</v>
      </c>
      <c r="J5" s="3382"/>
      <c r="K5" s="856"/>
      <c r="L5" s="2135"/>
      <c r="M5" s="2136"/>
      <c r="N5" s="2136"/>
      <c r="O5" s="2136"/>
      <c r="P5" s="3369"/>
      <c r="Q5" s="3370"/>
      <c r="R5" s="3375"/>
      <c r="S5" s="3376"/>
      <c r="T5" s="3375"/>
      <c r="U5" s="3376"/>
      <c r="V5" s="3360"/>
      <c r="W5" s="3360"/>
      <c r="X5" s="1568"/>
      <c r="Y5" s="3375"/>
      <c r="Z5" s="3376"/>
      <c r="AA5" s="3363"/>
      <c r="AB5" s="3363"/>
      <c r="AC5" s="3363"/>
    </row>
    <row r="6" spans="1:29" ht="15.75" thickBot="1">
      <c r="A6" s="519"/>
      <c r="B6" s="520"/>
      <c r="C6" s="3399" t="s">
        <v>2934</v>
      </c>
      <c r="D6" s="3380"/>
      <c r="E6" s="3400" t="s">
        <v>2934</v>
      </c>
      <c r="F6" s="3401"/>
      <c r="G6" s="3399" t="s">
        <v>2934</v>
      </c>
      <c r="H6" s="3380"/>
      <c r="I6" s="3399" t="s">
        <v>2934</v>
      </c>
      <c r="J6" s="3380"/>
      <c r="K6" s="856" t="s">
        <v>529</v>
      </c>
      <c r="L6" s="2135"/>
      <c r="M6" s="2136"/>
      <c r="N6" s="2136"/>
      <c r="O6" s="2136"/>
      <c r="P6" s="3371"/>
      <c r="Q6" s="3372"/>
      <c r="R6" s="3375"/>
      <c r="S6" s="3376"/>
      <c r="T6" s="3377"/>
      <c r="U6" s="3378"/>
      <c r="V6" s="3360"/>
      <c r="W6" s="3360"/>
      <c r="X6" s="1568"/>
      <c r="Y6" s="3377"/>
      <c r="Z6" s="3378"/>
      <c r="AA6" s="3364"/>
      <c r="AB6" s="3364"/>
      <c r="AC6" s="3364"/>
    </row>
    <row r="7" spans="1:29" s="1221" customFormat="1" ht="15.75" thickBot="1">
      <c r="A7" s="2940"/>
      <c r="B7" s="2947" t="s">
        <v>530</v>
      </c>
      <c r="C7" s="521">
        <f>'数据-取费表'!B2</f>
        <v>43123</v>
      </c>
      <c r="D7" s="522">
        <v>100</v>
      </c>
      <c r="E7" s="523">
        <v>43123</v>
      </c>
      <c r="F7" s="524">
        <f>SUMIF(58:58,YEAR(E7)&amp;"-"&amp;MONTH(E7),59:59)</f>
        <v>100</v>
      </c>
      <c r="G7" s="525">
        <v>43123</v>
      </c>
      <c r="H7" s="522">
        <f>SUMIF(58:58,YEAR(G7)&amp;"-"&amp;MONTH(G7),59:59)</f>
        <v>100</v>
      </c>
      <c r="I7" s="525">
        <v>43123</v>
      </c>
      <c r="J7" s="522">
        <f>SUMIF(58:58,YEAR(I7)&amp;"-"&amp;MONTH(I7),59:59)</f>
        <v>100</v>
      </c>
      <c r="K7" s="857"/>
      <c r="L7" s="2137"/>
      <c r="M7" s="2138"/>
      <c r="N7" s="2138"/>
      <c r="O7" s="2138"/>
      <c r="P7" s="3392" t="s">
        <v>531</v>
      </c>
      <c r="Q7" s="3394"/>
      <c r="R7" s="1569" t="s">
        <v>13</v>
      </c>
      <c r="S7" s="1570">
        <f t="shared" ref="S7:S15" si="0">F7</f>
        <v>100</v>
      </c>
      <c r="T7" s="1569" t="s">
        <v>13</v>
      </c>
      <c r="U7" s="1570">
        <f t="shared" ref="U7:U15" si="1">H7</f>
        <v>100</v>
      </c>
      <c r="V7" s="1569" t="s">
        <v>13</v>
      </c>
      <c r="W7" s="1570">
        <f t="shared" ref="W7:W15" si="2">J7</f>
        <v>100</v>
      </c>
      <c r="X7" s="1571"/>
      <c r="Y7" s="3392" t="s">
        <v>531</v>
      </c>
      <c r="Z7" s="3393"/>
      <c r="AA7" s="1572">
        <f>D7/F7</f>
        <v>1</v>
      </c>
      <c r="AB7" s="1572">
        <f>D7/H7</f>
        <v>1</v>
      </c>
      <c r="AC7" s="1572">
        <f>D7/J7</f>
        <v>1</v>
      </c>
    </row>
    <row r="8" spans="1:29" s="1221" customFormat="1" ht="15.75" thickBot="1">
      <c r="A8" s="2941"/>
      <c r="B8" s="2948" t="s">
        <v>532</v>
      </c>
      <c r="C8" s="527" t="s">
        <v>577</v>
      </c>
      <c r="D8" s="522">
        <v>100</v>
      </c>
      <c r="E8" s="858" t="s">
        <v>2979</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392" t="s">
        <v>534</v>
      </c>
      <c r="Q8" s="3393"/>
      <c r="R8" s="1569" t="s">
        <v>13</v>
      </c>
      <c r="S8" s="1570">
        <f t="shared" si="0"/>
        <v>100</v>
      </c>
      <c r="T8" s="1569" t="s">
        <v>13</v>
      </c>
      <c r="U8" s="1570">
        <f t="shared" si="1"/>
        <v>100</v>
      </c>
      <c r="V8" s="1569" t="s">
        <v>13</v>
      </c>
      <c r="W8" s="1570">
        <f t="shared" si="2"/>
        <v>100</v>
      </c>
      <c r="X8" s="1571"/>
      <c r="Y8" s="3392" t="s">
        <v>534</v>
      </c>
      <c r="Z8" s="3393"/>
      <c r="AA8" s="1572">
        <f t="shared" ref="AA8:AA46" si="3">D8/F8</f>
        <v>1</v>
      </c>
      <c r="AB8" s="1572">
        <f t="shared" ref="AB8:AB46" si="4">D8/H8</f>
        <v>1</v>
      </c>
      <c r="AC8" s="1572">
        <f t="shared" ref="AC8:AC46" si="5">D8/J8</f>
        <v>1</v>
      </c>
    </row>
    <row r="9" spans="1:29" s="1221" customFormat="1" ht="15">
      <c r="A9" s="2942"/>
      <c r="B9" s="2949" t="s">
        <v>2765</v>
      </c>
      <c r="C9" s="3167" t="s">
        <v>3037</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359" t="s">
        <v>536</v>
      </c>
      <c r="Q9" s="1152" t="str">
        <f t="shared" ref="Q9:Q15" si="6">B9</f>
        <v>用途</v>
      </c>
      <c r="R9" s="1569" t="s">
        <v>8</v>
      </c>
      <c r="S9" s="1570">
        <f t="shared" si="0"/>
        <v>100</v>
      </c>
      <c r="T9" s="1569" t="s">
        <v>8</v>
      </c>
      <c r="U9" s="1570">
        <f t="shared" si="1"/>
        <v>100</v>
      </c>
      <c r="V9" s="1569" t="s">
        <v>8</v>
      </c>
      <c r="W9" s="1570">
        <f t="shared" si="2"/>
        <v>100</v>
      </c>
      <c r="X9" s="1571"/>
      <c r="Y9" s="3305" t="s">
        <v>537</v>
      </c>
      <c r="Z9" s="1151" t="str">
        <f t="shared" ref="Z9:Z15" si="7">Q9</f>
        <v>用途</v>
      </c>
      <c r="AA9" s="1572">
        <f t="shared" si="3"/>
        <v>1</v>
      </c>
      <c r="AB9" s="1572">
        <f t="shared" si="4"/>
        <v>1</v>
      </c>
      <c r="AC9" s="1572">
        <f t="shared" si="5"/>
        <v>1</v>
      </c>
    </row>
    <row r="10" spans="1:29" s="1339" customFormat="1" ht="27">
      <c r="A10" s="2943"/>
      <c r="B10" s="2948" t="s">
        <v>2766</v>
      </c>
      <c r="C10" s="863" t="s">
        <v>3071</v>
      </c>
      <c r="D10" s="254">
        <v>100</v>
      </c>
      <c r="E10" s="864" t="s">
        <v>3071</v>
      </c>
      <c r="F10" s="865">
        <f>SUMIF(65:65,E10,66:66)-SUMIF(65:65,C10,66:66)+100</f>
        <v>100</v>
      </c>
      <c r="G10" s="863" t="s">
        <v>3071</v>
      </c>
      <c r="H10" s="254">
        <f>SUMIF(65:65,G10,66:66)-SUMIF(65:65,C10,66:66)+100</f>
        <v>100</v>
      </c>
      <c r="I10" s="863" t="s">
        <v>3071</v>
      </c>
      <c r="J10" s="254">
        <f>SUMIF(65:65,I10,66:66)-SUMIF(65:65,C10,66:66)+100</f>
        <v>100</v>
      </c>
      <c r="K10" s="866">
        <v>1</v>
      </c>
      <c r="L10" s="2140"/>
      <c r="M10" s="2180"/>
      <c r="N10" s="2180"/>
      <c r="O10" s="2141"/>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75" thickBot="1">
      <c r="A11" s="2944"/>
      <c r="B11" s="2948" t="s">
        <v>2767</v>
      </c>
      <c r="C11" s="535">
        <f>'比较法-住宅、综合'!C13</f>
        <v>1.99</v>
      </c>
      <c r="D11" s="254">
        <v>100</v>
      </c>
      <c r="E11" s="536">
        <v>2</v>
      </c>
      <c r="F11" s="865">
        <f>LOOKUP(E11,68:68,69:69)-LOOKUP(C11,68:68,69:69)+100</f>
        <v>97</v>
      </c>
      <c r="G11" s="535">
        <v>2</v>
      </c>
      <c r="H11" s="254">
        <f>LOOKUP(G11,68:68,69:69)-LOOKUP(C11,68:68,69:69)+100</f>
        <v>97</v>
      </c>
      <c r="I11" s="535">
        <v>2.2999999999999998</v>
      </c>
      <c r="J11" s="254">
        <f>LOOKUP(I11,68:68,69:69)-LOOKUP(C11,68:68,69:69)+100</f>
        <v>97</v>
      </c>
      <c r="K11" s="866">
        <v>3</v>
      </c>
      <c r="L11" s="2142"/>
      <c r="M11" s="2136"/>
      <c r="N11" s="2136"/>
      <c r="O11" s="2143"/>
      <c r="P11" s="3359"/>
      <c r="Q11" s="1152" t="str">
        <f t="shared" si="6"/>
        <v>容积率</v>
      </c>
      <c r="R11" s="1569" t="s">
        <v>11</v>
      </c>
      <c r="S11" s="1570">
        <f t="shared" si="0"/>
        <v>97</v>
      </c>
      <c r="T11" s="1569" t="s">
        <v>11</v>
      </c>
      <c r="U11" s="1570">
        <f t="shared" si="1"/>
        <v>97</v>
      </c>
      <c r="V11" s="1569" t="s">
        <v>11</v>
      </c>
      <c r="W11" s="1570">
        <f t="shared" si="2"/>
        <v>97</v>
      </c>
      <c r="X11" s="1571"/>
      <c r="Y11" s="3305"/>
      <c r="Z11" s="1151" t="str">
        <f t="shared" si="7"/>
        <v>容积率</v>
      </c>
      <c r="AA11" s="1572">
        <f t="shared" si="3"/>
        <v>1.0309278350515463</v>
      </c>
      <c r="AB11" s="1572">
        <f t="shared" si="4"/>
        <v>1.0309278350515463</v>
      </c>
      <c r="AC11" s="1572">
        <f t="shared" si="5"/>
        <v>1.0309278350515463</v>
      </c>
    </row>
    <row r="12" spans="1:29" s="1221" customFormat="1" ht="15" hidden="1">
      <c r="A12" s="2945"/>
      <c r="B12" s="2950"/>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359"/>
      <c r="Q12" s="1152">
        <f t="shared" si="6"/>
        <v>0</v>
      </c>
      <c r="R12" s="1569" t="s">
        <v>11</v>
      </c>
      <c r="S12" s="1570">
        <f t="shared" si="0"/>
        <v>100</v>
      </c>
      <c r="T12" s="1569" t="s">
        <v>11</v>
      </c>
      <c r="U12" s="1570">
        <f t="shared" si="1"/>
        <v>100</v>
      </c>
      <c r="V12" s="1569" t="s">
        <v>11</v>
      </c>
      <c r="W12" s="1570">
        <f t="shared" si="2"/>
        <v>100</v>
      </c>
      <c r="X12" s="1571"/>
      <c r="Y12" s="3305"/>
      <c r="Z12" s="1151">
        <f t="shared" si="7"/>
        <v>0</v>
      </c>
      <c r="AA12" s="1572">
        <f>D12/F12</f>
        <v>1</v>
      </c>
      <c r="AB12" s="1572">
        <f>D12/H12</f>
        <v>1</v>
      </c>
      <c r="AC12" s="1572">
        <f>D12/J12</f>
        <v>1</v>
      </c>
    </row>
    <row r="13" spans="1:29" ht="15" hidden="1">
      <c r="A13" s="2945"/>
      <c r="B13" s="2950"/>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359"/>
      <c r="Q13" s="1152">
        <f t="shared" si="6"/>
        <v>0</v>
      </c>
      <c r="R13" s="1569" t="s">
        <v>11</v>
      </c>
      <c r="S13" s="1570">
        <f t="shared" si="0"/>
        <v>100</v>
      </c>
      <c r="T13" s="1569" t="s">
        <v>11</v>
      </c>
      <c r="U13" s="1570">
        <f t="shared" si="1"/>
        <v>100</v>
      </c>
      <c r="V13" s="1569" t="s">
        <v>11</v>
      </c>
      <c r="W13" s="1570">
        <f t="shared" si="2"/>
        <v>100</v>
      </c>
      <c r="X13" s="1571"/>
      <c r="Y13" s="3305"/>
      <c r="Z13" s="1151">
        <f t="shared" si="7"/>
        <v>0</v>
      </c>
      <c r="AA13" s="1572">
        <f t="shared" si="3"/>
        <v>1</v>
      </c>
      <c r="AB13" s="1572">
        <f t="shared" si="4"/>
        <v>1</v>
      </c>
      <c r="AC13" s="1572">
        <f t="shared" si="5"/>
        <v>1</v>
      </c>
    </row>
    <row r="14" spans="1:29" ht="15.75" hidden="1" thickBot="1">
      <c r="A14" s="2946"/>
      <c r="B14" s="2951"/>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359"/>
      <c r="Q14" s="1152">
        <f t="shared" si="6"/>
        <v>0</v>
      </c>
      <c r="R14" s="1569" t="s">
        <v>11</v>
      </c>
      <c r="S14" s="1570">
        <f t="shared" si="0"/>
        <v>100</v>
      </c>
      <c r="T14" s="1569" t="s">
        <v>11</v>
      </c>
      <c r="U14" s="1570">
        <f t="shared" si="1"/>
        <v>100</v>
      </c>
      <c r="V14" s="1569" t="s">
        <v>11</v>
      </c>
      <c r="W14" s="1570">
        <f t="shared" si="2"/>
        <v>100</v>
      </c>
      <c r="X14" s="1571"/>
      <c r="Y14" s="3305"/>
      <c r="Z14" s="1151">
        <f t="shared" si="7"/>
        <v>0</v>
      </c>
      <c r="AA14" s="1572">
        <f t="shared" si="3"/>
        <v>1</v>
      </c>
      <c r="AB14" s="1572">
        <f t="shared" si="4"/>
        <v>1</v>
      </c>
      <c r="AC14" s="1572">
        <f t="shared" si="5"/>
        <v>1</v>
      </c>
    </row>
    <row r="15" spans="1:29" ht="99.75">
      <c r="A15" s="2938" t="s">
        <v>2763</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395" t="s">
        <v>541</v>
      </c>
      <c r="Q15" s="1573" t="str">
        <f t="shared" si="6"/>
        <v>居住社区成熟度</v>
      </c>
      <c r="R15" s="1574" t="s">
        <v>11</v>
      </c>
      <c r="S15" s="1575">
        <f t="shared" si="0"/>
        <v>100</v>
      </c>
      <c r="T15" s="1574" t="s">
        <v>11</v>
      </c>
      <c r="U15" s="1575">
        <f t="shared" si="1"/>
        <v>100</v>
      </c>
      <c r="V15" s="1574" t="s">
        <v>11</v>
      </c>
      <c r="W15" s="1575">
        <f t="shared" si="2"/>
        <v>100</v>
      </c>
      <c r="X15" s="1568"/>
      <c r="Y15" s="3395" t="s">
        <v>541</v>
      </c>
      <c r="Z15" s="1576" t="str">
        <f t="shared" si="7"/>
        <v>居住社区成熟度</v>
      </c>
      <c r="AA15" s="1577">
        <f t="shared" si="3"/>
        <v>1</v>
      </c>
      <c r="AB15" s="1577">
        <f t="shared" si="4"/>
        <v>1</v>
      </c>
      <c r="AC15" s="1577">
        <f t="shared" si="5"/>
        <v>1</v>
      </c>
    </row>
    <row r="16" spans="1:29" ht="15">
      <c r="A16" s="534"/>
      <c r="B16" s="871"/>
      <c r="C16" s="578" t="s">
        <v>3008</v>
      </c>
      <c r="D16" s="557"/>
      <c r="E16" s="578" t="s">
        <v>3008</v>
      </c>
      <c r="F16" s="559"/>
      <c r="G16" s="578" t="s">
        <v>3008</v>
      </c>
      <c r="H16" s="561"/>
      <c r="I16" s="578" t="s">
        <v>3008</v>
      </c>
      <c r="J16" s="557"/>
      <c r="K16" s="872"/>
      <c r="L16" s="2144"/>
      <c r="M16" s="2136"/>
      <c r="N16" s="2136"/>
      <c r="O16" s="2143"/>
      <c r="P16" s="3396"/>
      <c r="Q16" s="1573"/>
      <c r="R16" s="1574"/>
      <c r="S16" s="1575"/>
      <c r="T16" s="1574"/>
      <c r="U16" s="1575"/>
      <c r="V16" s="1574"/>
      <c r="W16" s="1575"/>
      <c r="X16" s="1568"/>
      <c r="Y16" s="3396"/>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97</v>
      </c>
      <c r="I17" s="564"/>
      <c r="J17" s="567">
        <f>SUMIF(78:78,I18,79:79)-SUMIF(78:78,C18,79:79)+100</f>
        <v>97</v>
      </c>
      <c r="K17" s="870">
        <v>3</v>
      </c>
      <c r="L17" s="2144"/>
      <c r="M17" s="2136"/>
      <c r="N17" s="2136"/>
      <c r="O17" s="2143"/>
      <c r="P17" s="3396"/>
      <c r="Q17" s="1573" t="str">
        <f>B17</f>
        <v>交通便捷度</v>
      </c>
      <c r="R17" s="1574" t="s">
        <v>11</v>
      </c>
      <c r="S17" s="1575">
        <f>F17</f>
        <v>97</v>
      </c>
      <c r="T17" s="1574" t="s">
        <v>11</v>
      </c>
      <c r="U17" s="1575">
        <f>H17</f>
        <v>97</v>
      </c>
      <c r="V17" s="1574" t="s">
        <v>11</v>
      </c>
      <c r="W17" s="1575">
        <f>J17</f>
        <v>97</v>
      </c>
      <c r="X17" s="1568"/>
      <c r="Y17" s="3396"/>
      <c r="Z17" s="1576" t="str">
        <f>Q17</f>
        <v>交通便捷度</v>
      </c>
      <c r="AA17" s="1577">
        <f t="shared" si="3"/>
        <v>1.0309278350515463</v>
      </c>
      <c r="AB17" s="1577">
        <f t="shared" si="4"/>
        <v>1.0309278350515463</v>
      </c>
      <c r="AC17" s="1577">
        <f t="shared" si="5"/>
        <v>1.0309278350515463</v>
      </c>
    </row>
    <row r="18" spans="1:29" ht="15">
      <c r="A18" s="534"/>
      <c r="B18" s="597"/>
      <c r="C18" s="875" t="s">
        <v>3008</v>
      </c>
      <c r="D18" s="561"/>
      <c r="E18" s="875" t="s">
        <v>3087</v>
      </c>
      <c r="F18" s="565"/>
      <c r="G18" s="875" t="s">
        <v>3087</v>
      </c>
      <c r="H18" s="557"/>
      <c r="I18" s="875" t="s">
        <v>3087</v>
      </c>
      <c r="J18" s="557"/>
      <c r="K18" s="872"/>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4"/>
      <c r="B20" s="597"/>
      <c r="C20" s="875" t="s">
        <v>3008</v>
      </c>
      <c r="D20" s="557"/>
      <c r="E20" s="875" t="s">
        <v>3008</v>
      </c>
      <c r="F20" s="559"/>
      <c r="G20" s="875" t="s">
        <v>3008</v>
      </c>
      <c r="H20" s="557"/>
      <c r="I20" s="875" t="s">
        <v>3008</v>
      </c>
      <c r="J20" s="557"/>
      <c r="K20" s="872"/>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396"/>
      <c r="Q21" s="2605" t="str">
        <f>B21</f>
        <v>基础设施水平</v>
      </c>
      <c r="R21" s="1574" t="s">
        <v>11</v>
      </c>
      <c r="S21" s="1575">
        <f>F21</f>
        <v>100</v>
      </c>
      <c r="T21" s="1574" t="s">
        <v>11</v>
      </c>
      <c r="U21" s="1575">
        <f>H21</f>
        <v>100</v>
      </c>
      <c r="V21" s="1574" t="s">
        <v>11</v>
      </c>
      <c r="W21" s="1575">
        <f>J21</f>
        <v>100</v>
      </c>
      <c r="X21" s="2607"/>
      <c r="Y21" s="3396"/>
      <c r="Z21" s="2606" t="str">
        <f>Q21</f>
        <v>基础设施水平</v>
      </c>
      <c r="AA21" s="1577">
        <f t="shared" ref="AA21" si="8">D21/F21</f>
        <v>1</v>
      </c>
      <c r="AB21" s="1577">
        <f t="shared" ref="AB21" si="9">D21/H21</f>
        <v>1</v>
      </c>
      <c r="AC21" s="1577">
        <f t="shared" ref="AC21" si="10">D21/J21</f>
        <v>1</v>
      </c>
    </row>
    <row r="22" spans="1:29" ht="15">
      <c r="A22" s="534"/>
      <c r="B22" s="923"/>
      <c r="C22" s="3190" t="s">
        <v>3063</v>
      </c>
      <c r="D22" s="557"/>
      <c r="E22" s="3190" t="s">
        <v>3063</v>
      </c>
      <c r="F22" s="559"/>
      <c r="G22" s="3190" t="s">
        <v>3063</v>
      </c>
      <c r="H22" s="557"/>
      <c r="I22" s="3190" t="s">
        <v>3063</v>
      </c>
      <c r="J22" s="557"/>
      <c r="K22" s="2625"/>
      <c r="L22" s="2144"/>
      <c r="M22" s="2136"/>
      <c r="N22" s="2136"/>
      <c r="O22" s="2143"/>
      <c r="P22" s="3396"/>
      <c r="Q22" s="2605"/>
      <c r="R22" s="1574"/>
      <c r="S22" s="1575"/>
      <c r="T22" s="1574"/>
      <c r="U22" s="1575"/>
      <c r="V22" s="1574"/>
      <c r="W22" s="1575"/>
      <c r="X22" s="2607"/>
      <c r="Y22" s="3396"/>
      <c r="Z22" s="2606"/>
      <c r="AA22" s="1577">
        <v>1</v>
      </c>
      <c r="AB22" s="1577">
        <v>1</v>
      </c>
      <c r="AC22" s="1577">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v>3</v>
      </c>
      <c r="L23" s="2144"/>
      <c r="M23" s="2136"/>
      <c r="N23" s="2136"/>
      <c r="O23" s="2143"/>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4"/>
      <c r="B24" s="597"/>
      <c r="C24" s="875" t="s">
        <v>3008</v>
      </c>
      <c r="D24" s="557"/>
      <c r="E24" s="875" t="s">
        <v>3008</v>
      </c>
      <c r="F24" s="559"/>
      <c r="G24" s="875" t="s">
        <v>3008</v>
      </c>
      <c r="H24" s="557"/>
      <c r="I24" s="875" t="s">
        <v>3008</v>
      </c>
      <c r="J24" s="557"/>
      <c r="K24" s="872"/>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hidden="1">
      <c r="A25" s="534"/>
      <c r="B25" s="1897" t="s">
        <v>2260</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1" customFormat="1" ht="15.75" thickBot="1">
      <c r="A27" s="538"/>
      <c r="B27" s="539" t="s">
        <v>725</v>
      </c>
      <c r="C27" s="3183" t="s">
        <v>3079</v>
      </c>
      <c r="D27" s="877">
        <v>100</v>
      </c>
      <c r="E27" s="3183" t="s">
        <v>3079</v>
      </c>
      <c r="F27" s="878">
        <f>SUMIF(90:90,E27,91:91)-SUMIF(90:90,C27,91:91)+100</f>
        <v>100</v>
      </c>
      <c r="G27" s="3183" t="s">
        <v>3079</v>
      </c>
      <c r="H27" s="877">
        <f>SUMIF(90:90,G27,91:91)-SUMIF(90:90,C27,91:91)+100</f>
        <v>100</v>
      </c>
      <c r="I27" s="3183" t="s">
        <v>3079</v>
      </c>
      <c r="J27" s="877">
        <f>SUMIF(90:90,I27,91:91)-SUMIF(90:90,C27,91:91)+100</f>
        <v>100</v>
      </c>
      <c r="K27" s="867"/>
      <c r="L27" s="2137"/>
      <c r="M27" s="2138"/>
      <c r="N27" s="2138"/>
      <c r="O27" s="2139"/>
      <c r="P27" s="3396"/>
      <c r="Q27" s="1152" t="str">
        <f t="shared" si="11"/>
        <v>道路级别</v>
      </c>
      <c r="R27" s="1569" t="s">
        <v>11</v>
      </c>
      <c r="S27" s="1570">
        <f>F27</f>
        <v>100</v>
      </c>
      <c r="T27" s="1569" t="s">
        <v>11</v>
      </c>
      <c r="U27" s="1570">
        <f>H27</f>
        <v>100</v>
      </c>
      <c r="V27" s="1569" t="s">
        <v>11</v>
      </c>
      <c r="W27" s="1570">
        <f>J27</f>
        <v>100</v>
      </c>
      <c r="X27" s="1571"/>
      <c r="Y27" s="3396"/>
      <c r="Z27" s="1151" t="str">
        <f>Q27</f>
        <v>道路级别</v>
      </c>
      <c r="AA27" s="1577">
        <f>D27/F27</f>
        <v>1</v>
      </c>
      <c r="AB27" s="1577">
        <f>D27/H27</f>
        <v>1</v>
      </c>
      <c r="AC27" s="1577">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396"/>
      <c r="Q28" s="1573">
        <f t="shared" si="11"/>
        <v>0</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0</v>
      </c>
      <c r="AA28" s="1577">
        <f t="shared" si="3"/>
        <v>1</v>
      </c>
      <c r="AB28" s="1577">
        <f t="shared" si="4"/>
        <v>1</v>
      </c>
      <c r="AC28" s="1577">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396"/>
      <c r="Q29" s="1573">
        <f t="shared" si="11"/>
        <v>0</v>
      </c>
      <c r="R29" s="1574" t="s">
        <v>11</v>
      </c>
      <c r="S29" s="1575">
        <f t="shared" si="12"/>
        <v>100</v>
      </c>
      <c r="T29" s="1574" t="s">
        <v>11</v>
      </c>
      <c r="U29" s="1575">
        <f t="shared" si="13"/>
        <v>100</v>
      </c>
      <c r="V29" s="1574" t="s">
        <v>11</v>
      </c>
      <c r="W29" s="1575">
        <f t="shared" si="14"/>
        <v>100</v>
      </c>
      <c r="X29" s="1568"/>
      <c r="Y29" s="3396"/>
      <c r="Z29" s="1576">
        <f t="shared" si="15"/>
        <v>0</v>
      </c>
      <c r="AA29" s="1577">
        <f t="shared" si="3"/>
        <v>1</v>
      </c>
      <c r="AB29" s="1577">
        <f t="shared" si="4"/>
        <v>1</v>
      </c>
      <c r="AC29" s="1577">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396"/>
      <c r="Q30" s="1573">
        <f t="shared" si="11"/>
        <v>0</v>
      </c>
      <c r="R30" s="1574" t="s">
        <v>11</v>
      </c>
      <c r="S30" s="1575">
        <f t="shared" si="12"/>
        <v>100</v>
      </c>
      <c r="T30" s="1574" t="s">
        <v>11</v>
      </c>
      <c r="U30" s="1575">
        <f t="shared" si="13"/>
        <v>100</v>
      </c>
      <c r="V30" s="1574" t="s">
        <v>11</v>
      </c>
      <c r="W30" s="1575">
        <f t="shared" si="14"/>
        <v>100</v>
      </c>
      <c r="X30" s="1568"/>
      <c r="Y30" s="3396"/>
      <c r="Z30" s="1576">
        <f t="shared" si="15"/>
        <v>0</v>
      </c>
      <c r="AA30" s="1577">
        <f t="shared" si="3"/>
        <v>1</v>
      </c>
      <c r="AB30" s="1577">
        <f t="shared" si="4"/>
        <v>1</v>
      </c>
      <c r="AC30" s="1577">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396"/>
      <c r="Q31" s="1573">
        <f t="shared" si="11"/>
        <v>0</v>
      </c>
      <c r="R31" s="1574" t="s">
        <v>11</v>
      </c>
      <c r="S31" s="1575">
        <f t="shared" si="12"/>
        <v>100</v>
      </c>
      <c r="T31" s="1574" t="s">
        <v>11</v>
      </c>
      <c r="U31" s="1575">
        <f t="shared" si="13"/>
        <v>100</v>
      </c>
      <c r="V31" s="1574" t="s">
        <v>11</v>
      </c>
      <c r="W31" s="1575">
        <f t="shared" si="14"/>
        <v>100</v>
      </c>
      <c r="X31" s="1568"/>
      <c r="Y31" s="3396"/>
      <c r="Z31" s="1576">
        <f t="shared" si="15"/>
        <v>0</v>
      </c>
      <c r="AA31" s="1577">
        <f t="shared" si="3"/>
        <v>1</v>
      </c>
      <c r="AB31" s="1577">
        <f t="shared" si="4"/>
        <v>1</v>
      </c>
      <c r="AC31" s="1577">
        <f t="shared" si="5"/>
        <v>1</v>
      </c>
    </row>
    <row r="32" spans="1:29" ht="15">
      <c r="A32" s="2935" t="s">
        <v>2764</v>
      </c>
      <c r="B32" s="171" t="s">
        <v>726</v>
      </c>
      <c r="C32" s="880" t="s">
        <v>3038</v>
      </c>
      <c r="D32" s="599">
        <v>100</v>
      </c>
      <c r="E32" s="880" t="s">
        <v>3038</v>
      </c>
      <c r="F32" s="577">
        <f>SUMIF(100:100,E32,101:101)-SUMIF(100:100,C32,101:101)+100</f>
        <v>100</v>
      </c>
      <c r="G32" s="880" t="s">
        <v>3038</v>
      </c>
      <c r="H32" s="599">
        <f>SUMIF(100:100,G32,101:101)-SUMIF(100:100,C32,101:101)+100</f>
        <v>100</v>
      </c>
      <c r="I32" s="880" t="s">
        <v>3038</v>
      </c>
      <c r="J32" s="542">
        <f>SUMIF(100:100,I32,101:101)-SUMIF(100:100,C32,101:101)+100</f>
        <v>100</v>
      </c>
      <c r="K32" s="866">
        <v>10</v>
      </c>
      <c r="L32" s="2144"/>
      <c r="M32" s="2136"/>
      <c r="N32" s="2136"/>
      <c r="O32" s="2143"/>
      <c r="P32" s="3397" t="s">
        <v>551</v>
      </c>
      <c r="Q32" s="1573" t="str">
        <f t="shared" si="11"/>
        <v>建筑类型</v>
      </c>
      <c r="R32" s="1574" t="s">
        <v>11</v>
      </c>
      <c r="S32" s="1575">
        <f t="shared" si="12"/>
        <v>100</v>
      </c>
      <c r="T32" s="1574" t="s">
        <v>11</v>
      </c>
      <c r="U32" s="1575">
        <f t="shared" si="13"/>
        <v>100</v>
      </c>
      <c r="V32" s="1574" t="s">
        <v>11</v>
      </c>
      <c r="W32" s="1575">
        <f t="shared" si="14"/>
        <v>100</v>
      </c>
      <c r="X32" s="1568"/>
      <c r="Y32" s="3398" t="s">
        <v>551</v>
      </c>
      <c r="Z32" s="1576" t="str">
        <f t="shared" si="15"/>
        <v>建筑类型</v>
      </c>
      <c r="AA32" s="1577">
        <f t="shared" si="3"/>
        <v>1</v>
      </c>
      <c r="AB32" s="1577">
        <f t="shared" si="4"/>
        <v>1</v>
      </c>
      <c r="AC32" s="1577">
        <f t="shared" si="5"/>
        <v>1</v>
      </c>
    </row>
    <row r="33" spans="1:29" s="1340" customFormat="1" ht="15">
      <c r="A33" s="605"/>
      <c r="B33" s="529" t="s">
        <v>727</v>
      </c>
      <c r="C33" s="881">
        <f>'数据-基础表'!B3</f>
        <v>131391.96</v>
      </c>
      <c r="D33" s="254">
        <v>100</v>
      </c>
      <c r="E33" s="881">
        <v>120000</v>
      </c>
      <c r="F33" s="865">
        <f>LOOKUP(E33,103:103,104:104)-LOOKUP(C33,103:103,104:104)+100</f>
        <v>100</v>
      </c>
      <c r="G33" s="881">
        <v>160819</v>
      </c>
      <c r="H33" s="254">
        <f>LOOKUP(G33,103:103,104:104)-LOOKUP(C33,103:103,104:104)+100</f>
        <v>100</v>
      </c>
      <c r="I33" s="881">
        <v>203519</v>
      </c>
      <c r="J33" s="254">
        <f>LOOKUP(I33,103:103,104:104)-LOOKUP(C33,103:103,104:104)+100</f>
        <v>101</v>
      </c>
      <c r="K33" s="867"/>
      <c r="L33" s="2142"/>
      <c r="M33" s="2173"/>
      <c r="N33" s="2173"/>
      <c r="O33" s="2145"/>
      <c r="P33" s="3398"/>
      <c r="Q33" s="1606" t="str">
        <f t="shared" si="11"/>
        <v>项目建筑规模</v>
      </c>
      <c r="R33" s="1578" t="s">
        <v>11</v>
      </c>
      <c r="S33" s="1579">
        <f t="shared" si="12"/>
        <v>100</v>
      </c>
      <c r="T33" s="1578" t="s">
        <v>11</v>
      </c>
      <c r="U33" s="1579">
        <f t="shared" si="13"/>
        <v>100</v>
      </c>
      <c r="V33" s="1578" t="s">
        <v>11</v>
      </c>
      <c r="W33" s="1579">
        <f t="shared" si="14"/>
        <v>101</v>
      </c>
      <c r="X33" s="1580"/>
      <c r="Y33" s="3398"/>
      <c r="Z33" s="1581" t="str">
        <f t="shared" si="15"/>
        <v>项目建筑规模</v>
      </c>
      <c r="AA33" s="1577">
        <f t="shared" si="3"/>
        <v>1</v>
      </c>
      <c r="AB33" s="1577">
        <f t="shared" si="4"/>
        <v>1</v>
      </c>
      <c r="AC33" s="1577">
        <f t="shared" si="5"/>
        <v>0.99009900990099009</v>
      </c>
    </row>
    <row r="34" spans="1:29" ht="15">
      <c r="A34" s="596"/>
      <c r="B34" s="529" t="s">
        <v>728</v>
      </c>
      <c r="C34" s="882" t="s">
        <v>3041</v>
      </c>
      <c r="D34" s="542">
        <v>100</v>
      </c>
      <c r="E34" s="882" t="s">
        <v>3041</v>
      </c>
      <c r="F34" s="577">
        <f>SUMIF(105:105,E34,106:106)-SUMIF(105:105,C34,106:106)+100</f>
        <v>100</v>
      </c>
      <c r="G34" s="882" t="s">
        <v>3041</v>
      </c>
      <c r="H34" s="542">
        <f>SUMIF(105:105,G34,106:106)-SUMIF(105:105,C34,106:106)+100</f>
        <v>100</v>
      </c>
      <c r="I34" s="882" t="s">
        <v>3041</v>
      </c>
      <c r="J34" s="542">
        <f>SUMIF(105:105,I34,106:106)-SUMIF(105:105,C34,106:106)+100</f>
        <v>100</v>
      </c>
      <c r="K34" s="866">
        <v>2</v>
      </c>
      <c r="L34" s="2144"/>
      <c r="M34" s="2136"/>
      <c r="N34" s="2136"/>
      <c r="O34" s="2143"/>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6"/>
      <c r="B35" s="529" t="s">
        <v>729</v>
      </c>
      <c r="C35" s="601" t="s">
        <v>3042</v>
      </c>
      <c r="D35" s="542">
        <v>100</v>
      </c>
      <c r="E35" s="601" t="s">
        <v>3042</v>
      </c>
      <c r="F35" s="577">
        <f>SUMIF(107:107,E35,108:108)-SUMIF(107:107,C35,108:108)+100</f>
        <v>100</v>
      </c>
      <c r="G35" s="601" t="s">
        <v>3085</v>
      </c>
      <c r="H35" s="542">
        <f>SUMIF(107:107,G35,108:108)-SUMIF(107:107,C35,108:108)+100</f>
        <v>95</v>
      </c>
      <c r="I35" s="601" t="s">
        <v>3042</v>
      </c>
      <c r="J35" s="542">
        <f>SUMIF(107:107,I35,108:108)-SUMIF(107:107,C35,108:108)+100</f>
        <v>100</v>
      </c>
      <c r="K35" s="866">
        <v>5</v>
      </c>
      <c r="L35" s="2144"/>
      <c r="M35" s="2136"/>
      <c r="N35" s="2136"/>
      <c r="O35" s="2143"/>
      <c r="P35" s="3398"/>
      <c r="Q35" s="1573" t="str">
        <f t="shared" si="11"/>
        <v>建筑品质</v>
      </c>
      <c r="R35" s="1574" t="s">
        <v>11</v>
      </c>
      <c r="S35" s="1575">
        <f t="shared" si="12"/>
        <v>100</v>
      </c>
      <c r="T35" s="1574" t="s">
        <v>11</v>
      </c>
      <c r="U35" s="1575">
        <f t="shared" si="13"/>
        <v>95</v>
      </c>
      <c r="V35" s="1574" t="s">
        <v>11</v>
      </c>
      <c r="W35" s="1575">
        <f t="shared" si="14"/>
        <v>100</v>
      </c>
      <c r="X35" s="1568"/>
      <c r="Y35" s="3398"/>
      <c r="Z35" s="1576" t="str">
        <f t="shared" si="15"/>
        <v>建筑品质</v>
      </c>
      <c r="AA35" s="1577">
        <f t="shared" si="3"/>
        <v>1</v>
      </c>
      <c r="AB35" s="1577">
        <f t="shared" si="4"/>
        <v>1.0526315789473684</v>
      </c>
      <c r="AC35" s="1577">
        <f t="shared" si="5"/>
        <v>1</v>
      </c>
    </row>
    <row r="36" spans="1:29" ht="15">
      <c r="A36" s="596"/>
      <c r="B36" s="529" t="s">
        <v>730</v>
      </c>
      <c r="C36" s="601" t="s">
        <v>3043</v>
      </c>
      <c r="D36" s="542">
        <v>100</v>
      </c>
      <c r="E36" s="601" t="s">
        <v>3043</v>
      </c>
      <c r="F36" s="577">
        <f>SUMIF(109:109,E36,110:110)-SUMIF(109:109,C36,110:110)+100</f>
        <v>100</v>
      </c>
      <c r="G36" s="601" t="s">
        <v>3043</v>
      </c>
      <c r="H36" s="542">
        <f>SUMIF(109:109,G36,110:110)-SUMIF(109:109,C36,110:110)+100</f>
        <v>100</v>
      </c>
      <c r="I36" s="601" t="s">
        <v>3043</v>
      </c>
      <c r="J36" s="542">
        <f>SUMIF(109:109,I36,110:110)-SUMIF(109:109,C36,110:110)+100</f>
        <v>100</v>
      </c>
      <c r="K36" s="866">
        <v>2</v>
      </c>
      <c r="L36" s="2144"/>
      <c r="M36" s="2136"/>
      <c r="N36" s="2136"/>
      <c r="O36" s="2143"/>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398"/>
      <c r="Q37" s="1152" t="str">
        <f t="shared" si="11"/>
        <v>成新度</v>
      </c>
      <c r="R37" s="1569" t="s">
        <v>11</v>
      </c>
      <c r="S37" s="1570">
        <f t="shared" si="12"/>
        <v>100</v>
      </c>
      <c r="T37" s="1569" t="s">
        <v>11</v>
      </c>
      <c r="U37" s="1570">
        <f t="shared" si="13"/>
        <v>100</v>
      </c>
      <c r="V37" s="1569" t="s">
        <v>11</v>
      </c>
      <c r="W37" s="1570">
        <f t="shared" si="14"/>
        <v>100</v>
      </c>
      <c r="X37" s="1571"/>
      <c r="Y37" s="3398"/>
      <c r="Z37" s="1151" t="str">
        <f t="shared" si="15"/>
        <v>成新度</v>
      </c>
      <c r="AA37" s="1572">
        <f t="shared" si="3"/>
        <v>1</v>
      </c>
      <c r="AB37" s="1572">
        <f t="shared" si="4"/>
        <v>1</v>
      </c>
      <c r="AC37" s="1572">
        <f t="shared" si="5"/>
        <v>1</v>
      </c>
    </row>
    <row r="38" spans="1:29" ht="15">
      <c r="A38" s="596"/>
      <c r="B38" s="529" t="s">
        <v>732</v>
      </c>
      <c r="C38" s="601" t="s">
        <v>3044</v>
      </c>
      <c r="D38" s="542">
        <v>100</v>
      </c>
      <c r="E38" s="601" t="s">
        <v>3044</v>
      </c>
      <c r="F38" s="577">
        <f>SUMIF(114:114,E38,115:115)-SUMIF(114:114,C38,115:115)+100</f>
        <v>100</v>
      </c>
      <c r="G38" s="601" t="s">
        <v>3086</v>
      </c>
      <c r="H38" s="542">
        <f>SUMIF(114:114,G38,115:115)-SUMIF(114:114,C38,115:115)+100</f>
        <v>95</v>
      </c>
      <c r="I38" s="601" t="s">
        <v>3044</v>
      </c>
      <c r="J38" s="542">
        <f>SUMIF(114:114,I38,115:115)-SUMIF(114:114,C38,115:115)+100</f>
        <v>100</v>
      </c>
      <c r="K38" s="866">
        <v>5</v>
      </c>
      <c r="L38" s="2144"/>
      <c r="M38" s="2136"/>
      <c r="N38" s="2136"/>
      <c r="O38" s="2143"/>
      <c r="P38" s="3398" t="s">
        <v>551</v>
      </c>
      <c r="Q38" s="1573" t="str">
        <f t="shared" si="11"/>
        <v>物业管理</v>
      </c>
      <c r="R38" s="1574" t="s">
        <v>11</v>
      </c>
      <c r="S38" s="1575">
        <f t="shared" si="12"/>
        <v>100</v>
      </c>
      <c r="T38" s="1574" t="s">
        <v>11</v>
      </c>
      <c r="U38" s="1575">
        <f t="shared" si="13"/>
        <v>95</v>
      </c>
      <c r="V38" s="1574" t="s">
        <v>11</v>
      </c>
      <c r="W38" s="1575">
        <f t="shared" si="14"/>
        <v>100</v>
      </c>
      <c r="X38" s="1568"/>
      <c r="Y38" s="3398" t="s">
        <v>551</v>
      </c>
      <c r="Z38" s="1576" t="str">
        <f t="shared" si="15"/>
        <v>物业管理</v>
      </c>
      <c r="AA38" s="1577">
        <f t="shared" si="3"/>
        <v>1</v>
      </c>
      <c r="AB38" s="1577">
        <f t="shared" si="4"/>
        <v>1.0526315789473684</v>
      </c>
      <c r="AC38" s="1577">
        <f t="shared" si="5"/>
        <v>1</v>
      </c>
    </row>
    <row r="39" spans="1:29" ht="15">
      <c r="A39" s="596"/>
      <c r="B39" s="1897" t="s">
        <v>2571</v>
      </c>
      <c r="C39" s="601" t="s">
        <v>3009</v>
      </c>
      <c r="D39" s="542">
        <v>100</v>
      </c>
      <c r="E39" s="601" t="s">
        <v>3009</v>
      </c>
      <c r="F39" s="577">
        <f>SUMIF(116:116,E39,117:117)-SUMIF(116:116,C39,117:117)+100</f>
        <v>100</v>
      </c>
      <c r="G39" s="601" t="s">
        <v>3009</v>
      </c>
      <c r="H39" s="542">
        <f>SUMIF(116:116,G39,117:117)-SUMIF(116:116,C39,117:117)+100</f>
        <v>100</v>
      </c>
      <c r="I39" s="601" t="s">
        <v>3009</v>
      </c>
      <c r="J39" s="542">
        <f>SUMIF(116:116,I39,117:117)-SUMIF(116:116,C39,117:117)+100</f>
        <v>100</v>
      </c>
      <c r="K39" s="866">
        <v>2</v>
      </c>
      <c r="L39" s="2144"/>
      <c r="M39" s="2136"/>
      <c r="N39" s="2136"/>
      <c r="O39" s="2143"/>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6"/>
      <c r="B40" s="529" t="s">
        <v>733</v>
      </c>
      <c r="C40" s="601" t="s">
        <v>3045</v>
      </c>
      <c r="D40" s="542">
        <v>100</v>
      </c>
      <c r="E40" s="601" t="s">
        <v>3045</v>
      </c>
      <c r="F40" s="577">
        <f>SUMIF(118:118,E40,119:119)-SUMIF(118:118,C40,119:119)+100</f>
        <v>100</v>
      </c>
      <c r="G40" s="601" t="s">
        <v>3045</v>
      </c>
      <c r="H40" s="542">
        <f>SUMIF(118:118,G40,119:119)-SUMIF(118:118,C40,119:119)+100</f>
        <v>100</v>
      </c>
      <c r="I40" s="601" t="s">
        <v>3045</v>
      </c>
      <c r="J40" s="542">
        <f>SUMIF(118:118,I40,119:119)-SUMIF(118:118,C40,119:119)+100</f>
        <v>100</v>
      </c>
      <c r="K40" s="866">
        <v>5</v>
      </c>
      <c r="L40" s="2144"/>
      <c r="M40" s="2136"/>
      <c r="N40" s="2136"/>
      <c r="O40" s="2143"/>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40" customFormat="1" ht="28.5">
      <c r="A41" s="605"/>
      <c r="B41" s="529" t="s">
        <v>734</v>
      </c>
      <c r="C41" s="881" t="s">
        <v>3084</v>
      </c>
      <c r="D41" s="254">
        <v>100</v>
      </c>
      <c r="E41" s="881" t="s">
        <v>3078</v>
      </c>
      <c r="F41" s="865">
        <f>SUMIF(120:120,E41,121:121)-SUMIF(120:120,C41,121:121)+100</f>
        <v>95</v>
      </c>
      <c r="G41" s="881" t="s">
        <v>3081</v>
      </c>
      <c r="H41" s="254">
        <f>SUMIF(120:120,G41,121:121)-SUMIF(120:120,C41,121:121)+100</f>
        <v>95</v>
      </c>
      <c r="I41" s="881">
        <v>89</v>
      </c>
      <c r="J41" s="542">
        <f>SUMIF(120:120,I41,121:121)-SUMIF(120:120,C41,121:121)+100</f>
        <v>95</v>
      </c>
      <c r="K41" s="867"/>
      <c r="L41" s="2142"/>
      <c r="M41" s="2173"/>
      <c r="N41" s="2173"/>
      <c r="O41" s="2145"/>
      <c r="P41" s="3398"/>
      <c r="Q41" s="1606" t="str">
        <f t="shared" si="11"/>
        <v>单套/主力户型建筑面积</v>
      </c>
      <c r="R41" s="1578" t="s">
        <v>11</v>
      </c>
      <c r="S41" s="1579">
        <f t="shared" si="12"/>
        <v>95</v>
      </c>
      <c r="T41" s="1578" t="s">
        <v>11</v>
      </c>
      <c r="U41" s="1579">
        <f t="shared" si="13"/>
        <v>95</v>
      </c>
      <c r="V41" s="1578" t="s">
        <v>11</v>
      </c>
      <c r="W41" s="1579">
        <f t="shared" si="14"/>
        <v>95</v>
      </c>
      <c r="X41" s="1580"/>
      <c r="Y41" s="3398"/>
      <c r="Z41" s="1581" t="str">
        <f t="shared" si="15"/>
        <v>单套/主力户型建筑面积</v>
      </c>
      <c r="AA41" s="1577">
        <f t="shared" si="3"/>
        <v>1.0526315789473684</v>
      </c>
      <c r="AB41" s="1577">
        <f t="shared" si="4"/>
        <v>1.0526315789473684</v>
      </c>
      <c r="AC41" s="1577">
        <f t="shared" si="5"/>
        <v>1.0526315789473684</v>
      </c>
    </row>
    <row r="42" spans="1:29" ht="15">
      <c r="A42" s="596"/>
      <c r="B42" s="529" t="s">
        <v>735</v>
      </c>
      <c r="C42" s="601" t="s">
        <v>3082</v>
      </c>
      <c r="D42" s="542">
        <v>100</v>
      </c>
      <c r="E42" s="601" t="s">
        <v>3043</v>
      </c>
      <c r="F42" s="577">
        <f>SUMIF(122:122,E42,123:123)-SUMIF(122:122,C42,123:123)+100</f>
        <v>109</v>
      </c>
      <c r="G42" s="601" t="s">
        <v>3082</v>
      </c>
      <c r="H42" s="542">
        <f>SUMIF(122:122,G42,123:123)-SUMIF(122:122,C42,123:123)+100</f>
        <v>100</v>
      </c>
      <c r="I42" s="601" t="s">
        <v>3043</v>
      </c>
      <c r="J42" s="542">
        <f>SUMIF(122:122,I42,123:123)-SUMIF(122:122,C42,123:123)+100</f>
        <v>109</v>
      </c>
      <c r="K42" s="866">
        <v>3</v>
      </c>
      <c r="L42" s="2144"/>
      <c r="M42" s="2136"/>
      <c r="N42" s="2136"/>
      <c r="O42" s="2143"/>
      <c r="P42" s="3398"/>
      <c r="Q42" s="1573" t="str">
        <f t="shared" si="11"/>
        <v>内部装修</v>
      </c>
      <c r="R42" s="1574" t="s">
        <v>11</v>
      </c>
      <c r="S42" s="1575">
        <f t="shared" si="12"/>
        <v>109</v>
      </c>
      <c r="T42" s="1574" t="s">
        <v>11</v>
      </c>
      <c r="U42" s="1575">
        <f t="shared" si="13"/>
        <v>100</v>
      </c>
      <c r="V42" s="1574" t="s">
        <v>11</v>
      </c>
      <c r="W42" s="1575">
        <f t="shared" si="14"/>
        <v>109</v>
      </c>
      <c r="X42" s="1568"/>
      <c r="Y42" s="3398"/>
      <c r="Z42" s="1576" t="str">
        <f t="shared" si="15"/>
        <v>内部装修</v>
      </c>
      <c r="AA42" s="1577">
        <f t="shared" si="3"/>
        <v>0.91743119266055051</v>
      </c>
      <c r="AB42" s="1577">
        <f t="shared" si="4"/>
        <v>1</v>
      </c>
      <c r="AC42" s="1577">
        <f t="shared" si="5"/>
        <v>0.91743119266055051</v>
      </c>
    </row>
    <row r="43" spans="1:29" ht="27.75" thickBot="1">
      <c r="A43" s="596"/>
      <c r="B43" s="529" t="s">
        <v>736</v>
      </c>
      <c r="C43" s="601" t="s">
        <v>3008</v>
      </c>
      <c r="D43" s="542">
        <v>100</v>
      </c>
      <c r="E43" s="601" t="s">
        <v>3008</v>
      </c>
      <c r="F43" s="577">
        <f>SUMIF(124:124,E43,125:125)-SUMIF(124:124,C43,125:125)+100</f>
        <v>100</v>
      </c>
      <c r="G43" s="601" t="s">
        <v>3008</v>
      </c>
      <c r="H43" s="542">
        <f>SUMIF(124:124,G43,125:125)-SUMIF(124:124,C43,125:125)+100</f>
        <v>100</v>
      </c>
      <c r="I43" s="601" t="s">
        <v>3008</v>
      </c>
      <c r="J43" s="542">
        <f>SUMIF(124:124,I43,125:125)-SUMIF(124:124,C43,125:125)+100</f>
        <v>100</v>
      </c>
      <c r="K43" s="866">
        <v>0</v>
      </c>
      <c r="L43" s="2144"/>
      <c r="M43" s="2136"/>
      <c r="N43" s="2136"/>
      <c r="O43" s="2143"/>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398"/>
      <c r="Q44" s="1152">
        <f t="shared" si="11"/>
        <v>0</v>
      </c>
      <c r="R44" s="1569" t="s">
        <v>11</v>
      </c>
      <c r="S44" s="1570">
        <f t="shared" si="12"/>
        <v>100</v>
      </c>
      <c r="T44" s="1569" t="s">
        <v>11</v>
      </c>
      <c r="U44" s="1570">
        <f t="shared" si="13"/>
        <v>100</v>
      </c>
      <c r="V44" s="1569" t="s">
        <v>11</v>
      </c>
      <c r="W44" s="1570">
        <f t="shared" si="14"/>
        <v>100</v>
      </c>
      <c r="X44" s="1571"/>
      <c r="Y44" s="3398"/>
      <c r="Z44" s="1151">
        <f t="shared" si="15"/>
        <v>0</v>
      </c>
      <c r="AA44" s="1572">
        <f t="shared" si="3"/>
        <v>1</v>
      </c>
      <c r="AB44" s="1572">
        <f t="shared" si="4"/>
        <v>1</v>
      </c>
      <c r="AC44" s="1572">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398"/>
      <c r="Q45" s="1573">
        <f t="shared" si="11"/>
        <v>0</v>
      </c>
      <c r="R45" s="1574" t="s">
        <v>11</v>
      </c>
      <c r="S45" s="1575">
        <f t="shared" si="12"/>
        <v>100</v>
      </c>
      <c r="T45" s="1574" t="s">
        <v>11</v>
      </c>
      <c r="U45" s="1575">
        <f t="shared" si="13"/>
        <v>100</v>
      </c>
      <c r="V45" s="1574" t="s">
        <v>11</v>
      </c>
      <c r="W45" s="1575">
        <f t="shared" si="14"/>
        <v>100</v>
      </c>
      <c r="X45" s="1568"/>
      <c r="Y45" s="3398"/>
      <c r="Z45" s="1576">
        <f t="shared" si="15"/>
        <v>0</v>
      </c>
      <c r="AA45" s="1577">
        <f t="shared" si="3"/>
        <v>1</v>
      </c>
      <c r="AB45" s="1577">
        <f t="shared" si="4"/>
        <v>1</v>
      </c>
      <c r="AC45" s="1577">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453"/>
      <c r="Q46" s="1573">
        <f t="shared" si="11"/>
        <v>0</v>
      </c>
      <c r="R46" s="1574" t="s">
        <v>10</v>
      </c>
      <c r="S46" s="1575">
        <f t="shared" si="12"/>
        <v>100</v>
      </c>
      <c r="T46" s="1574" t="s">
        <v>10</v>
      </c>
      <c r="U46" s="1575">
        <f t="shared" si="13"/>
        <v>100</v>
      </c>
      <c r="V46" s="1574" t="s">
        <v>10</v>
      </c>
      <c r="W46" s="1575">
        <f t="shared" si="14"/>
        <v>100</v>
      </c>
      <c r="X46" s="1568"/>
      <c r="Y46" s="3453"/>
      <c r="Z46" s="1576">
        <f t="shared" si="15"/>
        <v>0</v>
      </c>
      <c r="AA46" s="1577">
        <f t="shared" si="3"/>
        <v>1</v>
      </c>
      <c r="AB46" s="1577">
        <f t="shared" si="4"/>
        <v>1</v>
      </c>
      <c r="AC46" s="1577">
        <f t="shared" si="5"/>
        <v>1</v>
      </c>
    </row>
    <row r="47" spans="1:29" ht="15">
      <c r="A47" s="609" t="s">
        <v>737</v>
      </c>
      <c r="B47" s="888"/>
      <c r="C47" s="2653" t="s">
        <v>9</v>
      </c>
      <c r="D47" s="2654"/>
      <c r="E47" s="2655">
        <v>17000</v>
      </c>
      <c r="F47" s="2656"/>
      <c r="G47" s="2657">
        <v>13800</v>
      </c>
      <c r="H47" s="2658"/>
      <c r="I47" s="2655">
        <v>17000</v>
      </c>
      <c r="J47" s="2658"/>
      <c r="K47" s="1607"/>
      <c r="L47" s="2146"/>
      <c r="M47" s="2147"/>
      <c r="N47" s="2136"/>
      <c r="O47" s="2147"/>
      <c r="P47" s="3359" t="str">
        <f>A47</f>
        <v>成交单价（元/平方米）</v>
      </c>
      <c r="Q47" s="3359"/>
      <c r="R47" s="3452">
        <f>E47</f>
        <v>17000</v>
      </c>
      <c r="S47" s="3452"/>
      <c r="T47" s="3452">
        <f>G47</f>
        <v>13800</v>
      </c>
      <c r="U47" s="3452"/>
      <c r="V47" s="3452">
        <f>I47</f>
        <v>17000</v>
      </c>
      <c r="W47" s="3452"/>
      <c r="X47" s="1560"/>
      <c r="Y47" s="1582"/>
      <c r="Z47" s="1560"/>
      <c r="AA47" s="1560"/>
      <c r="AB47" s="1560"/>
      <c r="AC47" s="1560"/>
    </row>
    <row r="48" spans="1:29" ht="15.75" thickBot="1">
      <c r="A48" s="617" t="s">
        <v>2768</v>
      </c>
      <c r="B48" s="889"/>
      <c r="C48" s="2659">
        <f>R49</f>
        <v>17277</v>
      </c>
      <c r="D48" s="2660"/>
      <c r="E48" s="2661">
        <f>R48</f>
        <v>17448</v>
      </c>
      <c r="F48" s="2661"/>
      <c r="G48" s="2659">
        <f>T48</f>
        <v>17107</v>
      </c>
      <c r="H48" s="2660"/>
      <c r="I48" s="2661">
        <f>V48</f>
        <v>17276</v>
      </c>
      <c r="J48" s="2660"/>
      <c r="K48" s="1608"/>
      <c r="L48" s="2146"/>
      <c r="M48" s="2147"/>
      <c r="N48" s="2147"/>
      <c r="O48" s="2147"/>
      <c r="P48" s="3359" t="str">
        <f>A48</f>
        <v>比较价格（元/平方米）</v>
      </c>
      <c r="Q48" s="3359"/>
      <c r="R48" s="3452">
        <f>IF(F1="售价",ROUND(PRODUCT(R47,AA7:AA46),0),ROUND(PRODUCT(R47,AA7:AA46),1))</f>
        <v>17448</v>
      </c>
      <c r="S48" s="3452"/>
      <c r="T48" s="3452">
        <f>IF(F1="售价",ROUND(PRODUCT(T47,AB7:AB46),0),ROUND(PRODUCT(T47,AB7:AB46),1))</f>
        <v>17107</v>
      </c>
      <c r="U48" s="3452"/>
      <c r="V48" s="3452">
        <f>IF(F1="售价",ROUND(PRODUCT(V47,AC7:AC46),0),ROUND(PRODUCT(V47,AC7:AC46),1))</f>
        <v>17276</v>
      </c>
      <c r="W48" s="3452"/>
      <c r="X48" s="1560"/>
      <c r="Y48" s="1560"/>
      <c r="Z48" s="1560"/>
      <c r="AA48" s="1560"/>
      <c r="AB48" s="1560"/>
      <c r="AC48" s="1560"/>
    </row>
    <row r="49" spans="1:29" ht="15.75" thickBot="1">
      <c r="A49" s="623" t="s">
        <v>2936</v>
      </c>
      <c r="B49" s="624"/>
      <c r="C49" s="2662">
        <f>R49</f>
        <v>17277</v>
      </c>
      <c r="D49" s="2662"/>
      <c r="E49" s="2662"/>
      <c r="F49" s="2662"/>
      <c r="G49" s="2662"/>
      <c r="H49" s="2662"/>
      <c r="I49" s="2662"/>
      <c r="J49" s="2662"/>
      <c r="K49" s="1609"/>
      <c r="L49" s="2146"/>
      <c r="M49" s="2147"/>
      <c r="N49" s="2147"/>
      <c r="O49" s="2147"/>
      <c r="P49" s="3356" t="str">
        <f>A49</f>
        <v>估价对象XX用房的比较价格（楼面单价，元/平方米）</v>
      </c>
      <c r="Q49" s="3357"/>
      <c r="R49" s="3451">
        <f>IF(F1="售价",ROUND(AVERAGE(R48:V48),0),ROUND(AVERAGE(R48:V48),1))</f>
        <v>17277</v>
      </c>
      <c r="S49" s="3451"/>
      <c r="T49" s="3451"/>
      <c r="U49" s="3451"/>
      <c r="V49" s="3451"/>
      <c r="W49" s="345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2.635294117647069E-2</v>
      </c>
      <c r="F52" s="629" t="str">
        <f>IF(OR(E52&gt;=0.3,E52&lt;=-0.3),"超过30%","")</f>
        <v/>
      </c>
      <c r="G52" s="628">
        <f>IF(G47&lt;G48,G48/G47-1,G47/G48-1)</f>
        <v>0.2396376811594203</v>
      </c>
      <c r="H52" s="629" t="str">
        <f>IF(OR(G52&gt;=0.3,G52&lt;=-0.3),"超过30%","")</f>
        <v/>
      </c>
      <c r="I52" s="628">
        <f>IF(I47&lt;I48,I48/I47-1,I47/I48-1)</f>
        <v>1.6235294117647125E-2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1.9933360612614637E-2</v>
      </c>
      <c r="F53" s="629" t="str">
        <f>IF(OR(E53&gt;=0.2,E53&lt;=-0.2),"超过20%","")</f>
        <v/>
      </c>
      <c r="G53" s="628">
        <f>IF(G48&lt;I48,I48/G48-1,G48/I48-1)</f>
        <v>9.878996901853121E-3</v>
      </c>
      <c r="H53" s="629" t="str">
        <f>IF(OR(G53&gt;=0.2,G53&lt;=-0.2),"超过20%","")</f>
        <v/>
      </c>
      <c r="I53" s="628">
        <f>IF(I48&lt;E48,E48/I48-1,I48/E48-1)</f>
        <v>9.9560083352627782E-3</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0.23188405797101441</v>
      </c>
      <c r="F54" s="629" t="str">
        <f>IF(OR(E54&gt;=0.3,E54&lt;=-0.3),"超过30%","")</f>
        <v/>
      </c>
      <c r="G54" s="628">
        <f>IF(G47&lt;I47,I47/G47-1,G47/I47-1)</f>
        <v>0.23188405797101441</v>
      </c>
      <c r="H54" s="629" t="str">
        <f>IF(OR(G54&gt;=0.3,G54&lt;=-0.3),"超过30%","")</f>
        <v/>
      </c>
      <c r="I54" s="628">
        <f>IF(I47&lt;E47,E47/I47-1,I47/E47-1)</f>
        <v>0</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65" t="s">
        <v>2980</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97</v>
      </c>
      <c r="E85" s="681">
        <f>D85-$K23</f>
        <v>94</v>
      </c>
      <c r="F85" s="681">
        <f>E85-$K23</f>
        <v>91</v>
      </c>
      <c r="G85" s="681">
        <f>F85-$K23</f>
        <v>88</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2261</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3015</v>
      </c>
      <c r="D90" s="690" t="s">
        <v>3016</v>
      </c>
      <c r="E90" s="690" t="s">
        <v>3017</v>
      </c>
      <c r="F90" s="690" t="s">
        <v>3018</v>
      </c>
      <c r="G90" s="690" t="s">
        <v>2985</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hidden="1"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hidden="1"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hidden="1"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hidden="1"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hidden="1"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hidden="1"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hidden="1"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hidden="1"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ht="15" thickTop="1">
      <c r="A100" s="666" t="s">
        <v>552</v>
      </c>
      <c r="B100" s="667" t="s">
        <v>748</v>
      </c>
      <c r="C100" s="3165" t="s">
        <v>3039</v>
      </c>
      <c r="D100" s="3165" t="s">
        <v>3040</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3019</v>
      </c>
      <c r="D105" s="690" t="s">
        <v>3020</v>
      </c>
      <c r="E105" s="720" t="s">
        <v>3021</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3022</v>
      </c>
      <c r="D107" s="720" t="s">
        <v>3023</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3024</v>
      </c>
      <c r="D109" s="690" t="s">
        <v>3025</v>
      </c>
      <c r="E109" s="690" t="s">
        <v>3026</v>
      </c>
      <c r="F109" s="720" t="s">
        <v>3027</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3028</v>
      </c>
      <c r="D114" s="690" t="s">
        <v>3029</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2563</v>
      </c>
      <c r="C116" s="690" t="s">
        <v>3030</v>
      </c>
      <c r="D116" s="690" t="s">
        <v>3031</v>
      </c>
      <c r="E116" s="690" t="s">
        <v>3032</v>
      </c>
      <c r="F116" s="690" t="s">
        <v>3033</v>
      </c>
      <c r="G116" s="690" t="s">
        <v>3034</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720" t="s">
        <v>3035</v>
      </c>
      <c r="D118" s="720" t="s">
        <v>3036</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tr">
        <f>C41</f>
        <v>40-60</v>
      </c>
      <c r="D120" s="690" t="str">
        <f>E41</f>
        <v>95-115</v>
      </c>
      <c r="E120" s="690" t="str">
        <f>G41</f>
        <v>92-101</v>
      </c>
      <c r="F120" s="690">
        <f>I41</f>
        <v>89</v>
      </c>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95</v>
      </c>
      <c r="E121" s="673">
        <v>95</v>
      </c>
      <c r="F121" s="673">
        <v>95</v>
      </c>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3024</v>
      </c>
      <c r="D122" s="690" t="s">
        <v>3025</v>
      </c>
      <c r="E122" s="690" t="s">
        <v>3026</v>
      </c>
      <c r="F122" s="720" t="s">
        <v>3027</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A22:G2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3089</v>
      </c>
      <c r="D1" s="3158" t="s">
        <v>3070</v>
      </c>
      <c r="E1" s="2413" t="s">
        <v>2379</v>
      </c>
      <c r="F1" s="2414">
        <f ca="1">J53</f>
        <v>37.36</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2770</v>
      </c>
      <c r="C2" s="2059"/>
      <c r="D2" s="2057"/>
      <c r="E2" s="2058"/>
      <c r="F2" s="2058"/>
      <c r="G2" s="1591"/>
      <c r="H2" s="2059"/>
      <c r="I2" s="2059"/>
      <c r="J2" s="2059"/>
      <c r="K2" s="2060"/>
      <c r="L2" s="2059"/>
      <c r="M2" s="2059"/>
    </row>
    <row r="3" spans="1:33" ht="18" customHeight="1" thickBot="1">
      <c r="A3" s="835" t="s">
        <v>1729</v>
      </c>
      <c r="B3" s="836">
        <f ca="1">IF(ISERROR(B2*10000/F43),0,ROUND(B2*10000/F43,0))</f>
        <v>18366</v>
      </c>
      <c r="C3" s="2059"/>
      <c r="D3" s="2057"/>
      <c r="E3" s="2058"/>
      <c r="F3" s="2058"/>
      <c r="G3" s="1591"/>
      <c r="H3" s="778" t="s">
        <v>696</v>
      </c>
      <c r="I3" s="1364"/>
      <c r="J3" s="1364"/>
      <c r="K3" s="1592"/>
      <c r="L3" s="1364"/>
      <c r="M3" s="1364"/>
    </row>
    <row r="4" spans="1:33" ht="18" customHeight="1">
      <c r="A4" s="779" t="s">
        <v>1730</v>
      </c>
      <c r="B4" s="780" t="s">
        <v>1731</v>
      </c>
      <c r="C4" s="780" t="s">
        <v>1732</v>
      </c>
      <c r="D4" s="780" t="s">
        <v>634</v>
      </c>
      <c r="E4" s="781" t="s">
        <v>1733</v>
      </c>
      <c r="F4" s="782"/>
      <c r="G4" s="1593"/>
      <c r="H4" s="779" t="s">
        <v>1734</v>
      </c>
      <c r="I4" s="780" t="s">
        <v>1735</v>
      </c>
      <c r="J4" s="780" t="s">
        <v>1736</v>
      </c>
      <c r="K4" s="780" t="s">
        <v>1737</v>
      </c>
      <c r="L4" s="781" t="s">
        <v>1738</v>
      </c>
      <c r="M4" s="782"/>
    </row>
    <row r="5" spans="1:33" ht="18" customHeight="1">
      <c r="A5" s="783">
        <v>1</v>
      </c>
      <c r="B5" s="784" t="s">
        <v>2464</v>
      </c>
      <c r="C5" s="55">
        <f ca="1">C6+C10+C12</f>
        <v>149</v>
      </c>
      <c r="D5" s="2522" t="s">
        <v>2467</v>
      </c>
      <c r="E5" s="2516"/>
      <c r="F5" s="2517"/>
      <c r="G5" s="1593"/>
      <c r="H5" s="783">
        <v>1</v>
      </c>
      <c r="I5" s="784" t="s">
        <v>2464</v>
      </c>
      <c r="J5" s="55">
        <f ca="1">J6+J10+J12</f>
        <v>0</v>
      </c>
      <c r="K5" s="2522" t="s">
        <v>2467</v>
      </c>
      <c r="L5" s="2516"/>
      <c r="M5" s="2517"/>
    </row>
    <row r="6" spans="1:33" ht="18" customHeight="1">
      <c r="A6" s="1832" t="s">
        <v>1826</v>
      </c>
      <c r="B6" s="3435" t="s">
        <v>2469</v>
      </c>
      <c r="C6" s="785">
        <f ca="1">ROUND(F6*F8*F7*(1-F9)/10000,0)</f>
        <v>149</v>
      </c>
      <c r="D6" s="2523" t="s">
        <v>2468</v>
      </c>
      <c r="E6" s="786" t="s">
        <v>1740</v>
      </c>
      <c r="F6" s="787">
        <f ca="1">INDIRECT("'数据-取费表'!u"&amp;$G$1)</f>
        <v>3</v>
      </c>
      <c r="G6" s="1593"/>
      <c r="H6" s="2530" t="s">
        <v>2475</v>
      </c>
      <c r="I6" s="3435" t="s">
        <v>2469</v>
      </c>
      <c r="J6" s="785">
        <f ca="1">ROUND(M6*M8*M7*(1-M9)/10000,0)</f>
        <v>0</v>
      </c>
      <c r="K6" s="343" t="s">
        <v>1739</v>
      </c>
      <c r="L6" s="786" t="s">
        <v>1740</v>
      </c>
      <c r="M6" s="787">
        <f ca="1">INDIRECT("'数据-取费表'!z"&amp;$G$1)</f>
        <v>0</v>
      </c>
    </row>
    <row r="7" spans="1:33" ht="18" customHeight="1">
      <c r="A7" s="2526"/>
      <c r="B7" s="3436"/>
      <c r="C7" s="790"/>
      <c r="D7" s="791"/>
      <c r="E7" s="786" t="s">
        <v>1741</v>
      </c>
      <c r="F7" s="787">
        <f ca="1">IF(INDIRECT("'数据-取费表'!ah"&amp;$G$1)="",INDIRECT("'数据-取费表'!k"&amp;$G$1),INDIRECT("'数据-取费表'!ah"&amp;$G$1))</f>
        <v>1508.1899999999996</v>
      </c>
      <c r="G7" s="1593"/>
      <c r="H7" s="2515"/>
      <c r="I7" s="3436"/>
      <c r="J7" s="790"/>
      <c r="K7" s="791"/>
      <c r="L7" s="786" t="s">
        <v>1741</v>
      </c>
      <c r="M7" s="787">
        <f ca="1">F7</f>
        <v>1508.1899999999996</v>
      </c>
    </row>
    <row r="8" spans="1:33" ht="18" customHeight="1">
      <c r="A8" s="2519"/>
      <c r="B8" s="3437"/>
      <c r="C8" s="790"/>
      <c r="D8" s="791"/>
      <c r="E8" s="786" t="s">
        <v>1742</v>
      </c>
      <c r="F8" s="787">
        <f ca="1">INDIRECT("'数据-取费表'!ai"&amp;$G$1)</f>
        <v>365</v>
      </c>
      <c r="G8" s="1593"/>
      <c r="H8" s="2515"/>
      <c r="I8" s="3437"/>
      <c r="J8" s="790"/>
      <c r="K8" s="791"/>
      <c r="L8" s="786" t="s">
        <v>1742</v>
      </c>
      <c r="M8" s="787">
        <f ca="1">INDIRECT("'数据-取费表'!ai"&amp;$G$1)</f>
        <v>365</v>
      </c>
    </row>
    <row r="9" spans="1:33" ht="18" customHeight="1">
      <c r="A9" s="788"/>
      <c r="B9" s="3438"/>
      <c r="C9" s="790"/>
      <c r="D9" s="791"/>
      <c r="E9" s="786" t="s">
        <v>1743</v>
      </c>
      <c r="F9" s="796">
        <f ca="1">INDIRECT("'数据-取费表'!w"&amp;$G$1)</f>
        <v>0.1</v>
      </c>
      <c r="G9" s="1593"/>
      <c r="H9" s="2531"/>
      <c r="I9" s="3437"/>
      <c r="J9" s="790"/>
      <c r="K9" s="791"/>
      <c r="L9" s="797" t="s">
        <v>1743</v>
      </c>
      <c r="M9" s="798">
        <f ca="1">INDIRECT("'数据-取费表'!ab"&amp;$G$1)</f>
        <v>0</v>
      </c>
    </row>
    <row r="10" spans="1:33" ht="18" customHeight="1">
      <c r="A10" s="1832" t="s">
        <v>2473</v>
      </c>
      <c r="B10" s="2520" t="s">
        <v>2465</v>
      </c>
      <c r="C10" s="801">
        <f ca="1">ROUND(IF(F10="押一",F6*F8*F7/12*F11,IF(F10="押二",F6*F8*F7/12*2*F11,IF(F10="押三",F6*F8*F7/12*3*F11,C11*F11)))/10000,0)</f>
        <v>0</v>
      </c>
      <c r="D10" s="2527" t="s">
        <v>2472</v>
      </c>
      <c r="E10" s="2524" t="s">
        <v>2470</v>
      </c>
      <c r="F10" s="2647" t="s">
        <v>3076</v>
      </c>
      <c r="G10" s="1593"/>
      <c r="H10" s="2587" t="s">
        <v>2476</v>
      </c>
      <c r="I10" s="2592" t="s">
        <v>2465</v>
      </c>
      <c r="J10" s="785">
        <f ca="1">ROUND(IF(M10="押一",M6*M8*M7/12*M11,IF(M10="押二",M6*M8*M7/12*2*M11,IF(M10="押三",M6*M8*M7/12*3*M11,J11*M11)))/10000,0)</f>
        <v>0</v>
      </c>
      <c r="K10" s="2527" t="s">
        <v>2472</v>
      </c>
      <c r="L10" s="2524" t="s">
        <v>2470</v>
      </c>
      <c r="M10" s="2647"/>
    </row>
    <row r="11" spans="1:33" ht="18" customHeight="1">
      <c r="A11" s="792"/>
      <c r="B11" s="2521" t="s">
        <v>2580</v>
      </c>
      <c r="C11" s="2525"/>
      <c r="D11" s="791"/>
      <c r="E11" s="2524" t="s">
        <v>2471</v>
      </c>
      <c r="F11" s="798">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4">
        <f ca="1">ROUND(C29*F13,0)</f>
        <v>876</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6" t="s">
        <v>646</v>
      </c>
      <c r="C14" s="806">
        <f ca="1">INDIRECT("'数据-取费表'!m"&amp;$G$1)+INDIRECT("'数据-取费表'!t"&amp;$G$1)</f>
        <v>617</v>
      </c>
      <c r="D14" s="1981" t="s">
        <v>1747</v>
      </c>
      <c r="E14" s="1982"/>
      <c r="F14" s="807"/>
      <c r="G14" s="1593"/>
      <c r="H14" s="1650" t="s">
        <v>1832</v>
      </c>
      <c r="I14" s="2233" t="s">
        <v>2834</v>
      </c>
      <c r="J14" s="53">
        <f ca="1">C29</f>
        <v>876</v>
      </c>
      <c r="K14" s="26"/>
      <c r="L14" s="803"/>
      <c r="M14" s="804"/>
    </row>
    <row r="15" spans="1:33" s="2066" customFormat="1" ht="18" customHeight="1" thickBot="1">
      <c r="A15" s="1649" t="s">
        <v>1887</v>
      </c>
      <c r="B15" s="786" t="s">
        <v>648</v>
      </c>
      <c r="C15" s="53">
        <f ca="1">ROUND(C14*F15,0)</f>
        <v>19</v>
      </c>
      <c r="D15" s="808" t="s">
        <v>1748</v>
      </c>
      <c r="E15" s="808" t="s">
        <v>1749</v>
      </c>
      <c r="F15" s="809">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6" t="s">
        <v>651</v>
      </c>
      <c r="C16" s="53">
        <f ca="1">ROUND(INDIRECT("'数据-取费表'!m"&amp;$G$1)*F16,0)</f>
        <v>0</v>
      </c>
      <c r="D16" s="786" t="s">
        <v>1748</v>
      </c>
      <c r="E16" s="786" t="s">
        <v>1749</v>
      </c>
      <c r="F16" s="811">
        <f ca="1">IF(INDIRECT("'数据-取费表'!c"&amp;$G$1)="住宅",'数据-取费表'!B34,0)</f>
        <v>0</v>
      </c>
      <c r="G16" s="1593"/>
      <c r="H16" s="1831" t="s">
        <v>1750</v>
      </c>
      <c r="I16" s="1829" t="s">
        <v>1751</v>
      </c>
      <c r="J16" s="794">
        <f ca="1">ROUND(J17+J22+J23+J24,0)</f>
        <v>20</v>
      </c>
      <c r="K16" s="1823" t="s">
        <v>1752</v>
      </c>
      <c r="L16" s="2512"/>
      <c r="M16" s="2517"/>
    </row>
    <row r="17" spans="1:33" s="2066" customFormat="1" ht="18" customHeight="1">
      <c r="A17" s="1649" t="s">
        <v>1889</v>
      </c>
      <c r="B17" s="786" t="s">
        <v>654</v>
      </c>
      <c r="C17" s="53">
        <f ca="1">ROUND(F17*(F43+INDIRECT("'数据-取费表'!S"&amp;$G$1))/10000,0)</f>
        <v>65</v>
      </c>
      <c r="D17" s="786" t="s">
        <v>1753</v>
      </c>
      <c r="E17" s="786" t="s">
        <v>1754</v>
      </c>
      <c r="F17" s="56">
        <f>'数据-取费表'!B35</f>
        <v>200</v>
      </c>
      <c r="G17" s="1594"/>
      <c r="H17" s="1650" t="s">
        <v>1832</v>
      </c>
      <c r="I17" s="786" t="s">
        <v>657</v>
      </c>
      <c r="J17" s="53">
        <f ca="1">ROUND(IF(项目基本情况!B11="自然人",J5*M17,J18+J19+J20),0)</f>
        <v>7</v>
      </c>
      <c r="K17" s="2511" t="s">
        <v>1755</v>
      </c>
      <c r="L17" s="2510" t="s">
        <v>1756</v>
      </c>
      <c r="M17" s="812">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6" t="s">
        <v>660</v>
      </c>
      <c r="C18" s="53">
        <f ca="1">ROUND(C14*F18,0)</f>
        <v>9</v>
      </c>
      <c r="D18" s="786" t="s">
        <v>1748</v>
      </c>
      <c r="E18" s="786" t="s">
        <v>1749</v>
      </c>
      <c r="F18" s="811">
        <f>'数据-取费表'!B36</f>
        <v>1.4999999999999999E-2</v>
      </c>
      <c r="G18" s="1594"/>
      <c r="H18" s="1649" t="s">
        <v>1886</v>
      </c>
      <c r="I18" s="786" t="s">
        <v>1757</v>
      </c>
      <c r="J18" s="53">
        <f ca="1">ROUND(J5*M18/1.05,1)</f>
        <v>0</v>
      </c>
      <c r="K18" s="2510" t="s">
        <v>1758</v>
      </c>
      <c r="L18" s="786" t="s">
        <v>1749</v>
      </c>
      <c r="M18" s="811">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6" t="s">
        <v>663</v>
      </c>
      <c r="C19" s="53">
        <f ca="1">SUM(C14:C18)</f>
        <v>710</v>
      </c>
      <c r="D19" s="260" t="s">
        <v>1759</v>
      </c>
      <c r="E19" s="1984"/>
      <c r="F19" s="56"/>
      <c r="G19" s="1593"/>
      <c r="H19" s="1649" t="s">
        <v>1887</v>
      </c>
      <c r="I19" s="786" t="s">
        <v>1760</v>
      </c>
      <c r="J19" s="53">
        <f ca="1">IF(K19="按租金收入计税",ROUND(J5*M19,1),ROUND(C29*F33*0.7,1))</f>
        <v>7.4</v>
      </c>
      <c r="K19" s="813" t="s">
        <v>666</v>
      </c>
      <c r="L19" s="786" t="s">
        <v>1749</v>
      </c>
      <c r="M19" s="811">
        <f>IF(K19="按租金收入计税",'数据-取费表'!B51,'数据-取费表'!B50)</f>
        <v>1.2E-2</v>
      </c>
    </row>
    <row r="20" spans="1:33" s="2066" customFormat="1" ht="18" customHeight="1">
      <c r="A20" s="1650" t="s">
        <v>1891</v>
      </c>
      <c r="B20" s="786" t="s">
        <v>667</v>
      </c>
      <c r="C20" s="53">
        <f ca="1">ROUND(C19*F20,0)</f>
        <v>7</v>
      </c>
      <c r="D20" s="814" t="s">
        <v>1761</v>
      </c>
      <c r="E20" s="786" t="s">
        <v>1749</v>
      </c>
      <c r="F20" s="811">
        <f>'数据-取费表'!B37</f>
        <v>0.01</v>
      </c>
      <c r="G20" s="1594"/>
      <c r="H20" s="1652" t="s">
        <v>1882</v>
      </c>
      <c r="I20" s="343" t="s">
        <v>1762</v>
      </c>
      <c r="J20" s="54">
        <f ca="1">ROUND(M20*M21/10000,0)</f>
        <v>0</v>
      </c>
      <c r="K20" s="816" t="s">
        <v>1763</v>
      </c>
      <c r="L20" s="786" t="s">
        <v>1764</v>
      </c>
      <c r="M20" s="642">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6" t="s">
        <v>1765</v>
      </c>
      <c r="C21" s="53" t="s">
        <v>1766</v>
      </c>
      <c r="D21" s="814" t="s">
        <v>2302</v>
      </c>
      <c r="E21" s="786" t="s">
        <v>1767</v>
      </c>
      <c r="F21" s="811">
        <f>'数据-取费表'!B38</f>
        <v>1.4999999999999999E-2</v>
      </c>
      <c r="G21" s="1594"/>
      <c r="H21" s="2532"/>
      <c r="I21" s="795"/>
      <c r="J21" s="69"/>
      <c r="K21" s="818"/>
      <c r="L21" s="786" t="s">
        <v>1768</v>
      </c>
      <c r="M21" s="787">
        <f ca="1">INDIRECT("'数据-取费表'!r"&amp;$G$1)</f>
        <v>1203.3499999999999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6" t="s">
        <v>1769</v>
      </c>
      <c r="C22" s="53"/>
      <c r="D22" s="2598" t="str">
        <f>IF(F23&lt;=1,"单利计息。","复利计息。")&amp;"建造成本、管理费用、销售费用产生的利息。"</f>
        <v>复利计息。建造成本、管理费用、销售费用产生的利息。</v>
      </c>
      <c r="E22" s="1984"/>
      <c r="F22" s="56"/>
      <c r="G22" s="1593"/>
      <c r="H22" s="1650" t="s">
        <v>1891</v>
      </c>
      <c r="I22" s="786" t="s">
        <v>1770</v>
      </c>
      <c r="J22" s="53">
        <f ca="1">ROUND(J14*M22,0)</f>
        <v>13</v>
      </c>
      <c r="K22" s="2510" t="s">
        <v>1771</v>
      </c>
      <c r="L22" s="786" t="s">
        <v>1749</v>
      </c>
      <c r="M22" s="819">
        <f ca="1">INDIRECT("'数据-取费表'!Ak"&amp;$G$1)</f>
        <v>1.4999999999999999E-2</v>
      </c>
    </row>
    <row r="23" spans="1:33" s="2066" customFormat="1" ht="18" customHeight="1">
      <c r="A23" s="1649" t="s">
        <v>1833</v>
      </c>
      <c r="B23" s="786" t="s">
        <v>2542</v>
      </c>
      <c r="C23" s="53">
        <f ca="1">ROUND(IF('数据-取费表'!B22&lt;=1,(C19+C20)*F24*F23/2,(C19+C20)*(POWER((1+F24),F23/2)-1)),0)</f>
        <v>25</v>
      </c>
      <c r="D23" s="2597" t="str">
        <f>IF(F23&lt;=1,"(建造成本+管理费用)×利率×(建设周期÷2)","(建造成本+管理费用)×((1+利率)^(建设周期÷2)-1)")</f>
        <v>(建造成本+管理费用)×((1+利率)^(建设周期÷2)-1)</v>
      </c>
      <c r="E23" s="786" t="s">
        <v>1772</v>
      </c>
      <c r="F23" s="642">
        <f>'数据-取费表'!B20</f>
        <v>1.5</v>
      </c>
      <c r="G23" s="1594"/>
      <c r="H23" s="1650"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6" t="s">
        <v>1774</v>
      </c>
      <c r="C24" s="53">
        <f ca="1">ROUND(IF('数据-取费表'!B22&lt;=1,F21*F24*F23/2,F21*(POWER((1+F24),F23/2)-1)),4)</f>
        <v>5.0000000000000001E-4</v>
      </c>
      <c r="D24" s="2597" t="str">
        <f>IF(F23&lt;=1,"销售费用×利率×(建设周期÷2)","销售费用×((1+利率)^(建设周期÷2)-1)")</f>
        <v>销售费用×((1+利率)^(建设周期÷2)-1)</v>
      </c>
      <c r="E24" s="786" t="s">
        <v>1775</v>
      </c>
      <c r="F24" s="821">
        <f ca="1">'数据-取费表'!B40</f>
        <v>4.7500000000000001E-2</v>
      </c>
      <c r="G24" s="1594"/>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6" t="s">
        <v>685</v>
      </c>
      <c r="C25" s="53"/>
      <c r="D25" s="260" t="s">
        <v>1777</v>
      </c>
      <c r="E25" s="1984"/>
      <c r="F25" s="56"/>
      <c r="G25" s="1593"/>
      <c r="H25" s="1831" t="s">
        <v>1778</v>
      </c>
      <c r="I25" s="3037" t="s">
        <v>2830</v>
      </c>
      <c r="J25" s="794">
        <f ca="1">J5-J16</f>
        <v>-20</v>
      </c>
      <c r="K25" s="2574" t="s">
        <v>1779</v>
      </c>
      <c r="L25" s="2575"/>
      <c r="M25" s="2576"/>
    </row>
    <row r="26" spans="1:33" ht="18" customHeight="1">
      <c r="A26" s="1649" t="s">
        <v>1833</v>
      </c>
      <c r="B26" s="786" t="s">
        <v>2443</v>
      </c>
      <c r="C26" s="53">
        <f ca="1">ROUND((C19+C20)*F26,0)</f>
        <v>72</v>
      </c>
      <c r="D26" s="814" t="s">
        <v>1780</v>
      </c>
      <c r="E26" s="797" t="s">
        <v>1781</v>
      </c>
      <c r="F26" s="796">
        <f ca="1">INDIRECT("'数据-取费表'!q"&amp;$G$1)</f>
        <v>0.1</v>
      </c>
      <c r="G26" s="1593"/>
      <c r="H26" s="2528" t="s">
        <v>1782</v>
      </c>
      <c r="I26" s="2234" t="s">
        <v>2835</v>
      </c>
      <c r="J26" s="785">
        <f ca="1">IF(J5&lt;&gt;0,ROUND(J25*(1-((1+M28)/(1+M26))^M27)/(M26-M28),0),0)</f>
        <v>0</v>
      </c>
      <c r="K26" s="816" t="s">
        <v>1783</v>
      </c>
      <c r="L26" s="786" t="s">
        <v>2424</v>
      </c>
      <c r="M26" s="796">
        <f ca="1">INDIRECT("'数据-取费表'!I"&amp;$G$1)</f>
        <v>5.5E-2</v>
      </c>
    </row>
    <row r="27" spans="1:33" ht="18" customHeight="1">
      <c r="A27" s="1649" t="s">
        <v>1834</v>
      </c>
      <c r="B27" s="786" t="s">
        <v>687</v>
      </c>
      <c r="C27" s="53">
        <f ca="1">ROUND(F21*F26,4)</f>
        <v>1.5E-3</v>
      </c>
      <c r="D27" s="814" t="s">
        <v>1784</v>
      </c>
      <c r="E27" s="808"/>
      <c r="F27" s="809"/>
      <c r="G27" s="1593"/>
      <c r="H27" s="2529"/>
      <c r="I27" s="789"/>
      <c r="J27" s="790"/>
      <c r="K27" s="823" t="s">
        <v>1785</v>
      </c>
      <c r="L27" s="786" t="s">
        <v>1786</v>
      </c>
      <c r="M27" s="824">
        <f ca="1">INDIRECT("'数据-取费表'!ag"&amp;$G$1)</f>
        <v>0</v>
      </c>
    </row>
    <row r="28" spans="1:33" s="2066" customFormat="1" ht="18" customHeight="1">
      <c r="A28" s="1651" t="s">
        <v>1843</v>
      </c>
      <c r="B28" s="786" t="s">
        <v>688</v>
      </c>
      <c r="C28" s="53">
        <f>ROUND(F28/(1+'数据-取费表'!C42),4)</f>
        <v>5.33E-2</v>
      </c>
      <c r="D28" s="814" t="s">
        <v>2303</v>
      </c>
      <c r="E28" s="786" t="s">
        <v>1787</v>
      </c>
      <c r="F28" s="811">
        <f>'数据-取费表'!B41</f>
        <v>5.6000000000000001E-2</v>
      </c>
      <c r="G28" s="1594"/>
      <c r="H28" s="1831"/>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876</v>
      </c>
      <c r="D29" s="2571"/>
      <c r="E29" s="2572"/>
      <c r="F29" s="2573"/>
      <c r="G29" s="1594"/>
      <c r="H29" s="825" t="s">
        <v>1789</v>
      </c>
      <c r="I29" s="826" t="s">
        <v>1790</v>
      </c>
      <c r="J29" s="827">
        <f ca="1">ROUND(J26/(1+F40)^F41,0)</f>
        <v>0</v>
      </c>
      <c r="K29" s="828" t="s">
        <v>1791</v>
      </c>
      <c r="L29" s="829"/>
      <c r="M29" s="830">
        <f ca="1">INDIRECT("'数据-取费表'!k"&amp;$G$1)</f>
        <v>1508.1899999999996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4">
        <f ca="1">ROUND(C31+C36+C37+C38,0)</f>
        <v>32</v>
      </c>
      <c r="D30" s="1823" t="s">
        <v>1793</v>
      </c>
      <c r="E30" s="2512"/>
      <c r="F30" s="2517"/>
      <c r="G30" s="2064"/>
      <c r="H30" s="2067"/>
      <c r="I30" s="2068"/>
      <c r="J30" s="2069"/>
      <c r="K30" s="2070"/>
      <c r="L30" s="2071"/>
      <c r="M30" s="2072"/>
    </row>
    <row r="31" spans="1:33" ht="18" customHeight="1">
      <c r="A31" s="1650" t="s">
        <v>1832</v>
      </c>
      <c r="B31" s="786" t="s">
        <v>657</v>
      </c>
      <c r="C31" s="53">
        <f ca="1">ROUND(IF(项目基本情况!B11="自然人",C5*F31,C32+C33+C34),1)</f>
        <v>15.8</v>
      </c>
      <c r="D31" s="1981" t="s">
        <v>1794</v>
      </c>
      <c r="E31" s="1979" t="s">
        <v>1795</v>
      </c>
      <c r="F31" s="812">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6" t="s">
        <v>1796</v>
      </c>
      <c r="C32" s="53">
        <f ca="1">ROUND(C5*F32/1.05,1)</f>
        <v>7.9</v>
      </c>
      <c r="D32" s="1979" t="s">
        <v>1797</v>
      </c>
      <c r="E32" s="786" t="s">
        <v>1798</v>
      </c>
      <c r="F32" s="811">
        <f>'数据-取费表'!B41</f>
        <v>5.6000000000000001E-2</v>
      </c>
      <c r="G32" s="2064"/>
      <c r="H32" s="2073"/>
      <c r="I32" s="2074"/>
      <c r="J32" s="2075"/>
      <c r="K32" s="2076"/>
      <c r="L32" s="2077"/>
      <c r="M32" s="2078"/>
    </row>
    <row r="33" spans="1:18" ht="18" customHeight="1">
      <c r="A33" s="1649" t="s">
        <v>1834</v>
      </c>
      <c r="B33" s="786" t="s">
        <v>1799</v>
      </c>
      <c r="C33" s="53">
        <f ca="1">IF(D33="按租金收入计税",ROUND(C5*F33,1),IF(D33="按房产原值计税",ROUND(C29*F33*0.7,1),INDIRECT("'数据-取费表'!Aj"&amp;$G$1)))</f>
        <v>7.4</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2" t="s">
        <v>1835</v>
      </c>
      <c r="B34" s="343" t="s">
        <v>1800</v>
      </c>
      <c r="C34" s="54">
        <f ca="1">ROUND(F34*F35/10000,1)</f>
        <v>0.5</v>
      </c>
      <c r="D34" s="816" t="s">
        <v>1801</v>
      </c>
      <c r="E34" s="786" t="s">
        <v>1802</v>
      </c>
      <c r="F34" s="642">
        <f>'数据-取费表'!B52</f>
        <v>4</v>
      </c>
      <c r="G34" s="2064"/>
      <c r="H34" s="2067"/>
      <c r="I34" s="837" t="s">
        <v>1815</v>
      </c>
      <c r="J34" s="838"/>
      <c r="K34" s="2082"/>
      <c r="L34" s="2081"/>
      <c r="M34" s="2081"/>
    </row>
    <row r="35" spans="1:18" ht="18" customHeight="1">
      <c r="A35" s="817"/>
      <c r="B35" s="795"/>
      <c r="C35" s="69"/>
      <c r="D35" s="818"/>
      <c r="E35" s="786" t="s">
        <v>1803</v>
      </c>
      <c r="F35" s="787">
        <f ca="1">INDIRECT("'数据-取费表'!r"&amp;$G$1)</f>
        <v>1203.3499999999999</v>
      </c>
      <c r="G35" s="2064"/>
      <c r="H35" s="2067"/>
      <c r="I35" s="839" t="s">
        <v>1816</v>
      </c>
      <c r="J35" s="840">
        <f ca="1">ROUND(C13*J36,0)</f>
        <v>74</v>
      </c>
      <c r="K35" s="2080"/>
      <c r="L35" s="2079"/>
      <c r="M35" s="2079"/>
    </row>
    <row r="36" spans="1:18" ht="18" customHeight="1">
      <c r="A36" s="1650" t="s">
        <v>1891</v>
      </c>
      <c r="B36" s="786" t="s">
        <v>1804</v>
      </c>
      <c r="C36" s="53">
        <f ca="1">ROUND(C29*F36,1)</f>
        <v>13.1</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0" t="s">
        <v>1892</v>
      </c>
      <c r="B37" s="786" t="s">
        <v>680</v>
      </c>
      <c r="C37" s="53">
        <f ca="1">ROUND(C13*F37,1)</f>
        <v>1.3</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1.5</v>
      </c>
      <c r="D38" s="2571" t="s">
        <v>1807</v>
      </c>
      <c r="E38" s="2572" t="s">
        <v>1798</v>
      </c>
      <c r="F38" s="2568">
        <f ca="1">INDIRECT("'数据-取费表'!Am"&amp;$G$1)</f>
        <v>0.01</v>
      </c>
      <c r="G38" s="2064"/>
      <c r="H38" s="2079"/>
      <c r="I38" s="845" t="s">
        <v>1819</v>
      </c>
      <c r="J38" s="846"/>
      <c r="K38" s="2085"/>
      <c r="L38" s="2079"/>
      <c r="M38" s="2079"/>
    </row>
    <row r="39" spans="1:18" ht="24.6" customHeight="1" thickTop="1">
      <c r="A39" s="1831" t="s">
        <v>1896</v>
      </c>
      <c r="B39" s="3037" t="s">
        <v>2830</v>
      </c>
      <c r="C39" s="794">
        <f ca="1">C5-C30</f>
        <v>117</v>
      </c>
      <c r="D39" s="2574" t="s">
        <v>1808</v>
      </c>
      <c r="E39" s="2575"/>
      <c r="F39" s="2576"/>
      <c r="G39" s="2064"/>
      <c r="H39" s="2079"/>
      <c r="I39" s="839" t="s">
        <v>1820</v>
      </c>
      <c r="J39" s="847">
        <f ca="1">ROUND(J35/C39,3)</f>
        <v>0.63200000000000001</v>
      </c>
      <c r="K39" s="2085"/>
      <c r="L39" s="2079"/>
      <c r="M39" s="2079"/>
    </row>
    <row r="40" spans="1:18" ht="18" customHeight="1">
      <c r="A40" s="783" t="s">
        <v>1897</v>
      </c>
      <c r="B40" s="2234" t="s">
        <v>2305</v>
      </c>
      <c r="C40" s="785">
        <f ca="1">ROUND(C39*(1-((1+F42)/(1+F40))^F41)/(F40-F42),0)</f>
        <v>2770</v>
      </c>
      <c r="D40" s="816" t="s">
        <v>1809</v>
      </c>
      <c r="E40" s="786" t="s">
        <v>2424</v>
      </c>
      <c r="F40" s="796">
        <f ca="1">INDIRECT("'数据-取费表'!I"&amp;$G$1)</f>
        <v>5.5E-2</v>
      </c>
      <c r="G40" s="2064"/>
      <c r="H40" s="2064"/>
      <c r="I40" s="839" t="s">
        <v>1821</v>
      </c>
      <c r="J40" s="847">
        <f ca="1">1-J39</f>
        <v>0.36799999999999999</v>
      </c>
      <c r="K40" s="2085"/>
      <c r="L40" s="2064"/>
      <c r="M40" s="2064"/>
    </row>
    <row r="41" spans="1:18" ht="18" customHeight="1">
      <c r="A41" s="788"/>
      <c r="B41" s="789"/>
      <c r="C41" s="790"/>
      <c r="D41" s="823" t="s">
        <v>1810</v>
      </c>
      <c r="E41" s="786" t="s">
        <v>2968</v>
      </c>
      <c r="F41" s="824">
        <f ca="1">IF(INDIRECT("'数据-取费表'!af"&amp;$G$1)=0,INDIRECT("'数据-取费表'!ae"&amp;$G$1),INDIRECT("'数据-取费表'!af"&amp;$G$1))</f>
        <v>37.36</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0.316</v>
      </c>
      <c r="K42" s="2084"/>
      <c r="L42" s="1990"/>
      <c r="M42" s="1990"/>
    </row>
    <row r="43" spans="1:18" ht="18" customHeight="1" thickBot="1">
      <c r="A43" s="825" t="s">
        <v>1789</v>
      </c>
      <c r="B43" s="826" t="s">
        <v>1812</v>
      </c>
      <c r="C43" s="827">
        <f ca="1">ROUND(C40*10000/F43,0)</f>
        <v>18366</v>
      </c>
      <c r="D43" s="828" t="s">
        <v>1813</v>
      </c>
      <c r="E43" s="829" t="s">
        <v>1814</v>
      </c>
      <c r="F43" s="830">
        <f ca="1">INDIRECT("'数据-取费表'!k"&amp;$G$1)</f>
        <v>1508.1899999999996</v>
      </c>
      <c r="G43" s="2064"/>
      <c r="H43" s="1990"/>
      <c r="I43" s="849" t="s">
        <v>1824</v>
      </c>
      <c r="J43" s="850">
        <f ca="1">1-J42</f>
        <v>0.68399999999999994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-3116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3041</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38.86</v>
      </c>
      <c r="O48" s="2424" t="s">
        <v>2384</v>
      </c>
      <c r="P48" s="2425" t="s">
        <v>2410</v>
      </c>
      <c r="Q48" s="2426">
        <f ca="1">C40+J29</f>
        <v>2770</v>
      </c>
      <c r="R48" s="2425" t="s">
        <v>2385</v>
      </c>
    </row>
    <row r="49" spans="1:18" s="2061" customFormat="1" ht="18" customHeight="1" thickBot="1">
      <c r="A49" s="788"/>
      <c r="B49" s="789"/>
      <c r="C49" s="790"/>
      <c r="D49" s="791"/>
      <c r="E49" s="786" t="s">
        <v>1741</v>
      </c>
      <c r="F49" s="787">
        <f ca="1">F7</f>
        <v>1508.1899999999996</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8"/>
      <c r="B50" s="789"/>
      <c r="C50" s="790"/>
      <c r="D50" s="791"/>
      <c r="E50" s="786" t="s">
        <v>1742</v>
      </c>
      <c r="F50" s="787">
        <f ca="1">F8</f>
        <v>365</v>
      </c>
      <c r="G50" s="2097"/>
      <c r="H50" s="2095"/>
      <c r="I50" s="2385" t="s">
        <v>2351</v>
      </c>
      <c r="J50" s="2398">
        <f>SUMPRODUCT((I63:I65=J47)*(J62:L62=J48)*(J63:L65))</f>
        <v>60</v>
      </c>
      <c r="K50" s="2396" t="s">
        <v>2358</v>
      </c>
      <c r="L50" s="2397"/>
      <c r="O50" s="2427" t="s">
        <v>2388</v>
      </c>
      <c r="P50" s="2425" t="s">
        <v>2412</v>
      </c>
      <c r="Q50" s="2426">
        <f ca="1">C29</f>
        <v>876</v>
      </c>
      <c r="R50" s="2425" t="s">
        <v>2385</v>
      </c>
    </row>
    <row r="51" spans="1:18" s="2061" customFormat="1" ht="18" customHeight="1" thickBot="1">
      <c r="A51" s="788"/>
      <c r="B51" s="789"/>
      <c r="C51" s="790"/>
      <c r="D51" s="791"/>
      <c r="E51" s="786" t="s">
        <v>641</v>
      </c>
      <c r="F51" s="2373"/>
      <c r="H51" s="2095"/>
      <c r="I51" s="2386" t="s">
        <v>2352</v>
      </c>
      <c r="J51" s="2399">
        <f>IF(J49="",J50,J49+J50-YEAR('数据-取费表'!B2))</f>
        <v>61</v>
      </c>
      <c r="K51" s="2385" t="s">
        <v>2359</v>
      </c>
      <c r="L51" s="2400">
        <f ca="1">ROUND(-PV(INDIRECT("'数据-取费表'!h"&amp;$G$1),L48,(C39-C13*J36),0),0)</f>
        <v>723</v>
      </c>
      <c r="O51" s="2427" t="s">
        <v>2389</v>
      </c>
      <c r="P51" s="2425" t="s">
        <v>2390</v>
      </c>
      <c r="Q51" s="2428" t="e">
        <f ca="1">J58</f>
        <v>#VALUE!</v>
      </c>
      <c r="R51" s="2429"/>
    </row>
    <row r="52" spans="1:18" s="2061" customFormat="1" ht="18" customHeight="1" thickBot="1">
      <c r="A52" s="783" t="s">
        <v>2543</v>
      </c>
      <c r="B52" s="2520" t="s">
        <v>2465</v>
      </c>
      <c r="C52" s="801">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8"/>
      <c r="B53" s="2521" t="s">
        <v>2580</v>
      </c>
      <c r="C53" s="2525"/>
      <c r="D53" s="2527"/>
      <c r="E53" s="2524"/>
      <c r="F53" s="802"/>
      <c r="I53" s="2388" t="s">
        <v>2353</v>
      </c>
      <c r="J53" s="2402">
        <f ca="1">IF(M47="住宅",J51,IF(D1="——",MIN(J51,L48),IF(D1="土地（套用方法）",MIN(J51,L48-'数据-取费表'!B20))))</f>
        <v>37.36</v>
      </c>
      <c r="K53" s="3455" t="s">
        <v>2970</v>
      </c>
      <c r="L53" s="3456"/>
      <c r="O53" s="2427" t="s">
        <v>2393</v>
      </c>
      <c r="P53" s="2425" t="s">
        <v>2394</v>
      </c>
      <c r="Q53" s="2426">
        <f ca="1">J53</f>
        <v>37.36</v>
      </c>
      <c r="R53" s="2425" t="s">
        <v>2395</v>
      </c>
    </row>
    <row r="54" spans="1:18" s="2061" customFormat="1" ht="18" customHeight="1" thickBot="1">
      <c r="A54" s="2563" t="s">
        <v>2474</v>
      </c>
      <c r="B54" s="2564" t="s">
        <v>2466</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2770</v>
      </c>
      <c r="R54" s="2429" t="s">
        <v>2397</v>
      </c>
    </row>
    <row r="55" spans="1:18" s="2061" customFormat="1" ht="18" customHeight="1" thickTop="1" thickBot="1">
      <c r="A55" s="799">
        <v>2</v>
      </c>
      <c r="B55" s="800" t="s">
        <v>645</v>
      </c>
      <c r="C55" s="801">
        <f ca="1">C13</f>
        <v>876</v>
      </c>
      <c r="D55" s="797"/>
      <c r="E55" s="797"/>
      <c r="F55" s="802"/>
      <c r="I55" s="3129" t="s">
        <v>2360</v>
      </c>
      <c r="J55" s="3128"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876</v>
      </c>
      <c r="D56" s="2666"/>
      <c r="E56" s="786"/>
      <c r="F56" s="811"/>
      <c r="I56" s="2405" t="s">
        <v>2362</v>
      </c>
      <c r="J56" s="3152" t="s">
        <v>1680</v>
      </c>
      <c r="K56" s="2385" t="s">
        <v>2367</v>
      </c>
      <c r="L56" s="2394" t="str">
        <f ca="1">IF(L48&lt;J51,"——",L48-J51)</f>
        <v>——</v>
      </c>
      <c r="O56" s="2421" t="s">
        <v>2380</v>
      </c>
      <c r="P56" s="2422" t="s">
        <v>2381</v>
      </c>
      <c r="Q56" s="2423" t="s">
        <v>2382</v>
      </c>
      <c r="R56" s="2422" t="s">
        <v>2383</v>
      </c>
    </row>
    <row r="57" spans="1:18" s="2061" customFormat="1" ht="28.5" customHeight="1" thickBot="1">
      <c r="A57" s="799" t="s">
        <v>1750</v>
      </c>
      <c r="B57" s="800" t="s">
        <v>652</v>
      </c>
      <c r="C57" s="801">
        <f ca="1">ROUND(C58+C63+C64+C65,0)</f>
        <v>22</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2770</v>
      </c>
      <c r="R57" s="2425" t="s">
        <v>2385</v>
      </c>
    </row>
    <row r="58" spans="1:18" s="2061" customFormat="1" ht="28.5" customHeight="1" thickBot="1">
      <c r="A58" s="1650" t="s">
        <v>1826</v>
      </c>
      <c r="B58" s="786" t="s">
        <v>657</v>
      </c>
      <c r="C58" s="53">
        <f ca="1">ROUND(IF(项目基本情况!B11="自然人",C47*F58,C59+C60+C61),1)</f>
        <v>7.9</v>
      </c>
      <c r="D58" s="2665" t="s">
        <v>658</v>
      </c>
      <c r="E58" s="2666" t="s">
        <v>691</v>
      </c>
      <c r="F58" s="812">
        <f ca="1">IF(项目基本情况!B11="企业","",IF(INDIRECT("'数据-取费表'!c"&amp;$G$1)="住宅",5%,IF(F48*F49*F50/12/(1+'数据-取费表'!C42)&gt;20000,12%,7%)))</f>
        <v>7.0000000000000007E-2</v>
      </c>
      <c r="I58" s="2406" t="s">
        <v>2364</v>
      </c>
      <c r="J58" s="3130"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6" t="s">
        <v>661</v>
      </c>
      <c r="C59" s="53">
        <f ca="1">ROUND(C47*F59/1.05,1)</f>
        <v>0</v>
      </c>
      <c r="D59" s="2666" t="s">
        <v>1758</v>
      </c>
      <c r="E59" s="786" t="s">
        <v>1749</v>
      </c>
      <c r="F59" s="811">
        <f t="shared" ref="F59:F65" si="0">F32</f>
        <v>5.6000000000000001E-2</v>
      </c>
      <c r="I59" s="2406" t="s">
        <v>2365</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6" t="s">
        <v>1760</v>
      </c>
      <c r="C60" s="53">
        <f ca="1">IF(D60="按租金收入计税",ROUND(C47*F60,1),IF(D60="按房产原值计税",ROUND(C56*F60*0.7,1),INDIRECT("'数据-取费表'!Aj"&amp;$G$1)))</f>
        <v>7.4</v>
      </c>
      <c r="D60" s="2666" t="str">
        <f>D33</f>
        <v>按房产原值计税</v>
      </c>
      <c r="E60" s="786" t="s">
        <v>1749</v>
      </c>
      <c r="F60" s="811">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4">
        <f ca="1">ROUND(F61*F62/10000,1)</f>
        <v>0.5</v>
      </c>
      <c r="D61" s="816" t="s">
        <v>670</v>
      </c>
      <c r="E61" s="786" t="s">
        <v>671</v>
      </c>
      <c r="F61" s="642">
        <f t="shared" si="0"/>
        <v>4</v>
      </c>
      <c r="K61" s="2088"/>
      <c r="O61" s="2427" t="s">
        <v>2391</v>
      </c>
      <c r="P61" s="2425" t="s">
        <v>2399</v>
      </c>
      <c r="Q61" s="2426" t="e">
        <f ca="1">L58</f>
        <v>#DIV/0!</v>
      </c>
      <c r="R61" s="2429" t="s">
        <v>2400</v>
      </c>
    </row>
    <row r="62" spans="1:18" s="2061" customFormat="1" ht="15.75" thickBot="1">
      <c r="A62" s="817"/>
      <c r="B62" s="795"/>
      <c r="C62" s="69"/>
      <c r="D62" s="818"/>
      <c r="E62" s="786" t="s">
        <v>675</v>
      </c>
      <c r="F62" s="787">
        <f t="shared" ca="1" si="0"/>
        <v>1203.3499999999999</v>
      </c>
      <c r="I62" s="2411" t="s">
        <v>2372</v>
      </c>
      <c r="J62" s="2412" t="s">
        <v>2373</v>
      </c>
      <c r="K62" s="2412" t="s">
        <v>2374</v>
      </c>
      <c r="L62" s="2412" t="s">
        <v>2355</v>
      </c>
      <c r="M62" s="3131" t="s">
        <v>2945</v>
      </c>
      <c r="O62" s="2427" t="s">
        <v>2393</v>
      </c>
      <c r="P62" s="2425" t="str">
        <f>K59</f>
        <v>建设期及建筑物耐用年限下的土地年期修正系数Kn</v>
      </c>
      <c r="Q62" s="2426" t="e">
        <f ca="1">L59</f>
        <v>#DIV/0!</v>
      </c>
      <c r="R62" s="2429" t="s">
        <v>2402</v>
      </c>
    </row>
    <row r="63" spans="1:18" s="2061" customFormat="1" ht="15.75" thickBot="1">
      <c r="A63" s="1650" t="s">
        <v>1891</v>
      </c>
      <c r="B63" s="786" t="s">
        <v>677</v>
      </c>
      <c r="C63" s="53">
        <f ca="1">ROUND(C56*F63,1)</f>
        <v>13.1</v>
      </c>
      <c r="D63" s="2666" t="s">
        <v>1805</v>
      </c>
      <c r="E63" s="786" t="s">
        <v>1749</v>
      </c>
      <c r="F63" s="819">
        <f t="shared" ca="1" si="0"/>
        <v>1.4999999999999999E-2</v>
      </c>
      <c r="I63" s="2411" t="s">
        <v>2375</v>
      </c>
      <c r="J63" s="2412">
        <v>70</v>
      </c>
      <c r="K63" s="2412">
        <v>50</v>
      </c>
      <c r="L63" s="2412">
        <v>80</v>
      </c>
      <c r="M63" s="3132">
        <v>0.02</v>
      </c>
      <c r="O63" s="2424" t="s">
        <v>2396</v>
      </c>
      <c r="P63" s="2425" t="s">
        <v>2413</v>
      </c>
      <c r="Q63" s="2426">
        <f ca="1">Q57+Q58</f>
        <v>2770</v>
      </c>
      <c r="R63" s="2429" t="s">
        <v>2397</v>
      </c>
    </row>
    <row r="64" spans="1:18" s="2061" customFormat="1" ht="16.5" thickBot="1">
      <c r="A64" s="1650" t="s">
        <v>1892</v>
      </c>
      <c r="B64" s="786" t="s">
        <v>680</v>
      </c>
      <c r="C64" s="53">
        <f ca="1">ROUND(C55*F64,1)</f>
        <v>1.3</v>
      </c>
      <c r="D64" s="2666" t="s">
        <v>681</v>
      </c>
      <c r="E64" s="786" t="s">
        <v>1749</v>
      </c>
      <c r="F64" s="820">
        <f t="shared" ca="1" si="0"/>
        <v>1.5E-3</v>
      </c>
      <c r="I64" s="2411" t="s">
        <v>2376</v>
      </c>
      <c r="J64" s="2412">
        <v>50</v>
      </c>
      <c r="K64" s="2412">
        <v>35</v>
      </c>
      <c r="L64" s="2412">
        <v>60</v>
      </c>
      <c r="M64" s="3133">
        <v>0</v>
      </c>
      <c r="O64" s="2430" t="s">
        <v>2420</v>
      </c>
      <c r="P64" s="1593"/>
      <c r="Q64" s="1605"/>
      <c r="R64" s="1593"/>
    </row>
    <row r="65" spans="1:18" s="2061" customFormat="1" ht="15.75" thickBot="1">
      <c r="A65" s="1650" t="s">
        <v>1893</v>
      </c>
      <c r="B65" s="786" t="s">
        <v>667</v>
      </c>
      <c r="C65" s="53">
        <f ca="1">ROUND(C47*F65,1)</f>
        <v>0</v>
      </c>
      <c r="D65" s="2666" t="s">
        <v>684</v>
      </c>
      <c r="E65" s="786" t="s">
        <v>1749</v>
      </c>
      <c r="F65" s="796">
        <f t="shared" ca="1" si="0"/>
        <v>0.01</v>
      </c>
      <c r="I65" s="2411" t="s">
        <v>2377</v>
      </c>
      <c r="J65" s="2412">
        <v>40</v>
      </c>
      <c r="K65" s="2412">
        <v>30</v>
      </c>
      <c r="L65" s="2412">
        <v>50</v>
      </c>
      <c r="M65" s="3132">
        <v>0.02</v>
      </c>
      <c r="O65" s="2421" t="s">
        <v>2380</v>
      </c>
      <c r="P65" s="2422" t="s">
        <v>2381</v>
      </c>
      <c r="Q65" s="2423" t="s">
        <v>2382</v>
      </c>
      <c r="R65" s="2422" t="s">
        <v>2383</v>
      </c>
    </row>
    <row r="66" spans="1:18" s="2061" customFormat="1" ht="24.75" thickBot="1">
      <c r="A66" s="799" t="s">
        <v>1778</v>
      </c>
      <c r="B66" s="3038" t="s">
        <v>2830</v>
      </c>
      <c r="C66" s="801">
        <f ca="1">C47-C57</f>
        <v>-22</v>
      </c>
      <c r="D66" s="2665" t="s">
        <v>701</v>
      </c>
      <c r="E66" s="2664"/>
      <c r="F66" s="822"/>
      <c r="K66" s="2088"/>
      <c r="O66" s="2424" t="s">
        <v>2384</v>
      </c>
      <c r="P66" s="2425" t="s">
        <v>2414</v>
      </c>
      <c r="Q66" s="2426">
        <f ca="1">C40+J29</f>
        <v>2770</v>
      </c>
      <c r="R66" s="2425" t="s">
        <v>2385</v>
      </c>
    </row>
    <row r="67" spans="1:18" s="2061" customFormat="1" ht="20.25" thickBot="1">
      <c r="A67" s="783" t="s">
        <v>1782</v>
      </c>
      <c r="B67" s="2234" t="s">
        <v>2305</v>
      </c>
      <c r="C67" s="785">
        <f ca="1">ROUND(C66*(1-((1+F69)/(1+F67))^F68)/(F67-F69),0)</f>
        <v>-346</v>
      </c>
      <c r="D67" s="816" t="s">
        <v>705</v>
      </c>
      <c r="E67" s="786" t="s">
        <v>706</v>
      </c>
      <c r="F67" s="796">
        <f ca="1">F40</f>
        <v>5.5E-2</v>
      </c>
      <c r="K67" s="2088"/>
      <c r="O67" s="2424" t="s">
        <v>2386</v>
      </c>
      <c r="P67" s="2425" t="s">
        <v>2417</v>
      </c>
      <c r="Q67" s="2426">
        <f ca="1">L60</f>
        <v>0</v>
      </c>
      <c r="R67" s="2429" t="s">
        <v>2419</v>
      </c>
    </row>
    <row r="68" spans="1:18" ht="21.75" thickBot="1">
      <c r="A68" s="788"/>
      <c r="B68" s="789"/>
      <c r="C68" s="790"/>
      <c r="D68" s="823" t="s">
        <v>1810</v>
      </c>
      <c r="E68" s="786" t="s">
        <v>1786</v>
      </c>
      <c r="F68" s="824">
        <f ca="1">F41</f>
        <v>37.36</v>
      </c>
      <c r="O68" s="2427" t="s">
        <v>2388</v>
      </c>
      <c r="P68" s="2425" t="s">
        <v>2418</v>
      </c>
      <c r="Q68" s="2431">
        <f ca="1">L51</f>
        <v>723</v>
      </c>
      <c r="R68" s="2432" t="s">
        <v>2421</v>
      </c>
    </row>
    <row r="69" spans="1:18" ht="20.25" thickBot="1">
      <c r="A69" s="792"/>
      <c r="B69" s="793"/>
      <c r="C69" s="794"/>
      <c r="D69" s="818"/>
      <c r="E69" s="786" t="s">
        <v>711</v>
      </c>
      <c r="F69" s="2373"/>
      <c r="O69" s="2427" t="s">
        <v>2389</v>
      </c>
      <c r="P69" s="2433" t="s">
        <v>2403</v>
      </c>
      <c r="Q69" s="2426">
        <f ca="1">ROUND(Q70-Q71*Q72,0)</f>
        <v>43</v>
      </c>
      <c r="R69" s="2429"/>
    </row>
    <row r="70" spans="1:18" ht="15.75" thickBot="1">
      <c r="A70" s="825" t="s">
        <v>1789</v>
      </c>
      <c r="B70" s="826" t="s">
        <v>1812</v>
      </c>
      <c r="C70" s="827">
        <f ca="1">ROUND(C67*10000/F70,0)</f>
        <v>-2294</v>
      </c>
      <c r="D70" s="828" t="s">
        <v>1813</v>
      </c>
      <c r="E70" s="829" t="s">
        <v>1814</v>
      </c>
      <c r="F70" s="830">
        <f ca="1">F43</f>
        <v>1508.1899999999996</v>
      </c>
      <c r="O70" s="2427" t="s">
        <v>2404</v>
      </c>
      <c r="P70" s="2433" t="s">
        <v>2405</v>
      </c>
      <c r="Q70" s="2426">
        <f ca="1">C39</f>
        <v>117</v>
      </c>
      <c r="R70" s="2425" t="s">
        <v>2385</v>
      </c>
    </row>
    <row r="71" spans="1:18" ht="15.75" thickBot="1">
      <c r="O71" s="2427" t="s">
        <v>2406</v>
      </c>
      <c r="P71" s="2433" t="s">
        <v>2407</v>
      </c>
      <c r="Q71" s="2426">
        <f ca="1">C13</f>
        <v>876</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2770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2478</v>
      </c>
      <c r="B1" s="3458"/>
      <c r="C1" s="3459"/>
      <c r="D1" s="3460">
        <f>SUM(I10,I15,I20,I21,I23)</f>
        <v>0</v>
      </c>
      <c r="E1" s="3460"/>
      <c r="F1" s="3460"/>
      <c r="G1" s="3460"/>
      <c r="H1" s="3460"/>
      <c r="I1" s="3461"/>
    </row>
    <row r="2" spans="1:9">
      <c r="A2" s="3462" t="s">
        <v>2479</v>
      </c>
      <c r="B2" s="3463" t="s">
        <v>2480</v>
      </c>
      <c r="C2" s="3463"/>
      <c r="D2" s="2533" t="s">
        <v>2481</v>
      </c>
      <c r="E2" s="2533" t="s">
        <v>2482</v>
      </c>
      <c r="F2" s="2533" t="s">
        <v>2483</v>
      </c>
      <c r="G2" s="2533" t="s">
        <v>2484</v>
      </c>
      <c r="H2" s="2533" t="s">
        <v>2485</v>
      </c>
      <c r="I2" s="2534" t="s">
        <v>2486</v>
      </c>
    </row>
    <row r="3" spans="1:9">
      <c r="A3" s="3462"/>
      <c r="B3" s="3463" t="s">
        <v>2487</v>
      </c>
      <c r="C3" s="3463"/>
      <c r="D3" s="2535"/>
      <c r="E3" s="2533"/>
      <c r="F3" s="2536"/>
      <c r="G3" s="2536"/>
      <c r="H3" s="2537"/>
      <c r="I3" s="2538">
        <f>ROUND(D3*E3*F3*G3*H3/10000,0)</f>
        <v>0</v>
      </c>
    </row>
    <row r="4" spans="1:9">
      <c r="A4" s="3462"/>
      <c r="B4" s="3463" t="s">
        <v>2488</v>
      </c>
      <c r="C4" s="3463"/>
      <c r="D4" s="2535"/>
      <c r="E4" s="2533"/>
      <c r="F4" s="2536"/>
      <c r="G4" s="2536"/>
      <c r="H4" s="2537"/>
      <c r="I4" s="2538">
        <f t="shared" ref="I4:I9" si="0">ROUND(D4*E4*F4*G4*H4/10000,0)</f>
        <v>0</v>
      </c>
    </row>
    <row r="5" spans="1:9">
      <c r="A5" s="3462"/>
      <c r="B5" s="3463" t="s">
        <v>2489</v>
      </c>
      <c r="C5" s="3463"/>
      <c r="D5" s="2535"/>
      <c r="E5" s="2533"/>
      <c r="F5" s="2536"/>
      <c r="G5" s="2536"/>
      <c r="H5" s="2537"/>
      <c r="I5" s="2538">
        <f t="shared" si="0"/>
        <v>0</v>
      </c>
    </row>
    <row r="6" spans="1:9">
      <c r="A6" s="3462"/>
      <c r="B6" s="3463" t="s">
        <v>2490</v>
      </c>
      <c r="C6" s="3463"/>
      <c r="D6" s="2535"/>
      <c r="E6" s="2533"/>
      <c r="F6" s="2536"/>
      <c r="G6" s="2536"/>
      <c r="H6" s="2537"/>
      <c r="I6" s="2538">
        <f t="shared" si="0"/>
        <v>0</v>
      </c>
    </row>
    <row r="7" spans="1:9">
      <c r="A7" s="3462"/>
      <c r="B7" s="3463" t="s">
        <v>2491</v>
      </c>
      <c r="C7" s="3463"/>
      <c r="D7" s="2535"/>
      <c r="E7" s="2533"/>
      <c r="F7" s="2536"/>
      <c r="G7" s="2536"/>
      <c r="H7" s="2537"/>
      <c r="I7" s="2538">
        <f t="shared" si="0"/>
        <v>0</v>
      </c>
    </row>
    <row r="8" spans="1:9">
      <c r="A8" s="3462"/>
      <c r="B8" s="3463" t="s">
        <v>2492</v>
      </c>
      <c r="C8" s="3463"/>
      <c r="D8" s="2535"/>
      <c r="E8" s="2533"/>
      <c r="F8" s="2536"/>
      <c r="G8" s="2536"/>
      <c r="H8" s="2537"/>
      <c r="I8" s="2538">
        <f t="shared" si="0"/>
        <v>0</v>
      </c>
    </row>
    <row r="9" spans="1:9">
      <c r="A9" s="3462"/>
      <c r="B9" s="3463" t="s">
        <v>2493</v>
      </c>
      <c r="C9" s="3463"/>
      <c r="D9" s="2535"/>
      <c r="E9" s="2533"/>
      <c r="F9" s="2536"/>
      <c r="G9" s="2536"/>
      <c r="H9" s="2537"/>
      <c r="I9" s="2538">
        <f t="shared" si="0"/>
        <v>0</v>
      </c>
    </row>
    <row r="10" spans="1:9">
      <c r="A10" s="3462"/>
      <c r="B10" s="3464" t="s">
        <v>2494</v>
      </c>
      <c r="C10" s="3464"/>
      <c r="D10" s="2539">
        <v>527</v>
      </c>
      <c r="E10" s="2539" t="e">
        <f>ROUND(D1*10000/D10/H9,0)</f>
        <v>#DIV/0!</v>
      </c>
      <c r="F10" s="2540"/>
      <c r="G10" s="2540"/>
      <c r="H10" s="2541"/>
      <c r="I10" s="2542">
        <f>SUM(I3:I9)</f>
        <v>0</v>
      </c>
    </row>
    <row r="11" spans="1:9" ht="14.25">
      <c r="A11" s="3462" t="s">
        <v>2495</v>
      </c>
      <c r="B11" s="3463" t="s">
        <v>2496</v>
      </c>
      <c r="C11" s="3463"/>
      <c r="D11" s="2535" t="s">
        <v>2497</v>
      </c>
      <c r="E11" s="2535" t="s">
        <v>2498</v>
      </c>
      <c r="F11" s="2536" t="s">
        <v>2499</v>
      </c>
      <c r="G11" s="2536" t="s">
        <v>2500</v>
      </c>
      <c r="H11" s="2543" t="s">
        <v>2501</v>
      </c>
      <c r="I11" s="2534" t="s">
        <v>2502</v>
      </c>
    </row>
    <row r="12" spans="1:9">
      <c r="A12" s="3462"/>
      <c r="B12" s="3463" t="s">
        <v>2503</v>
      </c>
      <c r="C12" s="3463"/>
      <c r="D12" s="2535"/>
      <c r="E12" s="2535"/>
      <c r="F12" s="2536"/>
      <c r="G12" s="2537"/>
      <c r="H12" s="2544"/>
      <c r="I12" s="2534">
        <f>ROUND(D12*E12*F12*G12/10000,0)</f>
        <v>0</v>
      </c>
    </row>
    <row r="13" spans="1:9">
      <c r="A13" s="3462"/>
      <c r="B13" s="3463" t="s">
        <v>2504</v>
      </c>
      <c r="C13" s="3463"/>
      <c r="D13" s="2535"/>
      <c r="E13" s="2535"/>
      <c r="F13" s="2536"/>
      <c r="G13" s="2537"/>
      <c r="H13" s="2544"/>
      <c r="I13" s="2534">
        <f>ROUND(D13*E13*F13*G13/10000,0)</f>
        <v>0</v>
      </c>
    </row>
    <row r="14" spans="1:9">
      <c r="A14" s="3462"/>
      <c r="B14" s="3463" t="s">
        <v>2505</v>
      </c>
      <c r="C14" s="3463"/>
      <c r="D14" s="2535"/>
      <c r="E14" s="2535"/>
      <c r="F14" s="2536"/>
      <c r="G14" s="2537"/>
      <c r="H14" s="2544"/>
      <c r="I14" s="2534">
        <f>ROUND(D14*E14*F14*G14/10000,0)</f>
        <v>0</v>
      </c>
    </row>
    <row r="15" spans="1:9">
      <c r="A15" s="3462"/>
      <c r="B15" s="3464" t="s">
        <v>2494</v>
      </c>
      <c r="C15" s="3464"/>
      <c r="D15" s="2539"/>
      <c r="E15" s="2539">
        <f>SUM(E12:E14)</f>
        <v>0</v>
      </c>
      <c r="F15" s="2540"/>
      <c r="G15" s="2537"/>
      <c r="H15" s="2544"/>
      <c r="I15" s="2545">
        <f>SUM(I12:I14)</f>
        <v>0</v>
      </c>
    </row>
    <row r="16" spans="1:9" ht="24">
      <c r="A16" s="3462" t="s">
        <v>2506</v>
      </c>
      <c r="B16" s="3463" t="s">
        <v>2507</v>
      </c>
      <c r="C16" s="3463"/>
      <c r="D16" s="2535" t="s">
        <v>2508</v>
      </c>
      <c r="E16" s="2546" t="s">
        <v>2509</v>
      </c>
      <c r="F16" s="2536" t="s">
        <v>2510</v>
      </c>
      <c r="G16" s="2537" t="s">
        <v>2500</v>
      </c>
      <c r="H16" s="2543" t="s">
        <v>2501</v>
      </c>
      <c r="I16" s="2534" t="s">
        <v>2502</v>
      </c>
    </row>
    <row r="17" spans="1:9" ht="14.25">
      <c r="A17" s="3462"/>
      <c r="B17" s="3463" t="s">
        <v>2511</v>
      </c>
      <c r="C17" s="3463"/>
      <c r="D17" s="2535"/>
      <c r="E17" s="2535"/>
      <c r="F17" s="2536"/>
      <c r="G17" s="2537"/>
      <c r="H17" s="2547"/>
      <c r="I17" s="2548">
        <f>ROUND(D17*E17*F17*G17/10000,0)</f>
        <v>0</v>
      </c>
    </row>
    <row r="18" spans="1:9" ht="14.25">
      <c r="A18" s="3462"/>
      <c r="B18" s="3463" t="s">
        <v>2512</v>
      </c>
      <c r="C18" s="3463"/>
      <c r="D18" s="2535"/>
      <c r="E18" s="2535"/>
      <c r="F18" s="2536"/>
      <c r="G18" s="2537"/>
      <c r="H18" s="2547"/>
      <c r="I18" s="2548">
        <f>ROUND(D18*E18*F18*G18/10000,0)</f>
        <v>0</v>
      </c>
    </row>
    <row r="19" spans="1:9" ht="14.25">
      <c r="A19" s="3462"/>
      <c r="B19" s="3463" t="s">
        <v>2513</v>
      </c>
      <c r="C19" s="3463"/>
      <c r="D19" s="2535"/>
      <c r="E19" s="2535"/>
      <c r="F19" s="2536"/>
      <c r="G19" s="2537"/>
      <c r="H19" s="2547"/>
      <c r="I19" s="2548">
        <f>ROUND(D19*E19*F19*G19/10000,0)</f>
        <v>0</v>
      </c>
    </row>
    <row r="20" spans="1:9">
      <c r="A20" s="3462"/>
      <c r="B20" s="3464" t="s">
        <v>2494</v>
      </c>
      <c r="C20" s="3464"/>
      <c r="D20" s="2539">
        <f>SUM(D17:D19)</f>
        <v>0</v>
      </c>
      <c r="E20" s="2539"/>
      <c r="F20" s="2540"/>
      <c r="G20" s="2537"/>
      <c r="H20" s="2544"/>
      <c r="I20" s="2545">
        <f>SUM(I17:I19)</f>
        <v>0</v>
      </c>
    </row>
    <row r="21" spans="1:9">
      <c r="A21" s="3462" t="s">
        <v>2514</v>
      </c>
      <c r="B21" s="3466"/>
      <c r="C21" s="3466"/>
      <c r="D21" s="3466"/>
      <c r="E21" s="3466"/>
      <c r="F21" s="3466"/>
      <c r="G21" s="3466"/>
      <c r="H21" s="2549">
        <v>0.1</v>
      </c>
      <c r="I21" s="2542">
        <f>ROUND(I10*H21,0)</f>
        <v>0</v>
      </c>
    </row>
    <row r="22" spans="1:9" ht="14.25">
      <c r="A22" s="3467" t="s">
        <v>2515</v>
      </c>
      <c r="B22" s="3468"/>
      <c r="C22" s="3469"/>
      <c r="D22" s="2550" t="s">
        <v>2516</v>
      </c>
      <c r="E22" s="2550" t="s">
        <v>2517</v>
      </c>
      <c r="F22" s="2551" t="s">
        <v>2518</v>
      </c>
      <c r="G22" s="2551" t="s">
        <v>2519</v>
      </c>
      <c r="H22" s="2543" t="s">
        <v>2520</v>
      </c>
      <c r="I22" s="2534" t="s">
        <v>2521</v>
      </c>
    </row>
    <row r="23" spans="1:9" ht="14.25" thickBot="1">
      <c r="A23" s="3470"/>
      <c r="B23" s="3471"/>
      <c r="C23" s="3472"/>
      <c r="D23" s="2552"/>
      <c r="E23" s="2552"/>
      <c r="F23" s="2552"/>
      <c r="G23" s="2553"/>
      <c r="H23" s="2554"/>
      <c r="I23" s="2555">
        <f>ROUND(E23*D23*F23*(1-G23)/10000,0)</f>
        <v>0</v>
      </c>
    </row>
    <row r="26" spans="1:9">
      <c r="A26" s="2556" t="s">
        <v>2522</v>
      </c>
      <c r="B26" s="2556"/>
      <c r="C26" s="2556"/>
      <c r="D26" s="2556"/>
      <c r="E26" s="3473">
        <f>C27-C30-C31-C32</f>
        <v>0</v>
      </c>
      <c r="F26" s="3473"/>
      <c r="G26" s="3473"/>
      <c r="H26" s="3070" t="s">
        <v>2851</v>
      </c>
    </row>
    <row r="27" spans="1:9">
      <c r="A27" s="2557">
        <v>1</v>
      </c>
      <c r="B27" s="2558" t="s">
        <v>2523</v>
      </c>
      <c r="C27" s="2558"/>
      <c r="D27" s="2558"/>
      <c r="E27" s="3474"/>
      <c r="F27" s="3474"/>
      <c r="G27" s="3474"/>
    </row>
    <row r="28" spans="1:9">
      <c r="A28" s="2559" t="s">
        <v>2524</v>
      </c>
      <c r="B28" s="2558" t="s">
        <v>2525</v>
      </c>
      <c r="C28" s="2558"/>
      <c r="D28" s="2558"/>
      <c r="E28" s="3474"/>
      <c r="F28" s="3474"/>
      <c r="G28" s="3474"/>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5"/>
      <c r="F32" s="3465"/>
      <c r="G32" s="3465"/>
    </row>
    <row r="33" spans="1:7" hidden="1">
      <c r="A33" s="3475" t="s">
        <v>2533</v>
      </c>
      <c r="B33" s="3476"/>
      <c r="C33" s="3476"/>
      <c r="D33" s="3477"/>
      <c r="E33" s="3473"/>
      <c r="F33" s="3473"/>
      <c r="G33" s="3473"/>
    </row>
    <row r="34" spans="1:7" hidden="1">
      <c r="A34" s="2561">
        <v>1</v>
      </c>
      <c r="B34" s="2558" t="s">
        <v>2534</v>
      </c>
      <c r="C34" s="2558"/>
      <c r="D34" s="2558"/>
      <c r="E34" s="3474"/>
      <c r="F34" s="3474"/>
      <c r="G34" s="3474"/>
    </row>
    <row r="35" spans="1:7" hidden="1">
      <c r="A35" s="2561">
        <v>2</v>
      </c>
      <c r="B35" s="2558" t="s">
        <v>2535</v>
      </c>
      <c r="C35" s="2558"/>
      <c r="D35" s="2558"/>
      <c r="E35" s="3474"/>
      <c r="F35" s="3474"/>
      <c r="G35" s="3474"/>
    </row>
    <row r="36" spans="1:7" hidden="1">
      <c r="A36" s="2561">
        <v>3</v>
      </c>
      <c r="B36" s="2558" t="s">
        <v>2536</v>
      </c>
      <c r="C36" s="2558"/>
      <c r="D36" s="2558"/>
      <c r="E36" s="3474"/>
      <c r="F36" s="3474"/>
      <c r="G36" s="3474"/>
    </row>
    <row r="37" spans="1:7" hidden="1">
      <c r="A37" s="2561">
        <v>4</v>
      </c>
      <c r="B37" s="2558" t="s">
        <v>2537</v>
      </c>
      <c r="C37" s="2558"/>
      <c r="D37" s="2558"/>
      <c r="E37" s="3474"/>
      <c r="F37" s="3474"/>
      <c r="G37" s="3474"/>
    </row>
    <row r="38" spans="1:7" hidden="1">
      <c r="A38" s="3475" t="s">
        <v>2538</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0"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2445</v>
      </c>
      <c r="B8" s="2498" t="s">
        <v>2447</v>
      </c>
      <c r="C8" s="2499"/>
      <c r="D8" s="751"/>
      <c r="E8" s="752"/>
      <c r="F8" s="752"/>
      <c r="G8" s="753"/>
    </row>
    <row r="9" spans="1:25" s="2185" customFormat="1" ht="13.5" customHeight="1">
      <c r="A9" s="2495" t="s">
        <v>2446</v>
      </c>
      <c r="B9" s="2498" t="s">
        <v>2448</v>
      </c>
      <c r="C9" s="2499"/>
      <c r="D9" s="751"/>
      <c r="E9" s="752"/>
      <c r="F9" s="752"/>
      <c r="G9" s="753"/>
    </row>
    <row r="10" spans="1:25" s="2185" customFormat="1" ht="36">
      <c r="A10" s="2495">
        <v>2</v>
      </c>
      <c r="B10" s="750" t="s">
        <v>614</v>
      </c>
      <c r="C10" s="751">
        <f>C11+C14+C15</f>
        <v>0</v>
      </c>
      <c r="D10" s="762">
        <f>'数据-汇总表'!E3</f>
        <v>68728.649999999994</v>
      </c>
      <c r="E10" s="751">
        <f>'数据-取费表'!B31</f>
        <v>200</v>
      </c>
      <c r="F10" s="763"/>
      <c r="G10" s="761" t="s">
        <v>615</v>
      </c>
    </row>
    <row r="11" spans="1:25" s="2185" customFormat="1" ht="13.5" customHeight="1">
      <c r="A11" s="2495" t="s">
        <v>2445</v>
      </c>
      <c r="B11" s="754" t="s">
        <v>611</v>
      </c>
      <c r="C11" s="755">
        <f>'数据-取费表'!B29</f>
        <v>0</v>
      </c>
      <c r="D11" s="756"/>
      <c r="E11" s="755"/>
      <c r="F11" s="757"/>
      <c r="G11" s="2504" t="s">
        <v>2456</v>
      </c>
    </row>
    <row r="12" spans="1:25" s="2185" customFormat="1" ht="13.5" customHeight="1">
      <c r="A12" s="2502" t="s">
        <v>2453</v>
      </c>
      <c r="B12" s="758" t="s">
        <v>612</v>
      </c>
      <c r="C12" s="759">
        <f>ROUND(D12*E12/10000,0)</f>
        <v>264</v>
      </c>
      <c r="D12" s="760">
        <f>'数据-汇总表'!E5</f>
        <v>29355.819999999992</v>
      </c>
      <c r="E12" s="759">
        <f>'数据-取费表'!B27</f>
        <v>90</v>
      </c>
      <c r="F12" s="757"/>
      <c r="G12" s="761"/>
    </row>
    <row r="13" spans="1:25" s="2185" customFormat="1" ht="13.5" customHeight="1">
      <c r="A13" s="2502" t="s">
        <v>2452</v>
      </c>
      <c r="B13" s="758" t="s">
        <v>613</v>
      </c>
      <c r="C13" s="759">
        <f>ROUND(D13*E13/10000,0)</f>
        <v>551</v>
      </c>
      <c r="D13" s="760">
        <f>'数据-汇总表'!E6</f>
        <v>39372.83</v>
      </c>
      <c r="E13" s="759">
        <f>'数据-取费表'!B28</f>
        <v>140</v>
      </c>
      <c r="F13" s="757"/>
      <c r="G13" s="761"/>
    </row>
    <row r="14" spans="1:25" s="2185" customFormat="1" ht="13.5" customHeight="1">
      <c r="A14" s="2495" t="s">
        <v>2446</v>
      </c>
      <c r="B14" s="2501" t="s">
        <v>2449</v>
      </c>
      <c r="C14" s="2499"/>
      <c r="D14" s="760"/>
      <c r="E14" s="759"/>
      <c r="F14" s="2500"/>
      <c r="G14" s="2503" t="s">
        <v>2454</v>
      </c>
    </row>
    <row r="15" spans="1:25" s="2185" customFormat="1" ht="13.5" customHeight="1">
      <c r="A15" s="2495" t="s">
        <v>2451</v>
      </c>
      <c r="B15" s="2501" t="s">
        <v>2450</v>
      </c>
      <c r="C15" s="2499"/>
      <c r="D15" s="760"/>
      <c r="E15" s="759"/>
      <c r="F15" s="2500"/>
      <c r="G15" s="2503" t="s">
        <v>2455</v>
      </c>
    </row>
    <row r="16" spans="1:25" s="2186" customFormat="1" ht="48">
      <c r="A16" s="2495">
        <v>3</v>
      </c>
      <c r="B16" s="750" t="s">
        <v>616</v>
      </c>
      <c r="C16" s="2499"/>
      <c r="D16" s="762"/>
      <c r="E16" s="751"/>
      <c r="F16" s="763"/>
      <c r="G16" s="761"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0.1</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0.94699999999999995</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30"/>
    </row>
    <row r="4" spans="1:29" ht="15">
      <c r="A4" s="514" t="s">
        <v>522</v>
      </c>
      <c r="B4" s="515"/>
      <c r="C4" s="3365" t="s">
        <v>523</v>
      </c>
      <c r="D4" s="3366"/>
      <c r="E4" s="3402" t="s">
        <v>524</v>
      </c>
      <c r="F4" s="3403"/>
      <c r="G4" s="3365" t="s">
        <v>525</v>
      </c>
      <c r="H4" s="3366"/>
      <c r="I4" s="3365" t="s">
        <v>526</v>
      </c>
      <c r="J4" s="3366"/>
      <c r="K4" s="516" t="s">
        <v>527</v>
      </c>
      <c r="L4" s="2135"/>
      <c r="M4" s="2136"/>
      <c r="N4" s="2136"/>
      <c r="O4" s="2136"/>
      <c r="P4" s="3367" t="s">
        <v>528</v>
      </c>
      <c r="Q4" s="3368"/>
      <c r="R4" s="3373" t="s">
        <v>524</v>
      </c>
      <c r="S4" s="3374"/>
      <c r="T4" s="3373" t="s">
        <v>525</v>
      </c>
      <c r="U4" s="3374"/>
      <c r="V4" s="3360" t="s">
        <v>526</v>
      </c>
      <c r="W4" s="3360"/>
      <c r="X4" s="1568"/>
      <c r="Y4" s="3373" t="s">
        <v>528</v>
      </c>
      <c r="Z4" s="3374"/>
      <c r="AA4" s="3362" t="s">
        <v>524</v>
      </c>
      <c r="AB4" s="3360" t="s">
        <v>525</v>
      </c>
      <c r="AC4" s="3362" t="s">
        <v>526</v>
      </c>
    </row>
    <row r="5" spans="1:29" ht="15">
      <c r="A5" s="517"/>
      <c r="B5" s="518"/>
      <c r="C5" s="3383" t="s">
        <v>2930</v>
      </c>
      <c r="D5" s="3382"/>
      <c r="E5" s="3404" t="s">
        <v>2931</v>
      </c>
      <c r="F5" s="3405"/>
      <c r="G5" s="3383" t="s">
        <v>2932</v>
      </c>
      <c r="H5" s="3382"/>
      <c r="I5" s="3383" t="s">
        <v>2933</v>
      </c>
      <c r="J5" s="3382"/>
      <c r="K5" s="516"/>
      <c r="L5" s="2135"/>
      <c r="M5" s="2136"/>
      <c r="N5" s="2136"/>
      <c r="O5" s="2136"/>
      <c r="P5" s="3369"/>
      <c r="Q5" s="3370"/>
      <c r="R5" s="3375"/>
      <c r="S5" s="3376"/>
      <c r="T5" s="3375"/>
      <c r="U5" s="3376"/>
      <c r="V5" s="3360"/>
      <c r="W5" s="3360"/>
      <c r="X5" s="1568"/>
      <c r="Y5" s="3375"/>
      <c r="Z5" s="3376"/>
      <c r="AA5" s="3363"/>
      <c r="AB5" s="3360"/>
      <c r="AC5" s="3363"/>
    </row>
    <row r="6" spans="1:29" ht="15.75" thickBot="1">
      <c r="A6" s="519"/>
      <c r="B6" s="520"/>
      <c r="C6" s="3399" t="s">
        <v>2934</v>
      </c>
      <c r="D6" s="3380"/>
      <c r="E6" s="3400" t="s">
        <v>2934</v>
      </c>
      <c r="F6" s="3401"/>
      <c r="G6" s="3399" t="s">
        <v>2934</v>
      </c>
      <c r="H6" s="3380"/>
      <c r="I6" s="3399" t="s">
        <v>2934</v>
      </c>
      <c r="J6" s="3380"/>
      <c r="K6" s="516" t="s">
        <v>529</v>
      </c>
      <c r="L6" s="2135"/>
      <c r="M6" s="2136"/>
      <c r="N6" s="2136"/>
      <c r="O6" s="2136"/>
      <c r="P6" s="3371"/>
      <c r="Q6" s="3372"/>
      <c r="R6" s="3375"/>
      <c r="S6" s="3376"/>
      <c r="T6" s="3377"/>
      <c r="U6" s="3378"/>
      <c r="V6" s="3360"/>
      <c r="W6" s="3360"/>
      <c r="X6" s="1568"/>
      <c r="Y6" s="3377"/>
      <c r="Z6" s="3378"/>
      <c r="AA6" s="3364"/>
      <c r="AB6" s="3360"/>
      <c r="AC6" s="3364"/>
    </row>
    <row r="7" spans="1:29" s="1221" customFormat="1" ht="15.75" thickBot="1">
      <c r="A7" s="2940"/>
      <c r="B7" s="2947" t="s">
        <v>530</v>
      </c>
      <c r="C7" s="521">
        <f>'数据-取费表'!B2</f>
        <v>43123</v>
      </c>
      <c r="D7" s="522">
        <v>100</v>
      </c>
      <c r="E7" s="523"/>
      <c r="F7" s="524">
        <f>SUMIF(58:58,YEAR(E7)&amp;"-"&amp;MONTH(E7),59:59)</f>
        <v>0</v>
      </c>
      <c r="G7" s="523"/>
      <c r="H7" s="522">
        <f>SUMIF(58:58,YEAR(G7)&amp;"-"&amp;MONTH(G7),59:59)</f>
        <v>0</v>
      </c>
      <c r="I7" s="523"/>
      <c r="J7" s="522">
        <f>SUMIF(58:58,YEAR(I7)&amp;"-"&amp;MONTH(I7),59:59)</f>
        <v>0</v>
      </c>
      <c r="K7" s="526"/>
      <c r="L7" s="2137"/>
      <c r="M7" s="2138"/>
      <c r="N7" s="2138"/>
      <c r="O7" s="2138"/>
      <c r="P7" s="3392" t="s">
        <v>531</v>
      </c>
      <c r="Q7" s="3394"/>
      <c r="R7" s="1569" t="s">
        <v>8</v>
      </c>
      <c r="S7" s="1570">
        <f t="shared" ref="S7:S15" si="0">F7</f>
        <v>0</v>
      </c>
      <c r="T7" s="1569" t="s">
        <v>8</v>
      </c>
      <c r="U7" s="1570">
        <f t="shared" ref="U7:U15" si="1">H7</f>
        <v>0</v>
      </c>
      <c r="V7" s="1569" t="s">
        <v>8</v>
      </c>
      <c r="W7" s="1570">
        <f t="shared" ref="W7:W15" si="2">J7</f>
        <v>0</v>
      </c>
      <c r="X7" s="1571"/>
      <c r="Y7" s="3392" t="s">
        <v>531</v>
      </c>
      <c r="Z7" s="3393"/>
      <c r="AA7" s="1572" t="e">
        <f>D7/F7</f>
        <v>#DIV/0!</v>
      </c>
      <c r="AB7" s="1572" t="e">
        <f>D7/H7</f>
        <v>#DIV/0!</v>
      </c>
      <c r="AC7" s="1572"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392" t="s">
        <v>534</v>
      </c>
      <c r="Q8" s="3393"/>
      <c r="R8" s="1569" t="s">
        <v>8</v>
      </c>
      <c r="S8" s="1570">
        <f t="shared" si="0"/>
        <v>0</v>
      </c>
      <c r="T8" s="1569" t="s">
        <v>8</v>
      </c>
      <c r="U8" s="1570">
        <f t="shared" si="1"/>
        <v>0</v>
      </c>
      <c r="V8" s="1569" t="s">
        <v>8</v>
      </c>
      <c r="W8" s="1570">
        <f t="shared" si="2"/>
        <v>0</v>
      </c>
      <c r="X8" s="1571"/>
      <c r="Y8" s="3392" t="s">
        <v>534</v>
      </c>
      <c r="Z8" s="3393"/>
      <c r="AA8" s="1572" t="e">
        <f t="shared" ref="AA8:AA46" si="3">D8/F8</f>
        <v>#DIV/0!</v>
      </c>
      <c r="AB8" s="1572" t="e">
        <f t="shared" ref="AB8:AB46" si="4">D8/H8</f>
        <v>#DIV/0!</v>
      </c>
      <c r="AC8" s="1572" t="e">
        <f t="shared" ref="AC8:AC46" si="5">D8/J8</f>
        <v>#DIV/0!</v>
      </c>
    </row>
    <row r="9" spans="1:29" s="1221" customFormat="1" ht="15">
      <c r="A9" s="2942"/>
      <c r="B9" s="2949" t="s">
        <v>2765</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359" t="s">
        <v>536</v>
      </c>
      <c r="Q9" s="1152" t="str">
        <f t="shared" ref="Q9:Q15" si="6">B9</f>
        <v>用途</v>
      </c>
      <c r="R9" s="1569" t="s">
        <v>8</v>
      </c>
      <c r="S9" s="1570">
        <f t="shared" si="0"/>
        <v>100</v>
      </c>
      <c r="T9" s="1569" t="s">
        <v>8</v>
      </c>
      <c r="U9" s="1570">
        <f t="shared" si="1"/>
        <v>100</v>
      </c>
      <c r="V9" s="1569" t="s">
        <v>8</v>
      </c>
      <c r="W9" s="1570">
        <f t="shared" si="2"/>
        <v>100</v>
      </c>
      <c r="X9" s="1571"/>
      <c r="Y9" s="3305"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359"/>
      <c r="Q11" s="1152" t="str">
        <f t="shared" si="6"/>
        <v>容积率</v>
      </c>
      <c r="R11" s="1569" t="s">
        <v>8</v>
      </c>
      <c r="S11" s="1570" t="e">
        <f t="shared" si="0"/>
        <v>#N/A</v>
      </c>
      <c r="T11" s="1569" t="s">
        <v>8</v>
      </c>
      <c r="U11" s="1570" t="e">
        <f t="shared" si="1"/>
        <v>#N/A</v>
      </c>
      <c r="V11" s="1569" t="s">
        <v>8</v>
      </c>
      <c r="W11" s="1570" t="e">
        <f t="shared" si="2"/>
        <v>#N/A</v>
      </c>
      <c r="X11" s="1571"/>
      <c r="Y11" s="3305"/>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359"/>
      <c r="Q12" s="1152">
        <f t="shared" si="6"/>
        <v>111</v>
      </c>
      <c r="R12" s="1569" t="s">
        <v>8</v>
      </c>
      <c r="S12" s="1570">
        <f t="shared" si="0"/>
        <v>100</v>
      </c>
      <c r="T12" s="1569" t="s">
        <v>8</v>
      </c>
      <c r="U12" s="1570">
        <f t="shared" si="1"/>
        <v>100</v>
      </c>
      <c r="V12" s="1569" t="s">
        <v>8</v>
      </c>
      <c r="W12" s="1570">
        <f t="shared" si="2"/>
        <v>100</v>
      </c>
      <c r="X12" s="1571"/>
      <c r="Y12" s="3305"/>
      <c r="Z12" s="1151">
        <f t="shared" si="7"/>
        <v>111</v>
      </c>
      <c r="AA12" s="1572">
        <f>D12/F12</f>
        <v>1</v>
      </c>
      <c r="AB12" s="1572">
        <f>D12/H12</f>
        <v>1</v>
      </c>
      <c r="AC12" s="1572">
        <f>D12/J12</f>
        <v>1</v>
      </c>
    </row>
    <row r="13" spans="1:29" ht="15">
      <c r="A13" s="2945"/>
      <c r="B13" s="2950">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359"/>
      <c r="Q13" s="1152">
        <f t="shared" si="6"/>
        <v>111</v>
      </c>
      <c r="R13" s="1569" t="s">
        <v>8</v>
      </c>
      <c r="S13" s="1570">
        <f t="shared" si="0"/>
        <v>100</v>
      </c>
      <c r="T13" s="1569" t="s">
        <v>8</v>
      </c>
      <c r="U13" s="1570">
        <f t="shared" si="1"/>
        <v>100</v>
      </c>
      <c r="V13" s="1569" t="s">
        <v>8</v>
      </c>
      <c r="W13" s="1570">
        <f t="shared" si="2"/>
        <v>100</v>
      </c>
      <c r="X13" s="1571"/>
      <c r="Y13" s="3305"/>
      <c r="Z13" s="1151">
        <f t="shared" si="7"/>
        <v>111</v>
      </c>
      <c r="AA13" s="1572">
        <f t="shared" si="3"/>
        <v>1</v>
      </c>
      <c r="AB13" s="1572">
        <f t="shared" si="4"/>
        <v>1</v>
      </c>
      <c r="AC13" s="1572">
        <f t="shared" si="5"/>
        <v>1</v>
      </c>
    </row>
    <row r="14" spans="1:29" ht="15.75" thickBot="1">
      <c r="A14" s="2946"/>
      <c r="B14" s="2951">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359"/>
      <c r="Q14" s="1152">
        <f t="shared" si="6"/>
        <v>111</v>
      </c>
      <c r="R14" s="1569" t="s">
        <v>8</v>
      </c>
      <c r="S14" s="1570">
        <f t="shared" si="0"/>
        <v>100</v>
      </c>
      <c r="T14" s="1569" t="s">
        <v>8</v>
      </c>
      <c r="U14" s="1570">
        <f t="shared" si="1"/>
        <v>100</v>
      </c>
      <c r="V14" s="1569" t="s">
        <v>8</v>
      </c>
      <c r="W14" s="1570">
        <f t="shared" si="2"/>
        <v>100</v>
      </c>
      <c r="X14" s="1571"/>
      <c r="Y14" s="3305"/>
      <c r="Z14" s="1151">
        <f t="shared" si="7"/>
        <v>111</v>
      </c>
      <c r="AA14" s="1572">
        <f t="shared" si="3"/>
        <v>1</v>
      </c>
      <c r="AB14" s="1572">
        <f t="shared" si="4"/>
        <v>1</v>
      </c>
      <c r="AC14" s="1572">
        <f t="shared" si="5"/>
        <v>1</v>
      </c>
    </row>
    <row r="15" spans="1:29" ht="71.25">
      <c r="A15" s="2938" t="s">
        <v>2763</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395" t="s">
        <v>541</v>
      </c>
      <c r="Q15" s="1573" t="str">
        <f t="shared" si="6"/>
        <v>商业繁华度</v>
      </c>
      <c r="R15" s="1574" t="s">
        <v>8</v>
      </c>
      <c r="S15" s="1575">
        <f t="shared" si="0"/>
        <v>100</v>
      </c>
      <c r="T15" s="1574" t="s">
        <v>8</v>
      </c>
      <c r="U15" s="1575">
        <f t="shared" si="1"/>
        <v>100</v>
      </c>
      <c r="V15" s="1574" t="s">
        <v>8</v>
      </c>
      <c r="W15" s="1575">
        <f t="shared" si="2"/>
        <v>100</v>
      </c>
      <c r="X15" s="1568"/>
      <c r="Y15" s="3395" t="s">
        <v>541</v>
      </c>
      <c r="Z15" s="1576" t="str">
        <f t="shared" si="7"/>
        <v>商业繁华度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96"/>
      <c r="Q16" s="1573"/>
      <c r="R16" s="1574"/>
      <c r="S16" s="1575"/>
      <c r="T16" s="1574"/>
      <c r="U16" s="1575"/>
      <c r="V16" s="1574"/>
      <c r="W16" s="1575"/>
      <c r="X16" s="1568"/>
      <c r="Y16" s="3396"/>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900"/>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396"/>
      <c r="Q21" s="2605" t="str">
        <f>B21</f>
        <v>基础设施水平</v>
      </c>
      <c r="R21" s="1574" t="s">
        <v>8</v>
      </c>
      <c r="S21" s="1575">
        <f>F21</f>
        <v>100</v>
      </c>
      <c r="T21" s="1574" t="s">
        <v>8</v>
      </c>
      <c r="U21" s="1575">
        <f>H21</f>
        <v>100</v>
      </c>
      <c r="V21" s="1574" t="s">
        <v>8</v>
      </c>
      <c r="W21" s="1575">
        <f>J21</f>
        <v>100</v>
      </c>
      <c r="X21" s="2607"/>
      <c r="Y21" s="3396"/>
      <c r="Z21" s="2606" t="str">
        <f>Q21</f>
        <v>基础设施水平</v>
      </c>
      <c r="AA21" s="1577">
        <f t="shared" ref="AA21" si="8">D21/F21</f>
        <v>1</v>
      </c>
      <c r="AB21" s="1577">
        <f t="shared" ref="AB21" si="9">D21/H21</f>
        <v>1</v>
      </c>
      <c r="AC21" s="1577">
        <f t="shared" ref="AC21" si="10">D21/J21</f>
        <v>1</v>
      </c>
    </row>
    <row r="22" spans="1:29" ht="15">
      <c r="A22" s="534"/>
      <c r="B22" s="923"/>
      <c r="C22" s="875"/>
      <c r="D22" s="557"/>
      <c r="E22" s="578"/>
      <c r="F22" s="559"/>
      <c r="G22" s="578"/>
      <c r="H22" s="557"/>
      <c r="I22" s="578"/>
      <c r="J22" s="557"/>
      <c r="K22" s="2628"/>
      <c r="L22" s="2144"/>
      <c r="M22" s="2136"/>
      <c r="N22" s="2136"/>
      <c r="O22" s="2143"/>
      <c r="P22" s="3396"/>
      <c r="Q22" s="2605"/>
      <c r="R22" s="1574"/>
      <c r="S22" s="1575"/>
      <c r="T22" s="1574"/>
      <c r="U22" s="1575"/>
      <c r="V22" s="1574"/>
      <c r="W22" s="1575"/>
      <c r="X22" s="2607"/>
      <c r="Y22" s="3396"/>
      <c r="Z22" s="2606"/>
      <c r="AA22" s="1577">
        <v>1</v>
      </c>
      <c r="AB22" s="1577">
        <v>1</v>
      </c>
      <c r="AC22" s="1577">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900"/>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396"/>
      <c r="Q27" s="1152" t="str">
        <f t="shared" si="11"/>
        <v>人流量</v>
      </c>
      <c r="R27" s="1569" t="s">
        <v>8</v>
      </c>
      <c r="S27" s="1570">
        <f>F27</f>
        <v>100</v>
      </c>
      <c r="T27" s="1569" t="s">
        <v>8</v>
      </c>
      <c r="U27" s="1570">
        <f>H27</f>
        <v>100</v>
      </c>
      <c r="V27" s="1569" t="s">
        <v>8</v>
      </c>
      <c r="W27" s="1570">
        <f>J27</f>
        <v>100</v>
      </c>
      <c r="X27" s="1571"/>
      <c r="Y27" s="3396"/>
      <c r="Z27" s="1151" t="str">
        <f>Q27</f>
        <v>人流量</v>
      </c>
      <c r="AA27" s="1577">
        <f>D27/F27</f>
        <v>1</v>
      </c>
      <c r="AB27" s="1577">
        <f>D27/H27</f>
        <v>1</v>
      </c>
      <c r="AC27" s="1577">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35" t="s">
        <v>2764</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397" t="s">
        <v>551</v>
      </c>
      <c r="Q32" s="1573" t="str">
        <f t="shared" si="11"/>
        <v>商业类型</v>
      </c>
      <c r="R32" s="1574" t="s">
        <v>8</v>
      </c>
      <c r="S32" s="1575">
        <f t="shared" si="12"/>
        <v>100</v>
      </c>
      <c r="T32" s="1574" t="s">
        <v>8</v>
      </c>
      <c r="U32" s="1575">
        <f t="shared" si="13"/>
        <v>100</v>
      </c>
      <c r="V32" s="1574" t="s">
        <v>8</v>
      </c>
      <c r="W32" s="1575">
        <f t="shared" si="14"/>
        <v>100</v>
      </c>
      <c r="X32" s="1568"/>
      <c r="Y32" s="3398" t="s">
        <v>551</v>
      </c>
      <c r="Z32" s="1576" t="str">
        <f t="shared" si="15"/>
        <v>商业类型</v>
      </c>
      <c r="AA32" s="1577">
        <f t="shared" si="3"/>
        <v>1</v>
      </c>
      <c r="AB32" s="1577">
        <f t="shared" si="4"/>
        <v>1</v>
      </c>
      <c r="AC32" s="1577">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1" customFormat="1" ht="15">
      <c r="A37" s="602"/>
      <c r="B37" s="1897" t="s">
        <v>2572</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398"/>
      <c r="Q37" s="1152" t="str">
        <f t="shared" si="11"/>
        <v>市政基础设施</v>
      </c>
      <c r="R37" s="1569" t="s">
        <v>8</v>
      </c>
      <c r="S37" s="1570">
        <f t="shared" si="12"/>
        <v>100</v>
      </c>
      <c r="T37" s="1569" t="s">
        <v>8</v>
      </c>
      <c r="U37" s="1570">
        <f t="shared" si="13"/>
        <v>100</v>
      </c>
      <c r="V37" s="1569" t="s">
        <v>8</v>
      </c>
      <c r="W37" s="1570">
        <f t="shared" si="14"/>
        <v>100</v>
      </c>
      <c r="X37" s="1571"/>
      <c r="Y37" s="3398"/>
      <c r="Z37" s="1151" t="str">
        <f t="shared" si="15"/>
        <v>市政基础设施</v>
      </c>
      <c r="AA37" s="1572">
        <f t="shared" si="3"/>
        <v>1</v>
      </c>
      <c r="AB37" s="1572">
        <f t="shared" si="4"/>
        <v>1</v>
      </c>
      <c r="AC37" s="1572">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398" t="s">
        <v>767</v>
      </c>
      <c r="Q38" s="1573" t="str">
        <f t="shared" si="11"/>
        <v>业态</v>
      </c>
      <c r="R38" s="1574" t="s">
        <v>8</v>
      </c>
      <c r="S38" s="1575">
        <f t="shared" si="12"/>
        <v>100</v>
      </c>
      <c r="T38" s="1574" t="s">
        <v>8</v>
      </c>
      <c r="U38" s="1575">
        <f t="shared" si="13"/>
        <v>100</v>
      </c>
      <c r="V38" s="1574" t="s">
        <v>8</v>
      </c>
      <c r="W38" s="1575">
        <f t="shared" si="14"/>
        <v>100</v>
      </c>
      <c r="X38" s="1568"/>
      <c r="Y38" s="3398" t="s">
        <v>767</v>
      </c>
      <c r="Z38" s="1576" t="str">
        <f t="shared" si="15"/>
        <v>业态</v>
      </c>
      <c r="AA38" s="1577">
        <f t="shared" si="3"/>
        <v>1</v>
      </c>
      <c r="AB38" s="1577">
        <f t="shared" si="4"/>
        <v>1</v>
      </c>
      <c r="AC38" s="1577">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398"/>
      <c r="Q44" s="1152">
        <f t="shared" si="11"/>
        <v>111</v>
      </c>
      <c r="R44" s="1569" t="s">
        <v>8</v>
      </c>
      <c r="S44" s="1570">
        <f t="shared" si="12"/>
        <v>100</v>
      </c>
      <c r="T44" s="1569" t="s">
        <v>8</v>
      </c>
      <c r="U44" s="1570">
        <f t="shared" si="13"/>
        <v>100</v>
      </c>
      <c r="V44" s="1569" t="s">
        <v>8</v>
      </c>
      <c r="W44" s="1570">
        <f t="shared" si="14"/>
        <v>100</v>
      </c>
      <c r="X44" s="1571"/>
      <c r="Y44" s="3398"/>
      <c r="Z44" s="1151">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453"/>
      <c r="Q46" s="1573">
        <f t="shared" si="11"/>
        <v>111</v>
      </c>
      <c r="R46" s="1574" t="s">
        <v>8</v>
      </c>
      <c r="S46" s="1575">
        <f t="shared" si="12"/>
        <v>100</v>
      </c>
      <c r="T46" s="1574" t="s">
        <v>8</v>
      </c>
      <c r="U46" s="1575">
        <f t="shared" si="13"/>
        <v>100</v>
      </c>
      <c r="V46" s="1574" t="s">
        <v>8</v>
      </c>
      <c r="W46" s="1575">
        <f t="shared" si="14"/>
        <v>100</v>
      </c>
      <c r="X46" s="1568"/>
      <c r="Y46" s="3453"/>
      <c r="Z46" s="1576">
        <f t="shared" si="15"/>
        <v>111</v>
      </c>
      <c r="AA46" s="1577">
        <f t="shared" si="3"/>
        <v>1</v>
      </c>
      <c r="AB46" s="1577">
        <f t="shared" si="4"/>
        <v>1</v>
      </c>
      <c r="AC46" s="1577">
        <f t="shared" si="5"/>
        <v>1</v>
      </c>
    </row>
    <row r="47" spans="1:29" ht="15">
      <c r="A47" s="609" t="s">
        <v>737</v>
      </c>
      <c r="B47" s="888"/>
      <c r="C47" s="2653" t="s">
        <v>1</v>
      </c>
      <c r="D47" s="2654"/>
      <c r="E47" s="2655"/>
      <c r="F47" s="2656"/>
      <c r="G47" s="2657"/>
      <c r="H47" s="2658"/>
      <c r="I47" s="2655"/>
      <c r="J47" s="2658"/>
      <c r="K47" s="1612"/>
      <c r="L47" s="2146"/>
      <c r="M47" s="2147"/>
      <c r="N47" s="2136"/>
      <c r="O47" s="2147"/>
      <c r="P47" s="3359" t="str">
        <f>A47</f>
        <v>成交单价（元/平方米）</v>
      </c>
      <c r="Q47" s="3359"/>
      <c r="R47" s="3452">
        <f>E47</f>
        <v>0</v>
      </c>
      <c r="S47" s="3452"/>
      <c r="T47" s="3452">
        <f>G47</f>
        <v>0</v>
      </c>
      <c r="U47" s="3452"/>
      <c r="V47" s="3452">
        <f>I47</f>
        <v>0</v>
      </c>
      <c r="W47" s="3452"/>
      <c r="X47" s="1560"/>
      <c r="Y47" s="1582"/>
      <c r="Z47" s="1560"/>
      <c r="AA47" s="1560"/>
      <c r="AB47" s="1560"/>
      <c r="AC47" s="1560"/>
    </row>
    <row r="48" spans="1:29" ht="15.75" thickBot="1">
      <c r="A48" s="617" t="s">
        <v>2768</v>
      </c>
      <c r="B48" s="889"/>
      <c r="C48" s="2659" t="e">
        <f>R49</f>
        <v>#DIV/0!</v>
      </c>
      <c r="D48" s="2660"/>
      <c r="E48" s="2661" t="e">
        <f>R48</f>
        <v>#DIV/0!</v>
      </c>
      <c r="F48" s="2661"/>
      <c r="G48" s="2659" t="e">
        <f>T48</f>
        <v>#DIV/0!</v>
      </c>
      <c r="H48" s="2660"/>
      <c r="I48" s="2661" t="e">
        <f>V48</f>
        <v>#DIV/0!</v>
      </c>
      <c r="J48" s="2660"/>
      <c r="K48" s="1613"/>
      <c r="L48" s="2146"/>
      <c r="M48" s="2147"/>
      <c r="N48" s="2136"/>
      <c r="O48" s="2147"/>
      <c r="P48" s="3359" t="str">
        <f>A48</f>
        <v>比较价格（元/平方米）</v>
      </c>
      <c r="Q48" s="3359"/>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60"/>
      <c r="Y48" s="1560"/>
      <c r="Z48" s="1560"/>
      <c r="AA48" s="1560"/>
      <c r="AB48" s="1560"/>
      <c r="AC48" s="1560"/>
    </row>
    <row r="49" spans="1:29" ht="15.75" thickBot="1">
      <c r="A49" s="623" t="s">
        <v>2936</v>
      </c>
      <c r="B49" s="624"/>
      <c r="C49" s="2662" t="e">
        <f>R49</f>
        <v>#DIV/0!</v>
      </c>
      <c r="D49" s="2662"/>
      <c r="E49" s="2662"/>
      <c r="F49" s="2662"/>
      <c r="G49" s="2662"/>
      <c r="H49" s="2662"/>
      <c r="I49" s="2662"/>
      <c r="J49" s="2662"/>
      <c r="K49" s="1614"/>
      <c r="L49" s="2146"/>
      <c r="M49" s="2147"/>
      <c r="N49" s="2136"/>
      <c r="O49" s="2147"/>
      <c r="P49" s="3356" t="str">
        <f>A49</f>
        <v>估价对象XX用房的比较价格（楼面单价，元/平方米）</v>
      </c>
      <c r="Q49" s="3357"/>
      <c r="R49" s="3451" t="e">
        <f>IF(F1="售价",ROUND(AVERAGE(R48:V48),0),ROUND(AVERAGE(R48:V48),1))</f>
        <v>#DIV/0!</v>
      </c>
      <c r="S49" s="3451"/>
      <c r="T49" s="3451"/>
      <c r="U49" s="3451"/>
      <c r="V49" s="3451"/>
      <c r="W49" s="345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2563</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2" t="s">
        <v>722</v>
      </c>
      <c r="H1" s="508"/>
      <c r="I1" s="508"/>
      <c r="J1" s="508"/>
      <c r="K1" s="509"/>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4" t="s">
        <v>522</v>
      </c>
      <c r="B4" s="515"/>
      <c r="C4" s="3365" t="s">
        <v>523</v>
      </c>
      <c r="D4" s="3366"/>
      <c r="E4" s="3402" t="s">
        <v>524</v>
      </c>
      <c r="F4" s="3403"/>
      <c r="G4" s="3365" t="s">
        <v>525</v>
      </c>
      <c r="H4" s="3366"/>
      <c r="I4" s="3365" t="s">
        <v>526</v>
      </c>
      <c r="J4" s="3366"/>
      <c r="K4" s="516" t="s">
        <v>527</v>
      </c>
      <c r="L4" s="2135"/>
      <c r="M4" s="2136"/>
      <c r="N4" s="2136"/>
      <c r="O4" s="2136"/>
      <c r="P4" s="3479" t="s">
        <v>528</v>
      </c>
      <c r="Q4" s="3368"/>
      <c r="R4" s="3373" t="s">
        <v>524</v>
      </c>
      <c r="S4" s="3374"/>
      <c r="T4" s="3373" t="s">
        <v>525</v>
      </c>
      <c r="U4" s="3374"/>
      <c r="V4" s="3360" t="s">
        <v>526</v>
      </c>
      <c r="W4" s="3360"/>
      <c r="X4" s="1568"/>
      <c r="Y4" s="3373" t="s">
        <v>528</v>
      </c>
      <c r="Z4" s="3374"/>
      <c r="AA4" s="3362" t="s">
        <v>524</v>
      </c>
      <c r="AB4" s="3362" t="s">
        <v>525</v>
      </c>
      <c r="AC4" s="3362" t="s">
        <v>526</v>
      </c>
    </row>
    <row r="5" spans="1:29" ht="15">
      <c r="A5" s="517"/>
      <c r="B5" s="518"/>
      <c r="C5" s="3383" t="s">
        <v>2930</v>
      </c>
      <c r="D5" s="3382"/>
      <c r="E5" s="3404" t="s">
        <v>2931</v>
      </c>
      <c r="F5" s="3405"/>
      <c r="G5" s="3383" t="s">
        <v>2932</v>
      </c>
      <c r="H5" s="3382"/>
      <c r="I5" s="3383" t="s">
        <v>2933</v>
      </c>
      <c r="J5" s="3382"/>
      <c r="K5" s="516"/>
      <c r="L5" s="2135"/>
      <c r="M5" s="2136"/>
      <c r="N5" s="2136"/>
      <c r="O5" s="2136"/>
      <c r="P5" s="3480"/>
      <c r="Q5" s="3370"/>
      <c r="R5" s="3375"/>
      <c r="S5" s="3376"/>
      <c r="T5" s="3375"/>
      <c r="U5" s="3376"/>
      <c r="V5" s="3360"/>
      <c r="W5" s="3360"/>
      <c r="X5" s="1568"/>
      <c r="Y5" s="3375"/>
      <c r="Z5" s="3376"/>
      <c r="AA5" s="3363"/>
      <c r="AB5" s="3363"/>
      <c r="AC5" s="3363"/>
    </row>
    <row r="6" spans="1:29" ht="15.75" thickBot="1">
      <c r="A6" s="519"/>
      <c r="B6" s="520"/>
      <c r="C6" s="3399" t="s">
        <v>2934</v>
      </c>
      <c r="D6" s="3380"/>
      <c r="E6" s="3400" t="s">
        <v>2934</v>
      </c>
      <c r="F6" s="3401"/>
      <c r="G6" s="3399" t="s">
        <v>2934</v>
      </c>
      <c r="H6" s="3380"/>
      <c r="I6" s="3399" t="s">
        <v>2934</v>
      </c>
      <c r="J6" s="3380"/>
      <c r="K6" s="516" t="s">
        <v>529</v>
      </c>
      <c r="L6" s="2135"/>
      <c r="M6" s="2136"/>
      <c r="N6" s="2136"/>
      <c r="O6" s="2136"/>
      <c r="P6" s="3481"/>
      <c r="Q6" s="3372"/>
      <c r="R6" s="3375"/>
      <c r="S6" s="3376"/>
      <c r="T6" s="3377"/>
      <c r="U6" s="3378"/>
      <c r="V6" s="3360"/>
      <c r="W6" s="3360"/>
      <c r="X6" s="1568"/>
      <c r="Y6" s="3377"/>
      <c r="Z6" s="3378"/>
      <c r="AA6" s="3364"/>
      <c r="AB6" s="3364"/>
      <c r="AC6" s="3364"/>
    </row>
    <row r="7" spans="1:29" s="1221" customFormat="1" ht="15.75" thickBot="1">
      <c r="A7" s="2940"/>
      <c r="B7" s="2947" t="s">
        <v>530</v>
      </c>
      <c r="C7" s="521">
        <f>'数据-取费表'!B2</f>
        <v>43123</v>
      </c>
      <c r="D7" s="522">
        <v>100</v>
      </c>
      <c r="E7" s="523"/>
      <c r="F7" s="524">
        <f>SUMIF(59:59,YEAR(E7)&amp;"-"&amp;MONTH(E7),60:60)</f>
        <v>0</v>
      </c>
      <c r="G7" s="523"/>
      <c r="H7" s="522">
        <f>SUMIF(59:59,YEAR(G7)&amp;"-"&amp;MONTH(G7),60:60)</f>
        <v>0</v>
      </c>
      <c r="I7" s="523"/>
      <c r="J7" s="522">
        <f>SUMIF(59:59,YEAR(I7)&amp;"-"&amp;MONTH(I7),60:60)</f>
        <v>0</v>
      </c>
      <c r="K7" s="526"/>
      <c r="L7" s="2137"/>
      <c r="M7" s="2138"/>
      <c r="N7" s="2138"/>
      <c r="O7" s="2138"/>
      <c r="P7" s="3394" t="s">
        <v>531</v>
      </c>
      <c r="Q7" s="3394"/>
      <c r="R7" s="1569" t="s">
        <v>8</v>
      </c>
      <c r="S7" s="1570">
        <f t="shared" ref="S7:S15" si="0">F7</f>
        <v>0</v>
      </c>
      <c r="T7" s="1569" t="s">
        <v>8</v>
      </c>
      <c r="U7" s="1570">
        <f t="shared" ref="U7:U15" si="1">H7</f>
        <v>0</v>
      </c>
      <c r="V7" s="1569" t="s">
        <v>8</v>
      </c>
      <c r="W7" s="1570">
        <f t="shared" ref="W7:W15" si="2">J7</f>
        <v>0</v>
      </c>
      <c r="X7" s="1571"/>
      <c r="Y7" s="3392" t="s">
        <v>531</v>
      </c>
      <c r="Z7" s="3393"/>
      <c r="AA7" s="1572" t="e">
        <f>D7/F7</f>
        <v>#DIV/0!</v>
      </c>
      <c r="AB7" s="1572" t="e">
        <f>D7/H7</f>
        <v>#DIV/0!</v>
      </c>
      <c r="AC7" s="1572"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394" t="s">
        <v>534</v>
      </c>
      <c r="Q8" s="3393"/>
      <c r="R8" s="1569" t="s">
        <v>8</v>
      </c>
      <c r="S8" s="1570">
        <f t="shared" si="0"/>
        <v>0</v>
      </c>
      <c r="T8" s="1569" t="s">
        <v>8</v>
      </c>
      <c r="U8" s="1570">
        <f t="shared" si="1"/>
        <v>0</v>
      </c>
      <c r="V8" s="1569" t="s">
        <v>8</v>
      </c>
      <c r="W8" s="1570">
        <f t="shared" si="2"/>
        <v>0</v>
      </c>
      <c r="X8" s="1571"/>
      <c r="Y8" s="3392" t="s">
        <v>534</v>
      </c>
      <c r="Z8" s="3393"/>
      <c r="AA8" s="1572" t="e">
        <f t="shared" ref="AA8:AA47" si="3">D8/F8</f>
        <v>#DIV/0!</v>
      </c>
      <c r="AB8" s="1572" t="e">
        <f t="shared" ref="AB8:AB47" si="4">D8/H8</f>
        <v>#DIV/0!</v>
      </c>
      <c r="AC8" s="1572" t="e">
        <f t="shared" ref="AC8:AC47" si="5">D8/J8</f>
        <v>#DIV/0!</v>
      </c>
    </row>
    <row r="9" spans="1:29" s="1221" customFormat="1" ht="15">
      <c r="A9" s="2942"/>
      <c r="B9" s="2949" t="s">
        <v>2765</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359" t="s">
        <v>536</v>
      </c>
      <c r="Q9" s="1152" t="str">
        <f t="shared" ref="Q9:Q15" si="6">B9</f>
        <v>用途</v>
      </c>
      <c r="R9" s="1569" t="s">
        <v>8</v>
      </c>
      <c r="S9" s="1570">
        <f t="shared" si="0"/>
        <v>100</v>
      </c>
      <c r="T9" s="1569" t="s">
        <v>8</v>
      </c>
      <c r="U9" s="1570">
        <f t="shared" si="1"/>
        <v>100</v>
      </c>
      <c r="V9" s="1569" t="s">
        <v>8</v>
      </c>
      <c r="W9" s="1570">
        <f t="shared" si="2"/>
        <v>100</v>
      </c>
      <c r="X9" s="1571"/>
      <c r="Y9" s="3305"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359"/>
      <c r="Q11" s="1152" t="str">
        <f t="shared" si="6"/>
        <v>容积率</v>
      </c>
      <c r="R11" s="1569" t="s">
        <v>8</v>
      </c>
      <c r="S11" s="1570" t="e">
        <f t="shared" si="0"/>
        <v>#N/A</v>
      </c>
      <c r="T11" s="1569" t="s">
        <v>8</v>
      </c>
      <c r="U11" s="1570" t="e">
        <f t="shared" si="1"/>
        <v>#N/A</v>
      </c>
      <c r="V11" s="1569" t="s">
        <v>8</v>
      </c>
      <c r="W11" s="1570" t="e">
        <f t="shared" si="2"/>
        <v>#N/A</v>
      </c>
      <c r="X11" s="1571"/>
      <c r="Y11" s="3305"/>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359"/>
      <c r="Q12" s="1152">
        <f t="shared" si="6"/>
        <v>111</v>
      </c>
      <c r="R12" s="1569" t="s">
        <v>8</v>
      </c>
      <c r="S12" s="1570">
        <f t="shared" si="0"/>
        <v>100</v>
      </c>
      <c r="T12" s="1569" t="s">
        <v>8</v>
      </c>
      <c r="U12" s="1570">
        <f t="shared" si="1"/>
        <v>100</v>
      </c>
      <c r="V12" s="1569" t="s">
        <v>8</v>
      </c>
      <c r="W12" s="1570">
        <f t="shared" si="2"/>
        <v>100</v>
      </c>
      <c r="X12" s="1571"/>
      <c r="Y12" s="3305"/>
      <c r="Z12" s="1151">
        <f t="shared" si="7"/>
        <v>111</v>
      </c>
      <c r="AA12" s="1572">
        <f>D12/F12</f>
        <v>1</v>
      </c>
      <c r="AB12" s="1572">
        <f>D12/H12</f>
        <v>1</v>
      </c>
      <c r="AC12" s="1572">
        <f>D12/J12</f>
        <v>1</v>
      </c>
    </row>
    <row r="13" spans="1:29" ht="15">
      <c r="A13" s="2945"/>
      <c r="B13" s="2950">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359"/>
      <c r="Q13" s="1152">
        <f t="shared" si="6"/>
        <v>111</v>
      </c>
      <c r="R13" s="1569" t="s">
        <v>8</v>
      </c>
      <c r="S13" s="1570">
        <f t="shared" si="0"/>
        <v>100</v>
      </c>
      <c r="T13" s="1569" t="s">
        <v>8</v>
      </c>
      <c r="U13" s="1570">
        <f t="shared" si="1"/>
        <v>100</v>
      </c>
      <c r="V13" s="1569" t="s">
        <v>8</v>
      </c>
      <c r="W13" s="1570">
        <f t="shared" si="2"/>
        <v>100</v>
      </c>
      <c r="X13" s="1571"/>
      <c r="Y13" s="3305"/>
      <c r="Z13" s="1151">
        <f t="shared" si="7"/>
        <v>111</v>
      </c>
      <c r="AA13" s="1572">
        <f t="shared" si="3"/>
        <v>1</v>
      </c>
      <c r="AB13" s="1572">
        <f t="shared" si="4"/>
        <v>1</v>
      </c>
      <c r="AC13" s="1572">
        <f t="shared" si="5"/>
        <v>1</v>
      </c>
    </row>
    <row r="14" spans="1:29" ht="15.75" thickBot="1">
      <c r="A14" s="2946"/>
      <c r="B14" s="2951">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359"/>
      <c r="Q14" s="1152">
        <f t="shared" si="6"/>
        <v>111</v>
      </c>
      <c r="R14" s="1569" t="s">
        <v>8</v>
      </c>
      <c r="S14" s="1570">
        <f t="shared" si="0"/>
        <v>100</v>
      </c>
      <c r="T14" s="1569" t="s">
        <v>8</v>
      </c>
      <c r="U14" s="1570">
        <f t="shared" si="1"/>
        <v>100</v>
      </c>
      <c r="V14" s="1569" t="s">
        <v>8</v>
      </c>
      <c r="W14" s="1570">
        <f t="shared" si="2"/>
        <v>100</v>
      </c>
      <c r="X14" s="1571"/>
      <c r="Y14" s="3305"/>
      <c r="Z14" s="1151">
        <f t="shared" si="7"/>
        <v>111</v>
      </c>
      <c r="AA14" s="1572">
        <f t="shared" si="3"/>
        <v>1</v>
      </c>
      <c r="AB14" s="1572">
        <f t="shared" si="4"/>
        <v>1</v>
      </c>
      <c r="AC14" s="1572">
        <f t="shared" si="5"/>
        <v>1</v>
      </c>
    </row>
    <row r="15" spans="1:29" ht="71.25">
      <c r="A15" s="2938" t="s">
        <v>2763</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395" t="s">
        <v>541</v>
      </c>
      <c r="Q15" s="1573" t="str">
        <f t="shared" si="6"/>
        <v>办公集聚程度</v>
      </c>
      <c r="R15" s="1574" t="s">
        <v>8</v>
      </c>
      <c r="S15" s="1575">
        <f t="shared" si="0"/>
        <v>100</v>
      </c>
      <c r="T15" s="1574" t="s">
        <v>8</v>
      </c>
      <c r="U15" s="1575">
        <f t="shared" si="1"/>
        <v>100</v>
      </c>
      <c r="V15" s="1574" t="s">
        <v>8</v>
      </c>
      <c r="W15" s="1575">
        <f t="shared" si="2"/>
        <v>100</v>
      </c>
      <c r="X15" s="1568"/>
      <c r="Y15" s="3395" t="s">
        <v>541</v>
      </c>
      <c r="Z15" s="1576" t="str">
        <f t="shared" si="7"/>
        <v>办公集聚程度</v>
      </c>
      <c r="AA15" s="1577">
        <f t="shared" si="3"/>
        <v>1</v>
      </c>
      <c r="AB15" s="1577">
        <f t="shared" si="4"/>
        <v>1</v>
      </c>
      <c r="AC15" s="1577">
        <f t="shared" si="5"/>
        <v>1</v>
      </c>
    </row>
    <row r="16" spans="1:29" ht="15">
      <c r="A16" s="534"/>
      <c r="B16" s="555"/>
      <c r="C16" s="556"/>
      <c r="D16" s="557"/>
      <c r="E16" s="578"/>
      <c r="F16" s="557"/>
      <c r="G16" s="556"/>
      <c r="H16" s="561"/>
      <c r="I16" s="578"/>
      <c r="J16" s="557"/>
      <c r="K16" s="900"/>
      <c r="L16" s="2144"/>
      <c r="M16" s="2136"/>
      <c r="N16" s="2136"/>
      <c r="O16" s="2136"/>
      <c r="P16" s="3396"/>
      <c r="Q16" s="1573"/>
      <c r="R16" s="1574"/>
      <c r="S16" s="1575"/>
      <c r="T16" s="1574"/>
      <c r="U16" s="1575"/>
      <c r="V16" s="1574"/>
      <c r="W16" s="1575"/>
      <c r="X16" s="1568"/>
      <c r="Y16" s="3396"/>
      <c r="Z16" s="1576"/>
      <c r="AA16" s="1577">
        <v>1</v>
      </c>
      <c r="AB16" s="1577">
        <v>1</v>
      </c>
      <c r="AC16" s="1577">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4"/>
      <c r="B18" s="568"/>
      <c r="C18" s="569"/>
      <c r="D18" s="561"/>
      <c r="E18" s="571"/>
      <c r="F18" s="561"/>
      <c r="G18" s="570"/>
      <c r="H18" s="557"/>
      <c r="I18" s="570"/>
      <c r="J18" s="557"/>
      <c r="K18" s="900"/>
      <c r="L18" s="2144"/>
      <c r="M18" s="2136"/>
      <c r="N18" s="2136"/>
      <c r="O18" s="2136"/>
      <c r="P18" s="3396"/>
      <c r="Q18" s="1573"/>
      <c r="R18" s="1574"/>
      <c r="S18" s="1575"/>
      <c r="T18" s="1574"/>
      <c r="U18" s="1575"/>
      <c r="V18" s="1574"/>
      <c r="W18" s="1575"/>
      <c r="X18" s="1568"/>
      <c r="Y18" s="3396"/>
      <c r="Z18" s="1576"/>
      <c r="AA18" s="1577">
        <v>1</v>
      </c>
      <c r="AB18" s="1577">
        <v>1</v>
      </c>
      <c r="AC18" s="1577">
        <v>1</v>
      </c>
    </row>
    <row r="19" spans="1:29" ht="42.75">
      <c r="A19" s="534"/>
      <c r="B19" s="2629" t="s">
        <v>2553</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4"/>
      <c r="B20" s="568"/>
      <c r="C20" s="556"/>
      <c r="D20" s="557"/>
      <c r="E20" s="560"/>
      <c r="F20" s="557"/>
      <c r="G20" s="558"/>
      <c r="H20" s="557"/>
      <c r="I20" s="558"/>
      <c r="J20" s="557"/>
      <c r="K20" s="900"/>
      <c r="L20" s="2144"/>
      <c r="M20" s="2136"/>
      <c r="N20" s="2136"/>
      <c r="O20" s="2136"/>
      <c r="P20" s="3396"/>
      <c r="Q20" s="1573"/>
      <c r="R20" s="1574"/>
      <c r="S20" s="1575"/>
      <c r="T20" s="1574"/>
      <c r="U20" s="1575"/>
      <c r="V20" s="1574"/>
      <c r="W20" s="1575"/>
      <c r="X20" s="1568"/>
      <c r="Y20" s="3396"/>
      <c r="Z20" s="1576"/>
      <c r="AA20" s="1577">
        <v>1</v>
      </c>
      <c r="AB20" s="1577">
        <v>1</v>
      </c>
      <c r="AC20" s="1577">
        <v>1</v>
      </c>
    </row>
    <row r="21" spans="1:29" ht="28.5">
      <c r="A21" s="534"/>
      <c r="B21" s="2617" t="s">
        <v>2565</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396"/>
      <c r="Q21" s="2605" t="str">
        <f>B21</f>
        <v>基础设施水平</v>
      </c>
      <c r="R21" s="1574" t="s">
        <v>8</v>
      </c>
      <c r="S21" s="1575">
        <f>F21</f>
        <v>100</v>
      </c>
      <c r="T21" s="1574" t="s">
        <v>8</v>
      </c>
      <c r="U21" s="1575">
        <f>H21</f>
        <v>100</v>
      </c>
      <c r="V21" s="1574" t="s">
        <v>8</v>
      </c>
      <c r="W21" s="1575">
        <f>J21</f>
        <v>100</v>
      </c>
      <c r="X21" s="2607"/>
      <c r="Y21" s="3396"/>
      <c r="Z21" s="2606" t="str">
        <f>Q21</f>
        <v>基础设施水平</v>
      </c>
      <c r="AA21" s="1577">
        <f t="shared" ref="AA21" si="8">D21/F21</f>
        <v>1</v>
      </c>
      <c r="AB21" s="1577">
        <f t="shared" ref="AB21" si="9">D21/H21</f>
        <v>1</v>
      </c>
      <c r="AC21" s="1577">
        <f t="shared" ref="AC21" si="10">D21/J21</f>
        <v>1</v>
      </c>
    </row>
    <row r="22" spans="1:29" ht="15">
      <c r="A22" s="534"/>
      <c r="B22" s="580"/>
      <c r="C22" s="569"/>
      <c r="D22" s="557"/>
      <c r="E22" s="578"/>
      <c r="F22" s="557"/>
      <c r="G22" s="556"/>
      <c r="H22" s="557"/>
      <c r="I22" s="556"/>
      <c r="J22" s="557"/>
      <c r="K22" s="2628"/>
      <c r="L22" s="2144"/>
      <c r="M22" s="2136"/>
      <c r="N22" s="2136"/>
      <c r="O22" s="2136"/>
      <c r="P22" s="3396"/>
      <c r="Q22" s="2605"/>
      <c r="R22" s="1574"/>
      <c r="S22" s="1575"/>
      <c r="T22" s="1574"/>
      <c r="U22" s="1575"/>
      <c r="V22" s="1574"/>
      <c r="W22" s="1575"/>
      <c r="X22" s="2607"/>
      <c r="Y22" s="3396"/>
      <c r="Z22" s="2606"/>
      <c r="AA22" s="1577">
        <v>1</v>
      </c>
      <c r="AB22" s="1577">
        <v>1</v>
      </c>
      <c r="AC22" s="1577">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4"/>
      <c r="B24" s="580"/>
      <c r="C24" s="556"/>
      <c r="D24" s="557"/>
      <c r="E24" s="560"/>
      <c r="F24" s="557"/>
      <c r="G24" s="558"/>
      <c r="H24" s="557"/>
      <c r="I24" s="558"/>
      <c r="J24" s="557"/>
      <c r="K24" s="900"/>
      <c r="L24" s="2144"/>
      <c r="M24" s="2136"/>
      <c r="N24" s="2136"/>
      <c r="O24" s="2136"/>
      <c r="P24" s="3396"/>
      <c r="Q24" s="1573"/>
      <c r="R24" s="1574"/>
      <c r="S24" s="1575"/>
      <c r="T24" s="1574"/>
      <c r="U24" s="1575"/>
      <c r="V24" s="1574"/>
      <c r="W24" s="1575"/>
      <c r="X24" s="1568"/>
      <c r="Y24" s="3396"/>
      <c r="Z24" s="1576"/>
      <c r="AA24" s="1577">
        <v>1</v>
      </c>
      <c r="AB24" s="1577">
        <v>1</v>
      </c>
      <c r="AC24" s="1577">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7"/>
      <c r="B26" s="568"/>
      <c r="C26" s="582"/>
      <c r="D26" s="542"/>
      <c r="E26" s="585"/>
      <c r="F26" s="542"/>
      <c r="G26" s="582"/>
      <c r="H26" s="542"/>
      <c r="I26" s="585"/>
      <c r="J26" s="542"/>
      <c r="K26" s="900"/>
      <c r="L26" s="2144"/>
      <c r="M26" s="2136"/>
      <c r="N26" s="2136"/>
      <c r="O26" s="2136"/>
      <c r="P26" s="3396"/>
      <c r="Q26" s="1573"/>
      <c r="R26" s="1574"/>
      <c r="S26" s="1575"/>
      <c r="T26" s="1574"/>
      <c r="U26" s="1575"/>
      <c r="V26" s="1574"/>
      <c r="W26" s="1575"/>
      <c r="X26" s="1568"/>
      <c r="Y26" s="3396"/>
      <c r="Z26" s="1576"/>
      <c r="AA26" s="1577">
        <v>1</v>
      </c>
      <c r="AB26" s="1577">
        <v>1</v>
      </c>
      <c r="AC26" s="1577">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396"/>
      <c r="Q28" s="1152" t="str">
        <f t="shared" si="11"/>
        <v>朝向</v>
      </c>
      <c r="R28" s="1569" t="s">
        <v>8</v>
      </c>
      <c r="S28" s="1570">
        <f>F28</f>
        <v>100</v>
      </c>
      <c r="T28" s="1569" t="s">
        <v>8</v>
      </c>
      <c r="U28" s="1570">
        <f>H28</f>
        <v>100</v>
      </c>
      <c r="V28" s="1569" t="s">
        <v>8</v>
      </c>
      <c r="W28" s="1570">
        <f>J28</f>
        <v>100</v>
      </c>
      <c r="X28" s="1571"/>
      <c r="Y28" s="3396"/>
      <c r="Z28" s="1151" t="str">
        <f>Q28</f>
        <v>朝向</v>
      </c>
      <c r="AA28" s="1577">
        <f>D28/F28</f>
        <v>1</v>
      </c>
      <c r="AB28" s="1577">
        <f>D28/H28</f>
        <v>1</v>
      </c>
      <c r="AC28" s="1577">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35" t="s">
        <v>2764</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397" t="s">
        <v>551</v>
      </c>
      <c r="Q33" s="1573" t="str">
        <f t="shared" si="11"/>
        <v>建筑类型</v>
      </c>
      <c r="R33" s="1574" t="s">
        <v>8</v>
      </c>
      <c r="S33" s="1575">
        <f t="shared" si="12"/>
        <v>100</v>
      </c>
      <c r="T33" s="1574" t="s">
        <v>8</v>
      </c>
      <c r="U33" s="1575">
        <f t="shared" si="13"/>
        <v>100</v>
      </c>
      <c r="V33" s="1574" t="s">
        <v>8</v>
      </c>
      <c r="W33" s="1575">
        <f t="shared" si="14"/>
        <v>100</v>
      </c>
      <c r="X33" s="1568"/>
      <c r="Y33" s="3398" t="s">
        <v>551</v>
      </c>
      <c r="Z33" s="1576" t="str">
        <f t="shared" si="15"/>
        <v>建筑类型</v>
      </c>
      <c r="AA33" s="1577">
        <f t="shared" si="3"/>
        <v>1</v>
      </c>
      <c r="AB33" s="1577">
        <f t="shared" si="4"/>
        <v>1</v>
      </c>
      <c r="AC33" s="1577">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398"/>
      <c r="Q38" s="1152" t="str">
        <f t="shared" si="11"/>
        <v>写字楼等级</v>
      </c>
      <c r="R38" s="1569" t="s">
        <v>8</v>
      </c>
      <c r="S38" s="1570">
        <f t="shared" si="12"/>
        <v>100</v>
      </c>
      <c r="T38" s="1569" t="s">
        <v>8</v>
      </c>
      <c r="U38" s="1570">
        <f t="shared" si="13"/>
        <v>100</v>
      </c>
      <c r="V38" s="1569" t="s">
        <v>8</v>
      </c>
      <c r="W38" s="1570">
        <f t="shared" si="14"/>
        <v>100</v>
      </c>
      <c r="X38" s="1571"/>
      <c r="Y38" s="3398"/>
      <c r="Z38" s="1151" t="str">
        <f t="shared" si="15"/>
        <v>写字楼等级</v>
      </c>
      <c r="AA38" s="1572">
        <f t="shared" si="3"/>
        <v>1</v>
      </c>
      <c r="AB38" s="1572">
        <f t="shared" si="4"/>
        <v>1</v>
      </c>
      <c r="AC38" s="1572">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398" t="s">
        <v>551</v>
      </c>
      <c r="Q39" s="1573" t="str">
        <f t="shared" si="11"/>
        <v>物业管理</v>
      </c>
      <c r="R39" s="1574" t="s">
        <v>8</v>
      </c>
      <c r="S39" s="1575">
        <f t="shared" si="12"/>
        <v>100</v>
      </c>
      <c r="T39" s="1574" t="s">
        <v>8</v>
      </c>
      <c r="U39" s="1575">
        <f t="shared" si="13"/>
        <v>100</v>
      </c>
      <c r="V39" s="1574" t="s">
        <v>8</v>
      </c>
      <c r="W39" s="1575">
        <f t="shared" si="14"/>
        <v>100</v>
      </c>
      <c r="X39" s="1568"/>
      <c r="Y39" s="3398" t="s">
        <v>551</v>
      </c>
      <c r="Z39" s="1576" t="str">
        <f t="shared" si="15"/>
        <v>物业管理</v>
      </c>
      <c r="AA39" s="1577">
        <f t="shared" si="3"/>
        <v>1</v>
      </c>
      <c r="AB39" s="1577">
        <f t="shared" si="4"/>
        <v>1</v>
      </c>
      <c r="AC39" s="1577">
        <f t="shared" si="5"/>
        <v>1</v>
      </c>
    </row>
    <row r="40" spans="1:29" ht="15">
      <c r="A40" s="596"/>
      <c r="B40" s="1897" t="s">
        <v>2572</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398"/>
      <c r="Q45" s="1152">
        <f t="shared" si="11"/>
        <v>111</v>
      </c>
      <c r="R45" s="1569" t="s">
        <v>8</v>
      </c>
      <c r="S45" s="1570">
        <f t="shared" si="12"/>
        <v>100</v>
      </c>
      <c r="T45" s="1569" t="s">
        <v>8</v>
      </c>
      <c r="U45" s="1570">
        <f t="shared" si="13"/>
        <v>100</v>
      </c>
      <c r="V45" s="1569" t="s">
        <v>8</v>
      </c>
      <c r="W45" s="1570">
        <f t="shared" si="14"/>
        <v>100</v>
      </c>
      <c r="X45" s="1571"/>
      <c r="Y45" s="3398"/>
      <c r="Z45" s="1151">
        <f t="shared" si="15"/>
        <v>111</v>
      </c>
      <c r="AA45" s="1572">
        <f t="shared" si="3"/>
        <v>1</v>
      </c>
      <c r="AB45" s="1572">
        <f t="shared" si="4"/>
        <v>1</v>
      </c>
      <c r="AC45" s="1572">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453"/>
      <c r="Q47" s="1573">
        <f t="shared" si="11"/>
        <v>111</v>
      </c>
      <c r="R47" s="1574" t="s">
        <v>8</v>
      </c>
      <c r="S47" s="1575">
        <f t="shared" si="12"/>
        <v>100</v>
      </c>
      <c r="T47" s="1574" t="s">
        <v>8</v>
      </c>
      <c r="U47" s="1575">
        <f t="shared" si="13"/>
        <v>100</v>
      </c>
      <c r="V47" s="1574" t="s">
        <v>8</v>
      </c>
      <c r="W47" s="1575">
        <f t="shared" si="14"/>
        <v>100</v>
      </c>
      <c r="X47" s="1568"/>
      <c r="Y47" s="3453"/>
      <c r="Z47" s="1576">
        <f t="shared" si="15"/>
        <v>111</v>
      </c>
      <c r="AA47" s="1577">
        <f t="shared" si="3"/>
        <v>1</v>
      </c>
      <c r="AB47" s="1577">
        <f t="shared" si="4"/>
        <v>1</v>
      </c>
      <c r="AC47" s="1577">
        <f t="shared" si="5"/>
        <v>1</v>
      </c>
    </row>
    <row r="48" spans="1:29" ht="15">
      <c r="A48" s="609" t="s">
        <v>737</v>
      </c>
      <c r="B48" s="888"/>
      <c r="C48" s="2653" t="s">
        <v>1</v>
      </c>
      <c r="D48" s="2654"/>
      <c r="E48" s="2655"/>
      <c r="F48" s="2656"/>
      <c r="G48" s="2657"/>
      <c r="H48" s="2658"/>
      <c r="I48" s="2655"/>
      <c r="J48" s="2658"/>
      <c r="K48" s="1612"/>
      <c r="L48" s="2146"/>
      <c r="M48" s="2136"/>
      <c r="N48" s="2136"/>
      <c r="O48" s="2136"/>
      <c r="P48" s="3357" t="str">
        <f>A48</f>
        <v>成交单价（元/平方米）</v>
      </c>
      <c r="Q48" s="3359"/>
      <c r="R48" s="3452">
        <f>E48</f>
        <v>0</v>
      </c>
      <c r="S48" s="3452"/>
      <c r="T48" s="3452">
        <f>G48</f>
        <v>0</v>
      </c>
      <c r="U48" s="3452"/>
      <c r="V48" s="3452">
        <f>I48</f>
        <v>0</v>
      </c>
      <c r="W48" s="3452"/>
      <c r="X48" s="1560"/>
      <c r="Y48" s="1582"/>
      <c r="Z48" s="1560"/>
      <c r="AA48" s="1560"/>
      <c r="AB48" s="1560"/>
      <c r="AC48" s="1560"/>
    </row>
    <row r="49" spans="1:29" ht="15.75" thickBot="1">
      <c r="A49" s="617" t="s">
        <v>2768</v>
      </c>
      <c r="B49" s="889"/>
      <c r="C49" s="2659" t="e">
        <f>R50</f>
        <v>#DIV/0!</v>
      </c>
      <c r="D49" s="2660"/>
      <c r="E49" s="2661" t="e">
        <f>R49</f>
        <v>#DIV/0!</v>
      </c>
      <c r="F49" s="2661"/>
      <c r="G49" s="2659" t="e">
        <f>T49</f>
        <v>#DIV/0!</v>
      </c>
      <c r="H49" s="2660"/>
      <c r="I49" s="2661" t="e">
        <f>V49</f>
        <v>#DIV/0!</v>
      </c>
      <c r="J49" s="2660"/>
      <c r="K49" s="1613"/>
      <c r="L49" s="2146"/>
      <c r="M49" s="2136"/>
      <c r="N49" s="2136"/>
      <c r="O49" s="2136"/>
      <c r="P49" s="3357" t="str">
        <f>A49</f>
        <v>比较价格（元/平方米）</v>
      </c>
      <c r="Q49" s="3359"/>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60"/>
      <c r="Y49" s="1560"/>
      <c r="Z49" s="1560"/>
      <c r="AA49" s="1560"/>
      <c r="AB49" s="1560"/>
      <c r="AC49" s="1560"/>
    </row>
    <row r="50" spans="1:29" ht="15.75" thickBot="1">
      <c r="A50" s="623" t="s">
        <v>2936</v>
      </c>
      <c r="B50" s="624"/>
      <c r="C50" s="2662" t="e">
        <f>R50</f>
        <v>#DIV/0!</v>
      </c>
      <c r="D50" s="2662"/>
      <c r="E50" s="2662"/>
      <c r="F50" s="2662"/>
      <c r="G50" s="2662"/>
      <c r="H50" s="2662"/>
      <c r="I50" s="2662"/>
      <c r="J50" s="2662"/>
      <c r="K50" s="1614"/>
      <c r="L50" s="2146"/>
      <c r="M50" s="2136"/>
      <c r="N50" s="2136"/>
      <c r="O50" s="2136"/>
      <c r="P50" s="3478" t="str">
        <f>A50</f>
        <v>估价对象XX用房的比较价格（楼面单价，元/平方米）</v>
      </c>
      <c r="Q50" s="3357"/>
      <c r="R50" s="3451" t="e">
        <f>IF(F1="售价",ROUND(AVERAGE(R49:V49),0),ROUND(AVERAGE(R49:V49),1))</f>
        <v>#DIV/0!</v>
      </c>
      <c r="S50" s="3451"/>
      <c r="T50" s="3451"/>
      <c r="U50" s="3451"/>
      <c r="V50" s="3451"/>
      <c r="W50" s="345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2018-1</v>
      </c>
      <c r="D59" s="2832">
        <f>EDATE(C59,-1)</f>
        <v>43070</v>
      </c>
      <c r="E59" s="2832">
        <f t="shared" ref="E59:O59" si="16">EDATE(D59,-1)</f>
        <v>43040</v>
      </c>
      <c r="F59" s="2832">
        <f t="shared" si="16"/>
        <v>43009</v>
      </c>
      <c r="G59" s="2832">
        <f t="shared" si="16"/>
        <v>42979</v>
      </c>
      <c r="H59" s="2832">
        <f t="shared" si="16"/>
        <v>42948</v>
      </c>
      <c r="I59" s="2832">
        <f t="shared" si="16"/>
        <v>42917</v>
      </c>
      <c r="J59" s="2832">
        <f t="shared" si="16"/>
        <v>42887</v>
      </c>
      <c r="K59" s="2832">
        <f t="shared" si="16"/>
        <v>42856</v>
      </c>
      <c r="L59" s="2832">
        <f t="shared" si="16"/>
        <v>42826</v>
      </c>
      <c r="M59" s="2832">
        <f t="shared" si="16"/>
        <v>42795</v>
      </c>
      <c r="N59" s="2832">
        <f t="shared" si="16"/>
        <v>42767</v>
      </c>
      <c r="O59" s="2832">
        <f t="shared" si="16"/>
        <v>42736</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2564</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2565</v>
      </c>
      <c r="C83" s="2624" t="s">
        <v>2566</v>
      </c>
      <c r="D83" s="2624" t="s">
        <v>2567</v>
      </c>
      <c r="E83" s="2624" t="s">
        <v>2568</v>
      </c>
      <c r="F83" s="2624" t="s">
        <v>2569</v>
      </c>
      <c r="G83" s="2624" t="s">
        <v>2570</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2563</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522</v>
      </c>
      <c r="B4" s="515"/>
      <c r="C4" s="3365" t="s">
        <v>523</v>
      </c>
      <c r="D4" s="3366"/>
      <c r="E4" s="3402" t="s">
        <v>524</v>
      </c>
      <c r="F4" s="3403"/>
      <c r="G4" s="3365" t="s">
        <v>525</v>
      </c>
      <c r="H4" s="3366"/>
      <c r="I4" s="3365" t="s">
        <v>526</v>
      </c>
      <c r="J4" s="3366"/>
      <c r="K4" s="516" t="s">
        <v>527</v>
      </c>
      <c r="L4" s="2135"/>
      <c r="M4" s="2136"/>
      <c r="N4" s="2136"/>
      <c r="O4" s="2136"/>
      <c r="P4" s="3367" t="s">
        <v>528</v>
      </c>
      <c r="Q4" s="3368"/>
      <c r="R4" s="3373" t="s">
        <v>524</v>
      </c>
      <c r="S4" s="3374"/>
      <c r="T4" s="3373" t="s">
        <v>525</v>
      </c>
      <c r="U4" s="3374"/>
      <c r="V4" s="3360" t="s">
        <v>526</v>
      </c>
      <c r="W4" s="3360"/>
      <c r="X4" s="1568"/>
      <c r="Y4" s="3373" t="s">
        <v>528</v>
      </c>
      <c r="Z4" s="3374"/>
      <c r="AA4" s="3362" t="s">
        <v>524</v>
      </c>
      <c r="AB4" s="3363" t="s">
        <v>525</v>
      </c>
      <c r="AC4" s="3362" t="s">
        <v>526</v>
      </c>
    </row>
    <row r="5" spans="1:29" ht="15">
      <c r="A5" s="517"/>
      <c r="B5" s="518"/>
      <c r="C5" s="3383" t="s">
        <v>2930</v>
      </c>
      <c r="D5" s="3382"/>
      <c r="E5" s="3404" t="s">
        <v>2931</v>
      </c>
      <c r="F5" s="3405"/>
      <c r="G5" s="3383" t="s">
        <v>2932</v>
      </c>
      <c r="H5" s="3382"/>
      <c r="I5" s="3383" t="s">
        <v>2933</v>
      </c>
      <c r="J5" s="3382"/>
      <c r="K5" s="516"/>
      <c r="L5" s="2135"/>
      <c r="M5" s="2136"/>
      <c r="N5" s="2136"/>
      <c r="O5" s="2136"/>
      <c r="P5" s="3369"/>
      <c r="Q5" s="3370"/>
      <c r="R5" s="3375"/>
      <c r="S5" s="3376"/>
      <c r="T5" s="3375"/>
      <c r="U5" s="3376"/>
      <c r="V5" s="3360"/>
      <c r="W5" s="3360"/>
      <c r="X5" s="1568"/>
      <c r="Y5" s="3375"/>
      <c r="Z5" s="3376"/>
      <c r="AA5" s="3363"/>
      <c r="AB5" s="3363"/>
      <c r="AC5" s="3363"/>
    </row>
    <row r="6" spans="1:29" ht="15.75" thickBot="1">
      <c r="A6" s="519"/>
      <c r="B6" s="520"/>
      <c r="C6" s="3399" t="s">
        <v>2934</v>
      </c>
      <c r="D6" s="3380"/>
      <c r="E6" s="3400" t="s">
        <v>2934</v>
      </c>
      <c r="F6" s="3401"/>
      <c r="G6" s="3399" t="s">
        <v>2934</v>
      </c>
      <c r="H6" s="3380"/>
      <c r="I6" s="3399" t="s">
        <v>2934</v>
      </c>
      <c r="J6" s="3380"/>
      <c r="K6" s="516" t="s">
        <v>529</v>
      </c>
      <c r="L6" s="2135"/>
      <c r="M6" s="2136"/>
      <c r="N6" s="2136"/>
      <c r="O6" s="2136"/>
      <c r="P6" s="3371"/>
      <c r="Q6" s="3372"/>
      <c r="R6" s="3375"/>
      <c r="S6" s="3376"/>
      <c r="T6" s="3377"/>
      <c r="U6" s="3378"/>
      <c r="V6" s="3360"/>
      <c r="W6" s="3360"/>
      <c r="X6" s="1568"/>
      <c r="Y6" s="3377"/>
      <c r="Z6" s="3378"/>
      <c r="AA6" s="3364"/>
      <c r="AB6" s="3364"/>
      <c r="AC6" s="3364"/>
    </row>
    <row r="7" spans="1:29" s="1221" customFormat="1" ht="15.75" thickBot="1">
      <c r="A7" s="2940"/>
      <c r="B7" s="2947" t="s">
        <v>530</v>
      </c>
      <c r="C7" s="521">
        <f>'数据-取费表'!B2</f>
        <v>43123</v>
      </c>
      <c r="D7" s="522">
        <v>100</v>
      </c>
      <c r="E7" s="523"/>
      <c r="F7" s="524">
        <f>SUMIF(52:52,YEAR(E7)&amp;"-"&amp;MONTH(E7),53:53)</f>
        <v>0</v>
      </c>
      <c r="G7" s="523"/>
      <c r="H7" s="522">
        <f>SUMIF(52:52,YEAR(G7)&amp;"-"&amp;MONTH(G7),53:53)</f>
        <v>0</v>
      </c>
      <c r="I7" s="523"/>
      <c r="J7" s="522">
        <f>SUMIF(52:52,YEAR(I7)&amp;"-"&amp;MONTH(I7),53:53)</f>
        <v>0</v>
      </c>
      <c r="K7" s="526"/>
      <c r="L7" s="2137"/>
      <c r="M7" s="2138"/>
      <c r="N7" s="2138"/>
      <c r="O7" s="2138"/>
      <c r="P7" s="3392" t="s">
        <v>531</v>
      </c>
      <c r="Q7" s="3394"/>
      <c r="R7" s="1569" t="s">
        <v>8</v>
      </c>
      <c r="S7" s="1570">
        <f t="shared" ref="S7:S15" si="0">F7</f>
        <v>0</v>
      </c>
      <c r="T7" s="1569" t="s">
        <v>8</v>
      </c>
      <c r="U7" s="1570">
        <f t="shared" ref="U7:U15" si="1">H7</f>
        <v>0</v>
      </c>
      <c r="V7" s="1569" t="s">
        <v>8</v>
      </c>
      <c r="W7" s="1570">
        <f t="shared" ref="W7:W15" si="2">J7</f>
        <v>0</v>
      </c>
      <c r="X7" s="1571"/>
      <c r="Y7" s="3392" t="s">
        <v>531</v>
      </c>
      <c r="Z7" s="3393"/>
      <c r="AA7" s="1572" t="e">
        <f>D7/F7</f>
        <v>#DIV/0!</v>
      </c>
      <c r="AB7" s="1572" t="e">
        <f>D7/H7</f>
        <v>#DIV/0!</v>
      </c>
      <c r="AC7" s="1572"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392" t="s">
        <v>534</v>
      </c>
      <c r="Q8" s="3393"/>
      <c r="R8" s="1569" t="s">
        <v>8</v>
      </c>
      <c r="S8" s="1570">
        <f t="shared" si="0"/>
        <v>0</v>
      </c>
      <c r="T8" s="1569" t="s">
        <v>8</v>
      </c>
      <c r="U8" s="1570">
        <f t="shared" si="1"/>
        <v>0</v>
      </c>
      <c r="V8" s="1569" t="s">
        <v>8</v>
      </c>
      <c r="W8" s="1570">
        <f t="shared" si="2"/>
        <v>0</v>
      </c>
      <c r="X8" s="1571"/>
      <c r="Y8" s="3392" t="s">
        <v>534</v>
      </c>
      <c r="Z8" s="3393"/>
      <c r="AA8" s="1572" t="e">
        <f t="shared" ref="AA8:AA40" si="3">D8/F8</f>
        <v>#DIV/0!</v>
      </c>
      <c r="AB8" s="1572" t="e">
        <f t="shared" ref="AB8:AB40" si="4">D8/H8</f>
        <v>#DIV/0!</v>
      </c>
      <c r="AC8" s="1572" t="e">
        <f t="shared" ref="AC8:AC40" si="5">D8/J8</f>
        <v>#DIV/0!</v>
      </c>
    </row>
    <row r="9" spans="1:29" s="1221" customFormat="1" ht="15">
      <c r="A9" s="2942"/>
      <c r="B9" s="2949" t="s">
        <v>2765</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359" t="s">
        <v>536</v>
      </c>
      <c r="Q9" s="1152" t="str">
        <f t="shared" ref="Q9:Q15" si="6">B9</f>
        <v>用途</v>
      </c>
      <c r="R9" s="1569" t="s">
        <v>8</v>
      </c>
      <c r="S9" s="1570">
        <f t="shared" si="0"/>
        <v>100</v>
      </c>
      <c r="T9" s="1569" t="s">
        <v>8</v>
      </c>
      <c r="U9" s="1570">
        <f t="shared" si="1"/>
        <v>100</v>
      </c>
      <c r="V9" s="1569" t="s">
        <v>8</v>
      </c>
      <c r="W9" s="1570">
        <f t="shared" si="2"/>
        <v>100</v>
      </c>
      <c r="X9" s="1571"/>
      <c r="Y9" s="3305"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359"/>
      <c r="Q11" s="1152" t="str">
        <f t="shared" si="6"/>
        <v>容积率</v>
      </c>
      <c r="R11" s="1569" t="s">
        <v>8</v>
      </c>
      <c r="S11" s="1570" t="e">
        <f t="shared" si="0"/>
        <v>#N/A</v>
      </c>
      <c r="T11" s="1569" t="s">
        <v>8</v>
      </c>
      <c r="U11" s="1570" t="e">
        <f t="shared" si="1"/>
        <v>#N/A</v>
      </c>
      <c r="V11" s="1569" t="s">
        <v>8</v>
      </c>
      <c r="W11" s="1570" t="e">
        <f t="shared" si="2"/>
        <v>#N/A</v>
      </c>
      <c r="X11" s="1571"/>
      <c r="Y11" s="3305"/>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359"/>
      <c r="Q12" s="1152">
        <f t="shared" si="6"/>
        <v>111</v>
      </c>
      <c r="R12" s="1569" t="s">
        <v>8</v>
      </c>
      <c r="S12" s="1570">
        <f t="shared" si="0"/>
        <v>100</v>
      </c>
      <c r="T12" s="1569" t="s">
        <v>8</v>
      </c>
      <c r="U12" s="1570">
        <f t="shared" si="1"/>
        <v>100</v>
      </c>
      <c r="V12" s="1569" t="s">
        <v>8</v>
      </c>
      <c r="W12" s="1570">
        <f t="shared" si="2"/>
        <v>100</v>
      </c>
      <c r="X12" s="1571"/>
      <c r="Y12" s="3305"/>
      <c r="Z12" s="1151">
        <f t="shared" si="7"/>
        <v>111</v>
      </c>
      <c r="AA12" s="1572">
        <f>D12/F12</f>
        <v>1</v>
      </c>
      <c r="AB12" s="1572">
        <f>D12/H12</f>
        <v>1</v>
      </c>
      <c r="AC12" s="1572">
        <f>D12/J12</f>
        <v>1</v>
      </c>
    </row>
    <row r="13" spans="1:29" ht="15">
      <c r="A13" s="2945"/>
      <c r="B13" s="2950">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359"/>
      <c r="Q13" s="1152">
        <f t="shared" si="6"/>
        <v>111</v>
      </c>
      <c r="R13" s="1569" t="s">
        <v>8</v>
      </c>
      <c r="S13" s="1570">
        <f t="shared" si="0"/>
        <v>100</v>
      </c>
      <c r="T13" s="1569" t="s">
        <v>8</v>
      </c>
      <c r="U13" s="1570">
        <f t="shared" si="1"/>
        <v>100</v>
      </c>
      <c r="V13" s="1569" t="s">
        <v>8</v>
      </c>
      <c r="W13" s="1570">
        <f t="shared" si="2"/>
        <v>100</v>
      </c>
      <c r="X13" s="1571"/>
      <c r="Y13" s="3305"/>
      <c r="Z13" s="1151">
        <f t="shared" si="7"/>
        <v>111</v>
      </c>
      <c r="AA13" s="1572">
        <f t="shared" si="3"/>
        <v>1</v>
      </c>
      <c r="AB13" s="1572">
        <f t="shared" si="4"/>
        <v>1</v>
      </c>
      <c r="AC13" s="1572">
        <f t="shared" si="5"/>
        <v>1</v>
      </c>
    </row>
    <row r="14" spans="1:29" ht="15.75" thickBot="1">
      <c r="A14" s="2946"/>
      <c r="B14" s="2951">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359"/>
      <c r="Q14" s="1152">
        <f t="shared" si="6"/>
        <v>111</v>
      </c>
      <c r="R14" s="1569" t="s">
        <v>8</v>
      </c>
      <c r="S14" s="1570">
        <f t="shared" si="0"/>
        <v>100</v>
      </c>
      <c r="T14" s="1569" t="s">
        <v>8</v>
      </c>
      <c r="U14" s="1570">
        <f t="shared" si="1"/>
        <v>100</v>
      </c>
      <c r="V14" s="1569" t="s">
        <v>8</v>
      </c>
      <c r="W14" s="1570">
        <f t="shared" si="2"/>
        <v>100</v>
      </c>
      <c r="X14" s="1571"/>
      <c r="Y14" s="3305"/>
      <c r="Z14" s="1151">
        <f t="shared" si="7"/>
        <v>111</v>
      </c>
      <c r="AA14" s="1572">
        <f t="shared" si="3"/>
        <v>1</v>
      </c>
      <c r="AB14" s="1572">
        <f t="shared" si="4"/>
        <v>1</v>
      </c>
      <c r="AC14" s="1572">
        <f t="shared" si="5"/>
        <v>1</v>
      </c>
    </row>
    <row r="15" spans="1:29" ht="57">
      <c r="A15" s="2938" t="s">
        <v>2763</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395" t="s">
        <v>541</v>
      </c>
      <c r="Q15" s="1573" t="str">
        <f t="shared" si="6"/>
        <v>产业集聚程度</v>
      </c>
      <c r="R15" s="1574" t="s">
        <v>8</v>
      </c>
      <c r="S15" s="1575">
        <f t="shared" si="0"/>
        <v>100</v>
      </c>
      <c r="T15" s="1574" t="s">
        <v>8</v>
      </c>
      <c r="U15" s="1575">
        <f t="shared" si="1"/>
        <v>100</v>
      </c>
      <c r="V15" s="1574" t="s">
        <v>8</v>
      </c>
      <c r="W15" s="1575">
        <f t="shared" si="2"/>
        <v>100</v>
      </c>
      <c r="X15" s="1568"/>
      <c r="Y15" s="3395" t="s">
        <v>541</v>
      </c>
      <c r="Z15" s="1576" t="str">
        <f t="shared" si="7"/>
        <v>产业集聚程度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96"/>
      <c r="Q16" s="1573"/>
      <c r="R16" s="1574"/>
      <c r="S16" s="1575"/>
      <c r="T16" s="1574"/>
      <c r="U16" s="1575"/>
      <c r="V16" s="1574"/>
      <c r="W16" s="1575"/>
      <c r="X16" s="1568"/>
      <c r="Y16" s="3396"/>
      <c r="Z16" s="1576"/>
      <c r="AA16" s="1577">
        <v>1</v>
      </c>
      <c r="AB16" s="1577">
        <v>1</v>
      </c>
      <c r="AC16" s="1577">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4"/>
      <c r="B19" s="2629" t="s">
        <v>2553</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4"/>
      <c r="B20" s="568"/>
      <c r="C20" s="578"/>
      <c r="D20" s="557"/>
      <c r="E20" s="558"/>
      <c r="F20" s="559"/>
      <c r="G20" s="560"/>
      <c r="H20" s="557"/>
      <c r="I20" s="558"/>
      <c r="J20" s="557"/>
      <c r="K20" s="900"/>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8.5">
      <c r="A21" s="534"/>
      <c r="B21" s="2617" t="s">
        <v>2565</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396"/>
      <c r="Q21" s="2605" t="str">
        <f>B21</f>
        <v>基础设施水平</v>
      </c>
      <c r="R21" s="1574" t="s">
        <v>8</v>
      </c>
      <c r="S21" s="1575">
        <f>F21</f>
        <v>100</v>
      </c>
      <c r="T21" s="1574" t="s">
        <v>8</v>
      </c>
      <c r="U21" s="1575">
        <f>H21</f>
        <v>100</v>
      </c>
      <c r="V21" s="1574" t="s">
        <v>8</v>
      </c>
      <c r="W21" s="1575">
        <f>J21</f>
        <v>100</v>
      </c>
      <c r="X21" s="2607"/>
      <c r="Y21" s="3396"/>
      <c r="Z21" s="2606" t="str">
        <f>Q21</f>
        <v>基础设施水平</v>
      </c>
      <c r="AA21" s="1577">
        <f t="shared" ref="AA21" si="8">D21/F21</f>
        <v>1</v>
      </c>
      <c r="AB21" s="1577">
        <f t="shared" ref="AB21" si="9">D21/H21</f>
        <v>1</v>
      </c>
      <c r="AC21" s="1577">
        <f t="shared" ref="AC21" si="10">D21/J21</f>
        <v>1</v>
      </c>
    </row>
    <row r="22" spans="1:29" ht="15">
      <c r="A22" s="534"/>
      <c r="B22" s="580"/>
      <c r="C22" s="875"/>
      <c r="D22" s="557"/>
      <c r="E22" s="578"/>
      <c r="F22" s="559"/>
      <c r="G22" s="578"/>
      <c r="H22" s="557"/>
      <c r="I22" s="578"/>
      <c r="J22" s="557"/>
      <c r="K22" s="2628"/>
      <c r="L22" s="2144"/>
      <c r="M22" s="2136"/>
      <c r="N22" s="2136"/>
      <c r="O22" s="2143"/>
      <c r="P22" s="3396"/>
      <c r="Q22" s="2605"/>
      <c r="R22" s="1574"/>
      <c r="S22" s="1575"/>
      <c r="T22" s="1574"/>
      <c r="U22" s="1575"/>
      <c r="V22" s="1574"/>
      <c r="W22" s="1575"/>
      <c r="X22" s="2607"/>
      <c r="Y22" s="3396"/>
      <c r="Z22" s="2606"/>
      <c r="AA22" s="1577">
        <v>1</v>
      </c>
      <c r="AB22" s="1577">
        <v>1</v>
      </c>
      <c r="AC22" s="1577">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4"/>
      <c r="B24" s="923"/>
      <c r="C24" s="578"/>
      <c r="D24" s="557"/>
      <c r="E24" s="558"/>
      <c r="F24" s="559"/>
      <c r="G24" s="560"/>
      <c r="H24" s="557"/>
      <c r="I24" s="558"/>
      <c r="J24" s="557"/>
      <c r="K24" s="900"/>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396"/>
      <c r="Q27" s="1152">
        <f t="shared" si="11"/>
        <v>111</v>
      </c>
      <c r="R27" s="1569" t="s">
        <v>8</v>
      </c>
      <c r="S27" s="1570">
        <f>F27</f>
        <v>100</v>
      </c>
      <c r="T27" s="1569" t="s">
        <v>8</v>
      </c>
      <c r="U27" s="1570">
        <f>H27</f>
        <v>100</v>
      </c>
      <c r="V27" s="1569" t="s">
        <v>8</v>
      </c>
      <c r="W27" s="1570">
        <f>J27</f>
        <v>100</v>
      </c>
      <c r="X27" s="1571"/>
      <c r="Y27" s="3396"/>
      <c r="Z27" s="1151">
        <f>Q27</f>
        <v>111</v>
      </c>
      <c r="AA27" s="1577">
        <f>D27/F27</f>
        <v>1</v>
      </c>
      <c r="AB27" s="1577">
        <f>D27/H27</f>
        <v>1</v>
      </c>
      <c r="AC27" s="1577">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35" t="s">
        <v>2764</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397" t="s">
        <v>551</v>
      </c>
      <c r="Q29" s="1573" t="str">
        <f t="shared" si="11"/>
        <v>建筑类型</v>
      </c>
      <c r="R29" s="1574" t="s">
        <v>8</v>
      </c>
      <c r="S29" s="1575">
        <f t="shared" si="12"/>
        <v>100</v>
      </c>
      <c r="T29" s="1574" t="s">
        <v>8</v>
      </c>
      <c r="U29" s="1575">
        <f t="shared" si="13"/>
        <v>100</v>
      </c>
      <c r="V29" s="1574" t="s">
        <v>8</v>
      </c>
      <c r="W29" s="1575">
        <f t="shared" si="14"/>
        <v>100</v>
      </c>
      <c r="X29" s="1568"/>
      <c r="Y29" s="3398" t="s">
        <v>551</v>
      </c>
      <c r="Z29" s="1576" t="str">
        <f t="shared" si="15"/>
        <v>建筑类型</v>
      </c>
      <c r="AA29" s="1577">
        <f t="shared" si="3"/>
        <v>1</v>
      </c>
      <c r="AB29" s="1577">
        <f t="shared" si="4"/>
        <v>1</v>
      </c>
      <c r="AC29" s="1577">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398"/>
      <c r="Q34" s="1152" t="str">
        <f t="shared" si="11"/>
        <v>物业管理</v>
      </c>
      <c r="R34" s="1569" t="s">
        <v>8</v>
      </c>
      <c r="S34" s="1570">
        <f t="shared" si="12"/>
        <v>100</v>
      </c>
      <c r="T34" s="1569" t="s">
        <v>8</v>
      </c>
      <c r="U34" s="1570">
        <f t="shared" si="13"/>
        <v>100</v>
      </c>
      <c r="V34" s="1569" t="s">
        <v>8</v>
      </c>
      <c r="W34" s="1570">
        <f t="shared" si="14"/>
        <v>100</v>
      </c>
      <c r="X34" s="1571"/>
      <c r="Y34" s="3398"/>
      <c r="Z34" s="1151" t="str">
        <f t="shared" si="15"/>
        <v>物业管理</v>
      </c>
      <c r="AA34" s="1572">
        <f t="shared" si="3"/>
        <v>1</v>
      </c>
      <c r="AB34" s="1572">
        <f t="shared" si="4"/>
        <v>1</v>
      </c>
      <c r="AC34" s="1572">
        <f t="shared" si="5"/>
        <v>1</v>
      </c>
    </row>
    <row r="35" spans="1:29" ht="15">
      <c r="A35" s="596"/>
      <c r="B35" s="1897" t="s">
        <v>2572</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398" t="s">
        <v>551</v>
      </c>
      <c r="Q35" s="1573" t="str">
        <f t="shared" si="11"/>
        <v>市政基础设施</v>
      </c>
      <c r="R35" s="1574" t="s">
        <v>8</v>
      </c>
      <c r="S35" s="1575">
        <f t="shared" si="12"/>
        <v>100</v>
      </c>
      <c r="T35" s="1574" t="s">
        <v>8</v>
      </c>
      <c r="U35" s="1575">
        <f t="shared" si="13"/>
        <v>100</v>
      </c>
      <c r="V35" s="1574" t="s">
        <v>8</v>
      </c>
      <c r="W35" s="1575">
        <f t="shared" si="14"/>
        <v>100</v>
      </c>
      <c r="X35" s="1568"/>
      <c r="Y35" s="3398" t="s">
        <v>551</v>
      </c>
      <c r="Z35" s="1576" t="str">
        <f t="shared" si="15"/>
        <v>市政基础设施</v>
      </c>
      <c r="AA35" s="1577">
        <f t="shared" si="3"/>
        <v>1</v>
      </c>
      <c r="AB35" s="1577">
        <f t="shared" si="4"/>
        <v>1</v>
      </c>
      <c r="AC35" s="1577">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453"/>
      <c r="Q40" s="1573">
        <f t="shared" si="11"/>
        <v>111</v>
      </c>
      <c r="R40" s="1574" t="s">
        <v>8</v>
      </c>
      <c r="S40" s="1575">
        <f t="shared" si="12"/>
        <v>100</v>
      </c>
      <c r="T40" s="1574" t="s">
        <v>8</v>
      </c>
      <c r="U40" s="1575">
        <f t="shared" si="13"/>
        <v>100</v>
      </c>
      <c r="V40" s="1574" t="s">
        <v>8</v>
      </c>
      <c r="W40" s="1575">
        <f t="shared" si="14"/>
        <v>100</v>
      </c>
      <c r="X40" s="1568"/>
      <c r="Y40" s="3453"/>
      <c r="Z40" s="1576">
        <f t="shared" si="15"/>
        <v>111</v>
      </c>
      <c r="AA40" s="1577">
        <f t="shared" si="3"/>
        <v>1</v>
      </c>
      <c r="AB40" s="1577">
        <f t="shared" si="4"/>
        <v>1</v>
      </c>
      <c r="AC40" s="1577">
        <f t="shared" si="5"/>
        <v>1</v>
      </c>
    </row>
    <row r="41" spans="1:29" ht="15">
      <c r="A41" s="609" t="s">
        <v>737</v>
      </c>
      <c r="B41" s="888"/>
      <c r="C41" s="2653" t="s">
        <v>1</v>
      </c>
      <c r="D41" s="2654"/>
      <c r="E41" s="2655"/>
      <c r="F41" s="2656"/>
      <c r="G41" s="2657"/>
      <c r="H41" s="2658"/>
      <c r="I41" s="2655"/>
      <c r="J41" s="2658"/>
      <c r="K41" s="1612"/>
      <c r="L41" s="2146"/>
      <c r="M41" s="2147"/>
      <c r="N41" s="2136"/>
      <c r="O41" s="2147"/>
      <c r="P41" s="3359" t="str">
        <f>A41</f>
        <v>成交单价（元/平方米）</v>
      </c>
      <c r="Q41" s="3359"/>
      <c r="R41" s="3452">
        <f>E41</f>
        <v>0</v>
      </c>
      <c r="S41" s="3452"/>
      <c r="T41" s="3452">
        <f>G41</f>
        <v>0</v>
      </c>
      <c r="U41" s="3452"/>
      <c r="V41" s="3452">
        <f>I41</f>
        <v>0</v>
      </c>
      <c r="W41" s="3452"/>
      <c r="X41" s="1560"/>
      <c r="Y41" s="1582"/>
      <c r="Z41" s="1560"/>
      <c r="AA41" s="1560"/>
      <c r="AB41" s="1560"/>
      <c r="AC41" s="1560"/>
    </row>
    <row r="42" spans="1:29" ht="15.75" thickBot="1">
      <c r="A42" s="617" t="s">
        <v>2768</v>
      </c>
      <c r="B42" s="889"/>
      <c r="C42" s="2659" t="e">
        <f>R43</f>
        <v>#DIV/0!</v>
      </c>
      <c r="D42" s="2660"/>
      <c r="E42" s="2661" t="e">
        <f>R42</f>
        <v>#DIV/0!</v>
      </c>
      <c r="F42" s="2661"/>
      <c r="G42" s="2659" t="e">
        <f>T42</f>
        <v>#DIV/0!</v>
      </c>
      <c r="H42" s="2660"/>
      <c r="I42" s="2661" t="e">
        <f>V42</f>
        <v>#DIV/0!</v>
      </c>
      <c r="J42" s="2660"/>
      <c r="K42" s="1613"/>
      <c r="L42" s="2146"/>
      <c r="M42" s="2147"/>
      <c r="N42" s="2136"/>
      <c r="O42" s="2147"/>
      <c r="P42" s="3359" t="str">
        <f>A42</f>
        <v>比较价格（元/平方米）</v>
      </c>
      <c r="Q42" s="3359"/>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60"/>
      <c r="Y42" s="1560"/>
      <c r="Z42" s="1560"/>
      <c r="AA42" s="1560"/>
      <c r="AB42" s="1560"/>
      <c r="AC42" s="1560"/>
    </row>
    <row r="43" spans="1:29" ht="15.75" thickBot="1">
      <c r="A43" s="623" t="s">
        <v>2936</v>
      </c>
      <c r="B43" s="624"/>
      <c r="C43" s="2662" t="e">
        <f>R43</f>
        <v>#DIV/0!</v>
      </c>
      <c r="D43" s="2662"/>
      <c r="E43" s="2662"/>
      <c r="F43" s="2662"/>
      <c r="G43" s="2662"/>
      <c r="H43" s="2662"/>
      <c r="I43" s="2662"/>
      <c r="J43" s="2662"/>
      <c r="K43" s="1614"/>
      <c r="L43" s="2146"/>
      <c r="M43" s="2147"/>
      <c r="N43" s="2147"/>
      <c r="O43" s="2147"/>
      <c r="P43" s="3356" t="str">
        <f>A43</f>
        <v>估价对象XX用房的比较价格（楼面单价，元/平方米）</v>
      </c>
      <c r="Q43" s="3357"/>
      <c r="R43" s="3451" t="e">
        <f>IF(F1="售价",ROUND(AVERAGE(R42:V42),0),ROUND(AVERAGE(R42:V42),1))</f>
        <v>#DIV/0!</v>
      </c>
      <c r="S43" s="3451"/>
      <c r="T43" s="3451"/>
      <c r="U43" s="3451"/>
      <c r="V43" s="3451"/>
      <c r="W43" s="345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2018-1</v>
      </c>
      <c r="D52" s="2832">
        <f>EDATE(C52,-1)</f>
        <v>43070</v>
      </c>
      <c r="E52" s="2832">
        <f t="shared" ref="E52:O52" si="16">EDATE(D52,-1)</f>
        <v>43040</v>
      </c>
      <c r="F52" s="2832">
        <f t="shared" si="16"/>
        <v>43009</v>
      </c>
      <c r="G52" s="2832">
        <f t="shared" si="16"/>
        <v>42979</v>
      </c>
      <c r="H52" s="2832">
        <f t="shared" si="16"/>
        <v>42948</v>
      </c>
      <c r="I52" s="2832">
        <f t="shared" si="16"/>
        <v>42917</v>
      </c>
      <c r="J52" s="2832">
        <f t="shared" si="16"/>
        <v>42887</v>
      </c>
      <c r="K52" s="2832">
        <f t="shared" si="16"/>
        <v>42856</v>
      </c>
      <c r="L52" s="2832">
        <f t="shared" si="16"/>
        <v>42826</v>
      </c>
      <c r="M52" s="2832">
        <f t="shared" si="16"/>
        <v>42795</v>
      </c>
      <c r="N52" s="2832">
        <f t="shared" si="16"/>
        <v>42767</v>
      </c>
      <c r="O52" s="2832">
        <f t="shared" si="16"/>
        <v>42736</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2564</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2565</v>
      </c>
      <c r="C76" s="2624" t="s">
        <v>2566</v>
      </c>
      <c r="D76" s="2624" t="s">
        <v>2567</v>
      </c>
      <c r="E76" s="2624" t="s">
        <v>2568</v>
      </c>
      <c r="F76" s="2624" t="s">
        <v>2569</v>
      </c>
      <c r="G76" s="2624" t="s">
        <v>2570</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2563</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IF(B37="元/平方米",C39,ROUND(B2*10000/D3,0))</f>
        <v>#DIV/0!</v>
      </c>
      <c r="C3" s="854" t="s">
        <v>797</v>
      </c>
      <c r="D3" s="853">
        <f>SUMIF('数据-汇总表'!$C19:$C33,D1,'数据-汇总表'!$E19:$E33)</f>
        <v>0</v>
      </c>
      <c r="E3" s="1850" t="s">
        <v>2080</v>
      </c>
      <c r="F3" s="853">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5" t="s">
        <v>799</v>
      </c>
      <c r="D4" s="3366"/>
      <c r="E4" s="3365" t="s">
        <v>800</v>
      </c>
      <c r="F4" s="3366"/>
      <c r="G4" s="3365" t="s">
        <v>801</v>
      </c>
      <c r="H4" s="3366"/>
      <c r="I4" s="3365" t="s">
        <v>802</v>
      </c>
      <c r="J4" s="3366"/>
      <c r="K4" s="516" t="s">
        <v>803</v>
      </c>
      <c r="L4" s="2135"/>
      <c r="M4" s="2136"/>
      <c r="N4" s="2136"/>
      <c r="O4" s="2136"/>
      <c r="P4" s="3367" t="s">
        <v>804</v>
      </c>
      <c r="Q4" s="3368"/>
      <c r="R4" s="3373" t="s">
        <v>800</v>
      </c>
      <c r="S4" s="3374"/>
      <c r="T4" s="3373" t="s">
        <v>801</v>
      </c>
      <c r="U4" s="3374"/>
      <c r="V4" s="3360" t="s">
        <v>802</v>
      </c>
      <c r="W4" s="3360"/>
      <c r="X4" s="1568"/>
      <c r="Y4" s="3373" t="s">
        <v>804</v>
      </c>
      <c r="Z4" s="3374"/>
      <c r="AA4" s="3362" t="s">
        <v>800</v>
      </c>
      <c r="AB4" s="3363" t="s">
        <v>801</v>
      </c>
      <c r="AC4" s="3362" t="s">
        <v>802</v>
      </c>
    </row>
    <row r="5" spans="1:29" ht="15">
      <c r="A5" s="517"/>
      <c r="B5" s="518"/>
      <c r="C5" s="3383" t="s">
        <v>2930</v>
      </c>
      <c r="D5" s="3382"/>
      <c r="E5" s="3383" t="s">
        <v>2931</v>
      </c>
      <c r="F5" s="3382"/>
      <c r="G5" s="3383" t="s">
        <v>2932</v>
      </c>
      <c r="H5" s="3382"/>
      <c r="I5" s="3383" t="s">
        <v>2933</v>
      </c>
      <c r="J5" s="3382"/>
      <c r="K5" s="516"/>
      <c r="L5" s="2135"/>
      <c r="M5" s="2136"/>
      <c r="N5" s="2136"/>
      <c r="O5" s="2136"/>
      <c r="P5" s="3369"/>
      <c r="Q5" s="3370"/>
      <c r="R5" s="3375"/>
      <c r="S5" s="3376"/>
      <c r="T5" s="3375"/>
      <c r="U5" s="3376"/>
      <c r="V5" s="3360"/>
      <c r="W5" s="3360"/>
      <c r="X5" s="1568"/>
      <c r="Y5" s="3375"/>
      <c r="Z5" s="3376"/>
      <c r="AA5" s="3363"/>
      <c r="AB5" s="3363"/>
      <c r="AC5" s="3363"/>
    </row>
    <row r="6" spans="1:29" ht="15.75" thickBot="1">
      <c r="A6" s="519"/>
      <c r="B6" s="520"/>
      <c r="C6" s="3399" t="s">
        <v>2934</v>
      </c>
      <c r="D6" s="3380"/>
      <c r="E6" s="3384" t="s">
        <v>2934</v>
      </c>
      <c r="F6" s="3385"/>
      <c r="G6" s="3399" t="s">
        <v>2934</v>
      </c>
      <c r="H6" s="3380"/>
      <c r="I6" s="3399" t="s">
        <v>2934</v>
      </c>
      <c r="J6" s="3380"/>
      <c r="K6" s="516" t="s">
        <v>529</v>
      </c>
      <c r="L6" s="2135"/>
      <c r="M6" s="2136"/>
      <c r="N6" s="2136"/>
      <c r="O6" s="2136"/>
      <c r="P6" s="3371"/>
      <c r="Q6" s="3372"/>
      <c r="R6" s="3375"/>
      <c r="S6" s="3376"/>
      <c r="T6" s="3377"/>
      <c r="U6" s="3378"/>
      <c r="V6" s="3360"/>
      <c r="W6" s="3360"/>
      <c r="X6" s="1568"/>
      <c r="Y6" s="3377"/>
      <c r="Z6" s="3378"/>
      <c r="AA6" s="3364"/>
      <c r="AB6" s="3364"/>
      <c r="AC6" s="3364"/>
    </row>
    <row r="7" spans="1:29" s="1221" customFormat="1" ht="15.75" thickBot="1">
      <c r="A7" s="2940"/>
      <c r="B7" s="2947" t="s">
        <v>530</v>
      </c>
      <c r="C7" s="521">
        <f>'数据-取费表'!B2</f>
        <v>43123</v>
      </c>
      <c r="D7" s="522">
        <v>100</v>
      </c>
      <c r="E7" s="523"/>
      <c r="F7" s="524">
        <f>SUMIF(48:48,YEAR(E7)&amp;"-"&amp;MONTH(E7),49:49)</f>
        <v>0</v>
      </c>
      <c r="G7" s="525"/>
      <c r="H7" s="522">
        <f>SUMIF(48:48,YEAR(G7)&amp;"-"&amp;MONTH(G7),49:49)</f>
        <v>0</v>
      </c>
      <c r="I7" s="525"/>
      <c r="J7" s="522">
        <f>SUMIF(48:48,YEAR(I7)&amp;"-"&amp;MONTH(I7),49:49)</f>
        <v>0</v>
      </c>
      <c r="K7" s="526"/>
      <c r="L7" s="2137"/>
      <c r="M7" s="2138"/>
      <c r="N7" s="2138"/>
      <c r="O7" s="2138"/>
      <c r="P7" s="3392" t="s">
        <v>531</v>
      </c>
      <c r="Q7" s="3394"/>
      <c r="R7" s="1569" t="s">
        <v>8</v>
      </c>
      <c r="S7" s="1570">
        <f t="shared" ref="S7:S14" si="0">F7</f>
        <v>0</v>
      </c>
      <c r="T7" s="1569" t="s">
        <v>8</v>
      </c>
      <c r="U7" s="1570">
        <f t="shared" ref="U7:U14" si="1">H7</f>
        <v>0</v>
      </c>
      <c r="V7" s="1569" t="s">
        <v>8</v>
      </c>
      <c r="W7" s="1570">
        <f t="shared" ref="W7:W14" si="2">J7</f>
        <v>0</v>
      </c>
      <c r="X7" s="1571"/>
      <c r="Y7" s="3392" t="s">
        <v>531</v>
      </c>
      <c r="Z7" s="3393"/>
      <c r="AA7" s="1572" t="e">
        <f>D7/F7</f>
        <v>#DIV/0!</v>
      </c>
      <c r="AB7" s="1572" t="e">
        <f>D7/H7</f>
        <v>#DIV/0!</v>
      </c>
      <c r="AC7" s="1572"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392" t="s">
        <v>534</v>
      </c>
      <c r="Q8" s="3393"/>
      <c r="R8" s="1569" t="s">
        <v>8</v>
      </c>
      <c r="S8" s="1570">
        <f t="shared" si="0"/>
        <v>0</v>
      </c>
      <c r="T8" s="1569" t="s">
        <v>8</v>
      </c>
      <c r="U8" s="1570">
        <f t="shared" si="1"/>
        <v>0</v>
      </c>
      <c r="V8" s="1569" t="s">
        <v>8</v>
      </c>
      <c r="W8" s="1570">
        <f t="shared" si="2"/>
        <v>0</v>
      </c>
      <c r="X8" s="1571"/>
      <c r="Y8" s="3392" t="s">
        <v>534</v>
      </c>
      <c r="Z8" s="3393"/>
      <c r="AA8" s="1572" t="e">
        <f t="shared" ref="AA8:AA36" si="3">D8/F8</f>
        <v>#DIV/0!</v>
      </c>
      <c r="AB8" s="1572" t="e">
        <f t="shared" ref="AB8:AB36" si="4">D8/H8</f>
        <v>#DIV/0!</v>
      </c>
      <c r="AC8" s="1572" t="e">
        <f t="shared" ref="AC8:AC36" si="5">D8/J8</f>
        <v>#DIV/0!</v>
      </c>
    </row>
    <row r="9" spans="1:29" s="1221" customFormat="1" ht="15">
      <c r="A9" s="2942"/>
      <c r="B9" s="2949" t="s">
        <v>2765</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359" t="s">
        <v>536</v>
      </c>
      <c r="Q9" s="1152" t="str">
        <f t="shared" ref="Q9:Q14" si="6">B9</f>
        <v>用途</v>
      </c>
      <c r="R9" s="1569" t="s">
        <v>8</v>
      </c>
      <c r="S9" s="1570">
        <f t="shared" si="0"/>
        <v>100</v>
      </c>
      <c r="T9" s="1569" t="s">
        <v>8</v>
      </c>
      <c r="U9" s="1570">
        <f t="shared" si="1"/>
        <v>100</v>
      </c>
      <c r="V9" s="1569" t="s">
        <v>8</v>
      </c>
      <c r="W9" s="1570">
        <f t="shared" si="2"/>
        <v>100</v>
      </c>
      <c r="X9" s="1571"/>
      <c r="Y9" s="3305" t="s">
        <v>537</v>
      </c>
      <c r="Z9" s="1151" t="str">
        <f t="shared" ref="Z9:Z14" si="7">Q9</f>
        <v>用途</v>
      </c>
      <c r="AA9" s="1572">
        <f t="shared" si="3"/>
        <v>1</v>
      </c>
      <c r="AB9" s="1572">
        <f t="shared" si="4"/>
        <v>1</v>
      </c>
      <c r="AC9" s="1572">
        <f t="shared" si="5"/>
        <v>1</v>
      </c>
    </row>
    <row r="10" spans="1:29" s="1339" customFormat="1" ht="27">
      <c r="A10" s="2943"/>
      <c r="B10" s="2948" t="s">
        <v>2766</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
      <c r="A11" s="2945"/>
      <c r="B11" s="2950">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359"/>
      <c r="Q11" s="1152">
        <f t="shared" si="6"/>
        <v>111</v>
      </c>
      <c r="R11" s="1569" t="s">
        <v>8</v>
      </c>
      <c r="S11" s="1570">
        <f t="shared" si="0"/>
        <v>100</v>
      </c>
      <c r="T11" s="1569" t="s">
        <v>8</v>
      </c>
      <c r="U11" s="1570">
        <f t="shared" si="1"/>
        <v>100</v>
      </c>
      <c r="V11" s="1569" t="s">
        <v>8</v>
      </c>
      <c r="W11" s="1570">
        <f t="shared" si="2"/>
        <v>100</v>
      </c>
      <c r="X11" s="1571"/>
      <c r="Y11" s="3305"/>
      <c r="Z11" s="1151">
        <f t="shared" si="7"/>
        <v>111</v>
      </c>
      <c r="AA11" s="1572">
        <f t="shared" si="3"/>
        <v>1</v>
      </c>
      <c r="AB11" s="1572">
        <f t="shared" si="4"/>
        <v>1</v>
      </c>
      <c r="AC11" s="1572">
        <f t="shared" si="5"/>
        <v>1</v>
      </c>
    </row>
    <row r="12" spans="1:29" s="1221" customFormat="1" ht="15">
      <c r="A12" s="2945"/>
      <c r="B12" s="2950">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359"/>
      <c r="Q12" s="1152">
        <f t="shared" si="6"/>
        <v>111</v>
      </c>
      <c r="R12" s="1569" t="s">
        <v>8</v>
      </c>
      <c r="S12" s="1570">
        <f t="shared" si="0"/>
        <v>100</v>
      </c>
      <c r="T12" s="1569" t="s">
        <v>8</v>
      </c>
      <c r="U12" s="1570">
        <f t="shared" si="1"/>
        <v>100</v>
      </c>
      <c r="V12" s="1569" t="s">
        <v>8</v>
      </c>
      <c r="W12" s="1570">
        <f t="shared" si="2"/>
        <v>100</v>
      </c>
      <c r="X12" s="1571"/>
      <c r="Y12" s="3305"/>
      <c r="Z12" s="1151">
        <f t="shared" si="7"/>
        <v>111</v>
      </c>
      <c r="AA12" s="1572">
        <f>D12/F12</f>
        <v>1</v>
      </c>
      <c r="AB12" s="1572">
        <f>D12/H12</f>
        <v>1</v>
      </c>
      <c r="AC12" s="1572">
        <f>D12/J12</f>
        <v>1</v>
      </c>
    </row>
    <row r="13" spans="1:29" ht="15.75" thickBot="1">
      <c r="A13" s="2946"/>
      <c r="B13" s="2951">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359"/>
      <c r="Q13" s="1152">
        <f t="shared" si="6"/>
        <v>111</v>
      </c>
      <c r="R13" s="1569" t="s">
        <v>8</v>
      </c>
      <c r="S13" s="1570">
        <f t="shared" si="0"/>
        <v>100</v>
      </c>
      <c r="T13" s="1569" t="s">
        <v>8</v>
      </c>
      <c r="U13" s="1570">
        <f t="shared" si="1"/>
        <v>100</v>
      </c>
      <c r="V13" s="1569" t="s">
        <v>8</v>
      </c>
      <c r="W13" s="1570">
        <f t="shared" si="2"/>
        <v>100</v>
      </c>
      <c r="X13" s="1571"/>
      <c r="Y13" s="3305"/>
      <c r="Z13" s="1151">
        <f t="shared" si="7"/>
        <v>111</v>
      </c>
      <c r="AA13" s="1572">
        <f t="shared" si="3"/>
        <v>1</v>
      </c>
      <c r="AB13" s="1572">
        <f t="shared" si="4"/>
        <v>1</v>
      </c>
      <c r="AC13" s="1572">
        <f t="shared" si="5"/>
        <v>1</v>
      </c>
    </row>
    <row r="14" spans="1:29" ht="85.5">
      <c r="A14" s="2938" t="s">
        <v>2763</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395" t="s">
        <v>541</v>
      </c>
      <c r="Q14" s="1573" t="str">
        <f t="shared" si="6"/>
        <v>交通便捷度</v>
      </c>
      <c r="R14" s="1574" t="s">
        <v>8</v>
      </c>
      <c r="S14" s="1575">
        <f t="shared" si="0"/>
        <v>100</v>
      </c>
      <c r="T14" s="1574" t="s">
        <v>8</v>
      </c>
      <c r="U14" s="1575">
        <f t="shared" si="1"/>
        <v>100</v>
      </c>
      <c r="V14" s="1574" t="s">
        <v>8</v>
      </c>
      <c r="W14" s="1575">
        <f t="shared" si="2"/>
        <v>100</v>
      </c>
      <c r="X14" s="1568"/>
      <c r="Y14" s="3395" t="s">
        <v>541</v>
      </c>
      <c r="Z14" s="1576" t="str">
        <f t="shared" si="7"/>
        <v>交通便捷度</v>
      </c>
      <c r="AA14" s="1577">
        <f t="shared" si="3"/>
        <v>1</v>
      </c>
      <c r="AB14" s="1577">
        <f t="shared" si="4"/>
        <v>1</v>
      </c>
      <c r="AC14" s="1577">
        <f t="shared" si="5"/>
        <v>1</v>
      </c>
    </row>
    <row r="15" spans="1:29" ht="15">
      <c r="A15" s="517"/>
      <c r="B15" s="925"/>
      <c r="C15" s="578"/>
      <c r="D15" s="557"/>
      <c r="E15" s="578"/>
      <c r="F15" s="559"/>
      <c r="G15" s="578"/>
      <c r="H15" s="561"/>
      <c r="I15" s="578"/>
      <c r="J15" s="557"/>
      <c r="K15" s="900"/>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17"/>
      <c r="B16" s="2629" t="s">
        <v>2553</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7"/>
      <c r="B17" s="568"/>
      <c r="C17" s="875"/>
      <c r="D17" s="557"/>
      <c r="E17" s="578"/>
      <c r="F17" s="559"/>
      <c r="G17" s="578"/>
      <c r="H17" s="557"/>
      <c r="I17" s="578"/>
      <c r="J17" s="557"/>
      <c r="K17" s="900"/>
      <c r="L17" s="2144"/>
      <c r="M17" s="2136"/>
      <c r="N17" s="2136"/>
      <c r="O17" s="2143"/>
      <c r="P17" s="3396"/>
      <c r="Q17" s="1573"/>
      <c r="R17" s="1574"/>
      <c r="S17" s="1575"/>
      <c r="T17" s="1574"/>
      <c r="U17" s="1575"/>
      <c r="V17" s="1574"/>
      <c r="W17" s="1575"/>
      <c r="X17" s="1568"/>
      <c r="Y17" s="3396"/>
      <c r="Z17" s="1576"/>
      <c r="AA17" s="1577">
        <v>1</v>
      </c>
      <c r="AB17" s="1577">
        <v>1</v>
      </c>
      <c r="AC17" s="1577">
        <v>1</v>
      </c>
    </row>
    <row r="18" spans="1:29" ht="28.5">
      <c r="A18" s="517"/>
      <c r="B18" s="2617" t="s">
        <v>2565</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396"/>
      <c r="Q18" s="2605" t="str">
        <f>B18</f>
        <v>基础设施水平</v>
      </c>
      <c r="R18" s="1574" t="s">
        <v>8</v>
      </c>
      <c r="S18" s="1575">
        <f>F18</f>
        <v>100</v>
      </c>
      <c r="T18" s="1574" t="s">
        <v>8</v>
      </c>
      <c r="U18" s="1575">
        <f>H18</f>
        <v>100</v>
      </c>
      <c r="V18" s="1574" t="s">
        <v>8</v>
      </c>
      <c r="W18" s="1575">
        <f>J18</f>
        <v>100</v>
      </c>
      <c r="X18" s="2607"/>
      <c r="Y18" s="3396"/>
      <c r="Z18" s="2606" t="str">
        <f>Q18</f>
        <v>基础设施水平</v>
      </c>
      <c r="AA18" s="1577">
        <f t="shared" ref="AA18" si="8">D18/F18</f>
        <v>1</v>
      </c>
      <c r="AB18" s="1577">
        <f t="shared" ref="AB18" si="9">D18/H18</f>
        <v>1</v>
      </c>
      <c r="AC18" s="1577">
        <f t="shared" ref="AC18" si="10">D18/J18</f>
        <v>1</v>
      </c>
    </row>
    <row r="19" spans="1:29" ht="15">
      <c r="A19" s="517"/>
      <c r="B19" s="580"/>
      <c r="C19" s="875"/>
      <c r="D19" s="561"/>
      <c r="E19" s="578"/>
      <c r="F19" s="559"/>
      <c r="G19" s="578"/>
      <c r="H19" s="557"/>
      <c r="I19" s="578"/>
      <c r="J19" s="557"/>
      <c r="K19" s="2628"/>
      <c r="L19" s="2144"/>
      <c r="M19" s="2136"/>
      <c r="N19" s="2136"/>
      <c r="O19" s="2143"/>
      <c r="P19" s="3396"/>
      <c r="Q19" s="2605"/>
      <c r="R19" s="1574"/>
      <c r="S19" s="1575"/>
      <c r="T19" s="1574"/>
      <c r="U19" s="1575"/>
      <c r="V19" s="1574"/>
      <c r="W19" s="1575"/>
      <c r="X19" s="2607"/>
      <c r="Y19" s="3396"/>
      <c r="Z19" s="2606"/>
      <c r="AA19" s="1577">
        <v>1</v>
      </c>
      <c r="AB19" s="1577">
        <v>1</v>
      </c>
      <c r="AC19" s="1577">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7"/>
      <c r="B21" s="568"/>
      <c r="C21" s="578"/>
      <c r="D21" s="557"/>
      <c r="E21" s="578"/>
      <c r="F21" s="559"/>
      <c r="G21" s="578"/>
      <c r="H21" s="557"/>
      <c r="I21" s="578"/>
      <c r="J21" s="557"/>
      <c r="K21" s="900"/>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396"/>
      <c r="Q25" s="1152">
        <f t="shared" si="11"/>
        <v>111</v>
      </c>
      <c r="R25" s="1569" t="s">
        <v>8</v>
      </c>
      <c r="S25" s="1570">
        <f>F25</f>
        <v>100</v>
      </c>
      <c r="T25" s="1569" t="s">
        <v>8</v>
      </c>
      <c r="U25" s="1570">
        <f>H25</f>
        <v>100</v>
      </c>
      <c r="V25" s="1569" t="s">
        <v>8</v>
      </c>
      <c r="W25" s="1570">
        <f>J25</f>
        <v>100</v>
      </c>
      <c r="X25" s="1571"/>
      <c r="Y25" s="3396"/>
      <c r="Z25" s="1151">
        <f>Q25</f>
        <v>111</v>
      </c>
      <c r="AA25" s="1577">
        <f>D25/F25</f>
        <v>1</v>
      </c>
      <c r="AB25" s="1577">
        <f>D25/H25</f>
        <v>1</v>
      </c>
      <c r="AC25" s="1577">
        <f>D25/J25</f>
        <v>1</v>
      </c>
    </row>
    <row r="26" spans="1:29" ht="15">
      <c r="A26" s="2935" t="s">
        <v>2764</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397"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551</v>
      </c>
      <c r="Z26" s="1576" t="str">
        <f t="shared" ref="Z26:Z36" si="15">Q26</f>
        <v>配套类型</v>
      </c>
      <c r="AA26" s="1577">
        <f t="shared" si="3"/>
        <v>1</v>
      </c>
      <c r="AB26" s="1577">
        <f t="shared" si="4"/>
        <v>1</v>
      </c>
      <c r="AC26" s="1577">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398"/>
      <c r="Q31" s="1152" t="str">
        <f t="shared" si="11"/>
        <v>停车位面积</v>
      </c>
      <c r="R31" s="1569" t="s">
        <v>8</v>
      </c>
      <c r="S31" s="1570" t="e">
        <f t="shared" si="12"/>
        <v>#N/A</v>
      </c>
      <c r="T31" s="1569" t="s">
        <v>8</v>
      </c>
      <c r="U31" s="1570" t="e">
        <f t="shared" si="13"/>
        <v>#N/A</v>
      </c>
      <c r="V31" s="1569" t="s">
        <v>8</v>
      </c>
      <c r="W31" s="1570" t="e">
        <f t="shared" si="14"/>
        <v>#N/A</v>
      </c>
      <c r="X31" s="1571"/>
      <c r="Y31" s="3398"/>
      <c r="Z31" s="1151" t="str">
        <f t="shared" si="15"/>
        <v>停车位面积</v>
      </c>
      <c r="AA31" s="1572" t="e">
        <f t="shared" si="3"/>
        <v>#N/A</v>
      </c>
      <c r="AB31" s="1572" t="e">
        <f t="shared" si="4"/>
        <v>#N/A</v>
      </c>
      <c r="AC31" s="1572"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398" t="s">
        <v>551</v>
      </c>
      <c r="Q32" s="1573" t="str">
        <f t="shared" si="11"/>
        <v>车位类型</v>
      </c>
      <c r="R32" s="1574" t="s">
        <v>8</v>
      </c>
      <c r="S32" s="1575">
        <f t="shared" si="12"/>
        <v>100</v>
      </c>
      <c r="T32" s="1574" t="s">
        <v>8</v>
      </c>
      <c r="U32" s="1575">
        <f t="shared" si="13"/>
        <v>100</v>
      </c>
      <c r="V32" s="1574" t="s">
        <v>8</v>
      </c>
      <c r="W32" s="1575">
        <f t="shared" si="14"/>
        <v>100</v>
      </c>
      <c r="X32" s="1568"/>
      <c r="Y32" s="3398" t="s">
        <v>551</v>
      </c>
      <c r="Z32" s="1576" t="str">
        <f t="shared" si="15"/>
        <v>车位类型</v>
      </c>
      <c r="AA32" s="1577">
        <f t="shared" si="3"/>
        <v>1</v>
      </c>
      <c r="AB32" s="1577">
        <f t="shared" si="4"/>
        <v>1</v>
      </c>
      <c r="AC32" s="1577">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59" t="str">
        <f>A37</f>
        <v>成交单价</v>
      </c>
      <c r="Q37" s="3359"/>
      <c r="R37" s="3452">
        <f>E37</f>
        <v>0</v>
      </c>
      <c r="S37" s="3452"/>
      <c r="T37" s="3452">
        <f>G37</f>
        <v>0</v>
      </c>
      <c r="U37" s="3452"/>
      <c r="V37" s="3452">
        <f>I37</f>
        <v>0</v>
      </c>
      <c r="W37" s="3452"/>
      <c r="X37" s="1560"/>
      <c r="Y37" s="1582"/>
      <c r="Z37" s="1560"/>
      <c r="AA37" s="1560"/>
      <c r="AB37" s="1560"/>
      <c r="AC37" s="1560"/>
    </row>
    <row r="38" spans="1:29" ht="15.75" thickBot="1">
      <c r="A38" s="617" t="s">
        <v>2768</v>
      </c>
      <c r="B38" s="889"/>
      <c r="C38" s="2659" t="e">
        <f>R39</f>
        <v>#DIV/0!</v>
      </c>
      <c r="D38" s="2660"/>
      <c r="E38" s="2661" t="e">
        <f>R38</f>
        <v>#DIV/0!</v>
      </c>
      <c r="F38" s="2661"/>
      <c r="G38" s="2659" t="e">
        <f>T38</f>
        <v>#DIV/0!</v>
      </c>
      <c r="H38" s="2660"/>
      <c r="I38" s="2661" t="e">
        <f>V38</f>
        <v>#DIV/0!</v>
      </c>
      <c r="J38" s="2660"/>
      <c r="K38" s="1613"/>
      <c r="L38" s="2146"/>
      <c r="M38" s="2147"/>
      <c r="N38" s="2147"/>
      <c r="O38" s="2147"/>
      <c r="P38" s="3359" t="str">
        <f>A38</f>
        <v>比较价格（元/平方米）</v>
      </c>
      <c r="Q38" s="3359"/>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60"/>
      <c r="Y38" s="1560"/>
      <c r="Z38" s="1560"/>
      <c r="AA38" s="1560"/>
      <c r="AB38" s="1560"/>
      <c r="AC38" s="1560"/>
    </row>
    <row r="39" spans="1:29" ht="15.75" thickBot="1">
      <c r="A39" s="623" t="s">
        <v>2936</v>
      </c>
      <c r="B39" s="624"/>
      <c r="C39" s="2662" t="e">
        <f>R39</f>
        <v>#DIV/0!</v>
      </c>
      <c r="D39" s="2662"/>
      <c r="E39" s="2662"/>
      <c r="F39" s="2662"/>
      <c r="G39" s="2662"/>
      <c r="H39" s="2662"/>
      <c r="I39" s="2662"/>
      <c r="J39" s="2662"/>
      <c r="K39" s="1614"/>
      <c r="L39" s="2146"/>
      <c r="M39" s="2147"/>
      <c r="N39" s="2147"/>
      <c r="O39" s="2147"/>
      <c r="P39" s="3356" t="str">
        <f>A39</f>
        <v>估价对象XX用房的比较价格（楼面单价，元/平方米）</v>
      </c>
      <c r="Q39" s="3357"/>
      <c r="R39" s="3451" t="e">
        <f>IF(F1="售价",ROUND(AVERAGE(R38:V38),0),ROUND(AVERAGE(R38:V38),1))</f>
        <v>#DIV/0!</v>
      </c>
      <c r="S39" s="3451"/>
      <c r="T39" s="3451"/>
      <c r="U39" s="3451"/>
      <c r="V39" s="3451"/>
      <c r="W39" s="345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2018-1</v>
      </c>
      <c r="D48" s="2832">
        <f>EDATE(C48,-1)</f>
        <v>43070</v>
      </c>
      <c r="E48" s="2832">
        <f t="shared" ref="E48:O48" si="16">EDATE(D48,-1)</f>
        <v>43040</v>
      </c>
      <c r="F48" s="2832">
        <f t="shared" si="16"/>
        <v>43009</v>
      </c>
      <c r="G48" s="2832">
        <f t="shared" si="16"/>
        <v>42979</v>
      </c>
      <c r="H48" s="2832">
        <f t="shared" si="16"/>
        <v>42948</v>
      </c>
      <c r="I48" s="2832">
        <f t="shared" si="16"/>
        <v>42917</v>
      </c>
      <c r="J48" s="2832">
        <f t="shared" si="16"/>
        <v>42887</v>
      </c>
      <c r="K48" s="2832">
        <f t="shared" si="16"/>
        <v>42856</v>
      </c>
      <c r="L48" s="2832">
        <f t="shared" si="16"/>
        <v>42826</v>
      </c>
      <c r="M48" s="2832">
        <f t="shared" si="16"/>
        <v>42795</v>
      </c>
      <c r="N48" s="2832">
        <f t="shared" si="16"/>
        <v>42767</v>
      </c>
      <c r="O48" s="2832">
        <f t="shared" si="16"/>
        <v>42736</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2564</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2565</v>
      </c>
      <c r="C67" s="2624" t="s">
        <v>2566</v>
      </c>
      <c r="D67" s="2624" t="s">
        <v>2567</v>
      </c>
      <c r="E67" s="2624" t="s">
        <v>2568</v>
      </c>
      <c r="F67" s="2624" t="s">
        <v>2569</v>
      </c>
      <c r="G67" s="2624" t="s">
        <v>2570</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5" t="s">
        <v>799</v>
      </c>
      <c r="D4" s="3366"/>
      <c r="E4" s="3402" t="s">
        <v>800</v>
      </c>
      <c r="F4" s="3403"/>
      <c r="G4" s="3365" t="s">
        <v>801</v>
      </c>
      <c r="H4" s="3366"/>
      <c r="I4" s="3365" t="s">
        <v>802</v>
      </c>
      <c r="J4" s="3366"/>
      <c r="K4" s="516" t="s">
        <v>803</v>
      </c>
      <c r="L4" s="2135"/>
      <c r="M4" s="2136"/>
      <c r="N4" s="2136"/>
      <c r="O4" s="2136"/>
      <c r="P4" s="3367" t="s">
        <v>804</v>
      </c>
      <c r="Q4" s="3368"/>
      <c r="R4" s="3373" t="s">
        <v>800</v>
      </c>
      <c r="S4" s="3374"/>
      <c r="T4" s="3373" t="s">
        <v>801</v>
      </c>
      <c r="U4" s="3374"/>
      <c r="V4" s="3360" t="s">
        <v>802</v>
      </c>
      <c r="W4" s="3360"/>
      <c r="X4" s="1568"/>
      <c r="Y4" s="3373" t="s">
        <v>804</v>
      </c>
      <c r="Z4" s="3374"/>
      <c r="AA4" s="3362" t="s">
        <v>800</v>
      </c>
      <c r="AB4" s="3363" t="s">
        <v>801</v>
      </c>
      <c r="AC4" s="3362" t="s">
        <v>802</v>
      </c>
    </row>
    <row r="5" spans="1:29" ht="15">
      <c r="A5" s="517"/>
      <c r="B5" s="518"/>
      <c r="C5" s="3383" t="s">
        <v>2930</v>
      </c>
      <c r="D5" s="3382"/>
      <c r="E5" s="3404" t="s">
        <v>2931</v>
      </c>
      <c r="F5" s="3405"/>
      <c r="G5" s="3383" t="s">
        <v>2932</v>
      </c>
      <c r="H5" s="3382"/>
      <c r="I5" s="3383" t="s">
        <v>2933</v>
      </c>
      <c r="J5" s="3382"/>
      <c r="K5" s="516"/>
      <c r="L5" s="2135"/>
      <c r="M5" s="2136"/>
      <c r="N5" s="2136"/>
      <c r="O5" s="2136"/>
      <c r="P5" s="3369"/>
      <c r="Q5" s="3370"/>
      <c r="R5" s="3375"/>
      <c r="S5" s="3376"/>
      <c r="T5" s="3375"/>
      <c r="U5" s="3376"/>
      <c r="V5" s="3360"/>
      <c r="W5" s="3360"/>
      <c r="X5" s="1568"/>
      <c r="Y5" s="3375"/>
      <c r="Z5" s="3376"/>
      <c r="AA5" s="3363"/>
      <c r="AB5" s="3363"/>
      <c r="AC5" s="3363"/>
    </row>
    <row r="6" spans="1:29" ht="15.75" thickBot="1">
      <c r="A6" s="519"/>
      <c r="B6" s="520"/>
      <c r="C6" s="3399" t="s">
        <v>2934</v>
      </c>
      <c r="D6" s="3380"/>
      <c r="E6" s="3400" t="s">
        <v>2934</v>
      </c>
      <c r="F6" s="3401"/>
      <c r="G6" s="3399" t="s">
        <v>2934</v>
      </c>
      <c r="H6" s="3380"/>
      <c r="I6" s="3399" t="s">
        <v>2934</v>
      </c>
      <c r="J6" s="3380"/>
      <c r="K6" s="516" t="s">
        <v>529</v>
      </c>
      <c r="L6" s="2135"/>
      <c r="M6" s="2136"/>
      <c r="N6" s="2136"/>
      <c r="O6" s="2136"/>
      <c r="P6" s="3371"/>
      <c r="Q6" s="3372"/>
      <c r="R6" s="3375"/>
      <c r="S6" s="3376"/>
      <c r="T6" s="3377"/>
      <c r="U6" s="3378"/>
      <c r="V6" s="3360"/>
      <c r="W6" s="3360"/>
      <c r="X6" s="1568"/>
      <c r="Y6" s="3377"/>
      <c r="Z6" s="3378"/>
      <c r="AA6" s="3364"/>
      <c r="AB6" s="3364"/>
      <c r="AC6" s="3364"/>
    </row>
    <row r="7" spans="1:29" s="1221" customFormat="1" ht="15.75" thickBot="1">
      <c r="A7" s="2940"/>
      <c r="B7" s="2947" t="s">
        <v>530</v>
      </c>
      <c r="C7" s="521">
        <f>'数据-取费表'!B2</f>
        <v>43123</v>
      </c>
      <c r="D7" s="522">
        <v>100</v>
      </c>
      <c r="E7" s="523"/>
      <c r="F7" s="524">
        <f>SUMIF(46:46,YEAR(E7)&amp;"-"&amp;MONTH(E7),47:47)</f>
        <v>0</v>
      </c>
      <c r="G7" s="525"/>
      <c r="H7" s="522">
        <f>SUMIF(46:46,YEAR(G7)&amp;"-"&amp;MONTH(G7),47:47)</f>
        <v>0</v>
      </c>
      <c r="I7" s="525"/>
      <c r="J7" s="522">
        <f>SUMIF(46:46,YEAR(I7)&amp;"-"&amp;MONTH(I7),47:47)</f>
        <v>0</v>
      </c>
      <c r="K7" s="526"/>
      <c r="L7" s="2137"/>
      <c r="M7" s="2138"/>
      <c r="N7" s="2138"/>
      <c r="O7" s="2138"/>
      <c r="P7" s="3392" t="s">
        <v>531</v>
      </c>
      <c r="Q7" s="3394"/>
      <c r="R7" s="1569" t="s">
        <v>8</v>
      </c>
      <c r="S7" s="1570">
        <f t="shared" ref="S7:S14" si="0">F7</f>
        <v>0</v>
      </c>
      <c r="T7" s="1569" t="s">
        <v>8</v>
      </c>
      <c r="U7" s="1570">
        <f t="shared" ref="U7:U14" si="1">H7</f>
        <v>0</v>
      </c>
      <c r="V7" s="1569" t="s">
        <v>8</v>
      </c>
      <c r="W7" s="1570">
        <f t="shared" ref="W7:W14" si="2">J7</f>
        <v>0</v>
      </c>
      <c r="X7" s="1571"/>
      <c r="Y7" s="3392" t="s">
        <v>531</v>
      </c>
      <c r="Z7" s="3393"/>
      <c r="AA7" s="1572" t="e">
        <f>D7/F7</f>
        <v>#DIV/0!</v>
      </c>
      <c r="AB7" s="1572" t="e">
        <f>D7/H7</f>
        <v>#DIV/0!</v>
      </c>
      <c r="AC7" s="1572"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392" t="s">
        <v>534</v>
      </c>
      <c r="Q8" s="3393"/>
      <c r="R8" s="1569" t="s">
        <v>8</v>
      </c>
      <c r="S8" s="1570">
        <f t="shared" si="0"/>
        <v>0</v>
      </c>
      <c r="T8" s="1569" t="s">
        <v>8</v>
      </c>
      <c r="U8" s="1570">
        <f t="shared" si="1"/>
        <v>0</v>
      </c>
      <c r="V8" s="1569" t="s">
        <v>8</v>
      </c>
      <c r="W8" s="1570">
        <f t="shared" si="2"/>
        <v>0</v>
      </c>
      <c r="X8" s="1571"/>
      <c r="Y8" s="3392" t="s">
        <v>534</v>
      </c>
      <c r="Z8" s="3393"/>
      <c r="AA8" s="1572" t="e">
        <f t="shared" ref="AA8:AA34" si="3">D8/F8</f>
        <v>#DIV/0!</v>
      </c>
      <c r="AB8" s="1572" t="e">
        <f t="shared" ref="AB8:AB34" si="4">D8/H8</f>
        <v>#DIV/0!</v>
      </c>
      <c r="AC8" s="1572" t="e">
        <f t="shared" ref="AC8:AC34" si="5">D8/J8</f>
        <v>#DIV/0!</v>
      </c>
    </row>
    <row r="9" spans="1:29" s="1221" customFormat="1" ht="15">
      <c r="A9" s="2942"/>
      <c r="B9" s="2949" t="s">
        <v>2765</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359" t="s">
        <v>536</v>
      </c>
      <c r="Q9" s="1152" t="str">
        <f t="shared" ref="Q9:Q14" si="6">B9</f>
        <v>用途</v>
      </c>
      <c r="R9" s="1569" t="s">
        <v>8</v>
      </c>
      <c r="S9" s="1570">
        <f t="shared" si="0"/>
        <v>100</v>
      </c>
      <c r="T9" s="1569" t="s">
        <v>8</v>
      </c>
      <c r="U9" s="1570">
        <f t="shared" si="1"/>
        <v>100</v>
      </c>
      <c r="V9" s="1569" t="s">
        <v>8</v>
      </c>
      <c r="W9" s="1570">
        <f t="shared" si="2"/>
        <v>100</v>
      </c>
      <c r="X9" s="1571"/>
      <c r="Y9" s="3305" t="s">
        <v>537</v>
      </c>
      <c r="Z9" s="1151" t="str">
        <f t="shared" ref="Z9:Z14" si="7">Q9</f>
        <v>用途</v>
      </c>
      <c r="AA9" s="1572">
        <f t="shared" si="3"/>
        <v>1</v>
      </c>
      <c r="AB9" s="1572">
        <f t="shared" si="4"/>
        <v>1</v>
      </c>
      <c r="AC9" s="1572">
        <f t="shared" si="5"/>
        <v>1</v>
      </c>
    </row>
    <row r="10" spans="1:29" s="1339" customFormat="1" ht="27">
      <c r="A10" s="2943"/>
      <c r="B10" s="2948" t="s">
        <v>2766</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359"/>
      <c r="Q10" s="1152" t="str">
        <f t="shared" si="6"/>
        <v>土地使用年限（年）</v>
      </c>
      <c r="R10" s="1569" t="s">
        <v>8</v>
      </c>
      <c r="S10" s="1570">
        <f t="shared" si="0"/>
        <v>100</v>
      </c>
      <c r="T10" s="1569" t="s">
        <v>8</v>
      </c>
      <c r="U10" s="1570">
        <f t="shared" si="1"/>
        <v>100</v>
      </c>
      <c r="V10" s="1569" t="s">
        <v>8</v>
      </c>
      <c r="W10" s="1570">
        <f t="shared" si="2"/>
        <v>100</v>
      </c>
      <c r="X10" s="1571"/>
      <c r="Y10" s="3305"/>
      <c r="Z10" s="1151" t="str">
        <f t="shared" si="7"/>
        <v>土地使用年限（年）</v>
      </c>
      <c r="AA10" s="1572">
        <f t="shared" si="3"/>
        <v>1</v>
      </c>
      <c r="AB10" s="1572">
        <f t="shared" si="4"/>
        <v>1</v>
      </c>
      <c r="AC10" s="1572">
        <f t="shared" si="5"/>
        <v>1</v>
      </c>
    </row>
    <row r="11" spans="1:29" ht="15">
      <c r="A11" s="2945"/>
      <c r="B11" s="2950">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359"/>
      <c r="Q11" s="1152">
        <f t="shared" si="6"/>
        <v>111</v>
      </c>
      <c r="R11" s="1569" t="s">
        <v>8</v>
      </c>
      <c r="S11" s="1570">
        <f t="shared" si="0"/>
        <v>100</v>
      </c>
      <c r="T11" s="1569" t="s">
        <v>8</v>
      </c>
      <c r="U11" s="1570">
        <f t="shared" si="1"/>
        <v>100</v>
      </c>
      <c r="V11" s="1569" t="s">
        <v>8</v>
      </c>
      <c r="W11" s="1570">
        <f t="shared" si="2"/>
        <v>100</v>
      </c>
      <c r="X11" s="1571"/>
      <c r="Y11" s="3305"/>
      <c r="Z11" s="1151">
        <f t="shared" si="7"/>
        <v>111</v>
      </c>
      <c r="AA11" s="1572">
        <f t="shared" si="3"/>
        <v>1</v>
      </c>
      <c r="AB11" s="1572">
        <f t="shared" si="4"/>
        <v>1</v>
      </c>
      <c r="AC11" s="1572">
        <f t="shared" si="5"/>
        <v>1</v>
      </c>
    </row>
    <row r="12" spans="1:29" s="1221" customFormat="1" ht="15">
      <c r="A12" s="2945"/>
      <c r="B12" s="2950">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359"/>
      <c r="Q12" s="1152">
        <f t="shared" si="6"/>
        <v>111</v>
      </c>
      <c r="R12" s="1569" t="s">
        <v>8</v>
      </c>
      <c r="S12" s="1570">
        <f t="shared" si="0"/>
        <v>100</v>
      </c>
      <c r="T12" s="1569" t="s">
        <v>8</v>
      </c>
      <c r="U12" s="1570">
        <f t="shared" si="1"/>
        <v>100</v>
      </c>
      <c r="V12" s="1569" t="s">
        <v>8</v>
      </c>
      <c r="W12" s="1570">
        <f t="shared" si="2"/>
        <v>100</v>
      </c>
      <c r="X12" s="1571"/>
      <c r="Y12" s="3305"/>
      <c r="Z12" s="1151">
        <f t="shared" si="7"/>
        <v>111</v>
      </c>
      <c r="AA12" s="1572">
        <f>D12/F12</f>
        <v>1</v>
      </c>
      <c r="AB12" s="1572">
        <f>D12/H12</f>
        <v>1</v>
      </c>
      <c r="AC12" s="1572">
        <f>D12/J12</f>
        <v>1</v>
      </c>
    </row>
    <row r="13" spans="1:29" ht="15.75" thickBot="1">
      <c r="A13" s="2946"/>
      <c r="B13" s="2951">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359"/>
      <c r="Q13" s="1152">
        <f t="shared" si="6"/>
        <v>111</v>
      </c>
      <c r="R13" s="1569" t="s">
        <v>8</v>
      </c>
      <c r="S13" s="1570">
        <f t="shared" si="0"/>
        <v>100</v>
      </c>
      <c r="T13" s="1569" t="s">
        <v>8</v>
      </c>
      <c r="U13" s="1570">
        <f t="shared" si="1"/>
        <v>100</v>
      </c>
      <c r="V13" s="1569" t="s">
        <v>8</v>
      </c>
      <c r="W13" s="1570">
        <f t="shared" si="2"/>
        <v>100</v>
      </c>
      <c r="X13" s="1571"/>
      <c r="Y13" s="3305"/>
      <c r="Z13" s="1151">
        <f t="shared" si="7"/>
        <v>111</v>
      </c>
      <c r="AA13" s="1572">
        <f t="shared" si="3"/>
        <v>1</v>
      </c>
      <c r="AB13" s="1572">
        <f t="shared" si="4"/>
        <v>1</v>
      </c>
      <c r="AC13" s="1572">
        <f t="shared" si="5"/>
        <v>1</v>
      </c>
    </row>
    <row r="14" spans="1:29" ht="85.5">
      <c r="A14" s="2938" t="s">
        <v>2763</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395" t="s">
        <v>541</v>
      </c>
      <c r="Q14" s="1573" t="str">
        <f t="shared" si="6"/>
        <v>交通便捷度</v>
      </c>
      <c r="R14" s="1574" t="s">
        <v>8</v>
      </c>
      <c r="S14" s="1575">
        <f t="shared" si="0"/>
        <v>100</v>
      </c>
      <c r="T14" s="1574" t="s">
        <v>8</v>
      </c>
      <c r="U14" s="1575">
        <f t="shared" si="1"/>
        <v>100</v>
      </c>
      <c r="V14" s="1574" t="s">
        <v>8</v>
      </c>
      <c r="W14" s="1575">
        <f t="shared" si="2"/>
        <v>100</v>
      </c>
      <c r="X14" s="1568"/>
      <c r="Y14" s="3395" t="s">
        <v>541</v>
      </c>
      <c r="Z14" s="1576" t="str">
        <f t="shared" si="7"/>
        <v>交通便捷度</v>
      </c>
      <c r="AA14" s="1577">
        <f t="shared" si="3"/>
        <v>1</v>
      </c>
      <c r="AB14" s="1577">
        <f t="shared" si="4"/>
        <v>1</v>
      </c>
      <c r="AC14" s="1577">
        <f t="shared" si="5"/>
        <v>1</v>
      </c>
    </row>
    <row r="15" spans="1:29" ht="15">
      <c r="A15" s="534"/>
      <c r="B15" s="871"/>
      <c r="C15" s="578"/>
      <c r="D15" s="557"/>
      <c r="E15" s="578"/>
      <c r="F15" s="559"/>
      <c r="G15" s="578"/>
      <c r="H15" s="561"/>
      <c r="I15" s="578"/>
      <c r="J15" s="557"/>
      <c r="K15" s="900"/>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34"/>
      <c r="B16" s="2629" t="s">
        <v>2553</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4"/>
      <c r="B17" s="568"/>
      <c r="C17" s="875"/>
      <c r="D17" s="557"/>
      <c r="E17" s="578"/>
      <c r="F17" s="559"/>
      <c r="G17" s="578"/>
      <c r="H17" s="557"/>
      <c r="I17" s="578"/>
      <c r="J17" s="557"/>
      <c r="K17" s="900"/>
      <c r="L17" s="2144"/>
      <c r="M17" s="2136"/>
      <c r="N17" s="2136"/>
      <c r="O17" s="2143"/>
      <c r="P17" s="3396"/>
      <c r="Q17" s="1573"/>
      <c r="R17" s="1574"/>
      <c r="S17" s="1575"/>
      <c r="T17" s="1574"/>
      <c r="U17" s="1575"/>
      <c r="V17" s="1574"/>
      <c r="W17" s="1575"/>
      <c r="X17" s="1568"/>
      <c r="Y17" s="3396"/>
      <c r="Z17" s="1576"/>
      <c r="AA17" s="1577">
        <v>1</v>
      </c>
      <c r="AB17" s="1577">
        <v>1</v>
      </c>
      <c r="AC17" s="1577">
        <v>1</v>
      </c>
    </row>
    <row r="18" spans="1:29" ht="28.5">
      <c r="A18" s="534"/>
      <c r="B18" s="2617" t="s">
        <v>2565</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396"/>
      <c r="Q18" s="2605" t="str">
        <f>B18</f>
        <v>基础设施水平</v>
      </c>
      <c r="R18" s="1574" t="s">
        <v>8</v>
      </c>
      <c r="S18" s="1575">
        <f>F18</f>
        <v>100</v>
      </c>
      <c r="T18" s="1574" t="s">
        <v>8</v>
      </c>
      <c r="U18" s="1575">
        <f>H18</f>
        <v>100</v>
      </c>
      <c r="V18" s="1574" t="s">
        <v>8</v>
      </c>
      <c r="W18" s="1575">
        <f>J18</f>
        <v>100</v>
      </c>
      <c r="X18" s="2607"/>
      <c r="Y18" s="3396"/>
      <c r="Z18" s="2606" t="str">
        <f>Q18</f>
        <v>基础设施水平</v>
      </c>
      <c r="AA18" s="1577">
        <f t="shared" ref="AA18" si="8">D18/F18</f>
        <v>1</v>
      </c>
      <c r="AB18" s="1577">
        <f t="shared" ref="AB18" si="9">D18/H18</f>
        <v>1</v>
      </c>
      <c r="AC18" s="1577">
        <f t="shared" ref="AC18" si="10">D18/J18</f>
        <v>1</v>
      </c>
    </row>
    <row r="19" spans="1:29" ht="15">
      <c r="A19" s="534"/>
      <c r="B19" s="580"/>
      <c r="C19" s="875"/>
      <c r="D19" s="561"/>
      <c r="E19" s="875"/>
      <c r="F19" s="565"/>
      <c r="G19" s="875"/>
      <c r="H19" s="557"/>
      <c r="I19" s="578"/>
      <c r="J19" s="557"/>
      <c r="K19" s="2628"/>
      <c r="L19" s="2144"/>
      <c r="M19" s="2136"/>
      <c r="N19" s="2136"/>
      <c r="O19" s="2143"/>
      <c r="P19" s="3396"/>
      <c r="Q19" s="2605"/>
      <c r="R19" s="1574"/>
      <c r="S19" s="1575"/>
      <c r="T19" s="1574"/>
      <c r="U19" s="1575"/>
      <c r="V19" s="1574"/>
      <c r="W19" s="1575"/>
      <c r="X19" s="2607"/>
      <c r="Y19" s="3396"/>
      <c r="Z19" s="2606"/>
      <c r="AA19" s="1577">
        <v>1</v>
      </c>
      <c r="AB19" s="1577">
        <v>1</v>
      </c>
      <c r="AC19" s="1577">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4"/>
      <c r="B21" s="597"/>
      <c r="C21" s="578"/>
      <c r="D21" s="557"/>
      <c r="E21" s="578"/>
      <c r="F21" s="559"/>
      <c r="G21" s="578"/>
      <c r="H21" s="557"/>
      <c r="I21" s="578"/>
      <c r="J21" s="557"/>
      <c r="K21" s="900"/>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396"/>
      <c r="Q25" s="1152">
        <f t="shared" si="11"/>
        <v>111</v>
      </c>
      <c r="R25" s="1569" t="s">
        <v>8</v>
      </c>
      <c r="S25" s="1570">
        <f>F25</f>
        <v>100</v>
      </c>
      <c r="T25" s="1569" t="s">
        <v>8</v>
      </c>
      <c r="U25" s="1570">
        <f>H25</f>
        <v>100</v>
      </c>
      <c r="V25" s="1569" t="s">
        <v>8</v>
      </c>
      <c r="W25" s="1570">
        <f>J25</f>
        <v>100</v>
      </c>
      <c r="X25" s="1571"/>
      <c r="Y25" s="3396"/>
      <c r="Z25" s="1151">
        <f>Q25</f>
        <v>111</v>
      </c>
      <c r="AA25" s="1577">
        <f>D25/F25</f>
        <v>1</v>
      </c>
      <c r="AB25" s="1577">
        <f>D25/H25</f>
        <v>1</v>
      </c>
      <c r="AC25" s="1577">
        <f>D25/J25</f>
        <v>1</v>
      </c>
    </row>
    <row r="26" spans="1:29" ht="15">
      <c r="A26" s="2935" t="s">
        <v>2764</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397"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822</v>
      </c>
      <c r="Z26" s="1576" t="str">
        <f t="shared" ref="Z26:Z34" si="15">Q26</f>
        <v>公共部分装修</v>
      </c>
      <c r="AA26" s="1577">
        <f t="shared" si="3"/>
        <v>1</v>
      </c>
      <c r="AB26" s="1577">
        <f t="shared" si="4"/>
        <v>1</v>
      </c>
      <c r="AC26" s="1577">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398"/>
      <c r="Q31" s="1152" t="str">
        <f t="shared" si="11"/>
        <v>是否封闭</v>
      </c>
      <c r="R31" s="1569" t="s">
        <v>8</v>
      </c>
      <c r="S31" s="1570">
        <f t="shared" si="12"/>
        <v>100</v>
      </c>
      <c r="T31" s="1569" t="s">
        <v>8</v>
      </c>
      <c r="U31" s="1570">
        <f t="shared" si="13"/>
        <v>100</v>
      </c>
      <c r="V31" s="1569" t="s">
        <v>8</v>
      </c>
      <c r="W31" s="1570">
        <f t="shared" si="14"/>
        <v>100</v>
      </c>
      <c r="X31" s="1571"/>
      <c r="Y31" s="3398"/>
      <c r="Z31" s="1151" t="str">
        <f t="shared" si="15"/>
        <v>是否封闭</v>
      </c>
      <c r="AA31" s="1572">
        <f t="shared" si="3"/>
        <v>1</v>
      </c>
      <c r="AB31" s="1572">
        <f t="shared" si="4"/>
        <v>1</v>
      </c>
      <c r="AC31" s="1572">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398" t="s">
        <v>551</v>
      </c>
      <c r="Q32" s="1573">
        <f t="shared" si="11"/>
        <v>111</v>
      </c>
      <c r="R32" s="1574" t="s">
        <v>8</v>
      </c>
      <c r="S32" s="1575">
        <f t="shared" si="12"/>
        <v>100</v>
      </c>
      <c r="T32" s="1574" t="s">
        <v>8</v>
      </c>
      <c r="U32" s="1575">
        <f t="shared" si="13"/>
        <v>100</v>
      </c>
      <c r="V32" s="1574" t="s">
        <v>8</v>
      </c>
      <c r="W32" s="1575">
        <f t="shared" si="14"/>
        <v>100</v>
      </c>
      <c r="X32" s="1568"/>
      <c r="Y32" s="3398" t="s">
        <v>551</v>
      </c>
      <c r="Z32" s="1576">
        <f t="shared" si="15"/>
        <v>111</v>
      </c>
      <c r="AA32" s="1577">
        <f t="shared" si="3"/>
        <v>1</v>
      </c>
      <c r="AB32" s="1577">
        <f t="shared" si="4"/>
        <v>1</v>
      </c>
      <c r="AC32" s="1577">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9" t="s">
        <v>737</v>
      </c>
      <c r="B35" s="888"/>
      <c r="C35" s="2653" t="s">
        <v>1</v>
      </c>
      <c r="D35" s="2654"/>
      <c r="E35" s="2655"/>
      <c r="F35" s="2656"/>
      <c r="G35" s="2657"/>
      <c r="H35" s="2658"/>
      <c r="I35" s="2655"/>
      <c r="J35" s="2658"/>
      <c r="K35" s="1612"/>
      <c r="L35" s="2146"/>
      <c r="M35" s="2147"/>
      <c r="N35" s="2136"/>
      <c r="O35" s="2147"/>
      <c r="P35" s="3359" t="str">
        <f>A35</f>
        <v>成交单价（元/平方米）</v>
      </c>
      <c r="Q35" s="3359"/>
      <c r="R35" s="3452">
        <f>E35</f>
        <v>0</v>
      </c>
      <c r="S35" s="3452"/>
      <c r="T35" s="3452">
        <f>G35</f>
        <v>0</v>
      </c>
      <c r="U35" s="3452"/>
      <c r="V35" s="3452">
        <f>I35</f>
        <v>0</v>
      </c>
      <c r="W35" s="3452"/>
      <c r="X35" s="1560"/>
      <c r="Y35" s="1582"/>
      <c r="Z35" s="1560"/>
      <c r="AA35" s="1560"/>
      <c r="AB35" s="1560"/>
      <c r="AC35" s="1560"/>
    </row>
    <row r="36" spans="1:29" ht="15.75" thickBot="1">
      <c r="A36" s="617" t="s">
        <v>2768</v>
      </c>
      <c r="B36" s="889"/>
      <c r="C36" s="2659" t="e">
        <f>R37</f>
        <v>#DIV/0!</v>
      </c>
      <c r="D36" s="2660"/>
      <c r="E36" s="2661" t="e">
        <f>R36</f>
        <v>#DIV/0!</v>
      </c>
      <c r="F36" s="2661"/>
      <c r="G36" s="2659" t="e">
        <f>T36</f>
        <v>#DIV/0!</v>
      </c>
      <c r="H36" s="2660"/>
      <c r="I36" s="2661" t="e">
        <f>V36</f>
        <v>#DIV/0!</v>
      </c>
      <c r="J36" s="2660"/>
      <c r="K36" s="1613"/>
      <c r="L36" s="2146"/>
      <c r="M36" s="2147"/>
      <c r="N36" s="2136"/>
      <c r="O36" s="2147"/>
      <c r="P36" s="3359" t="str">
        <f>A36</f>
        <v>比较价格（元/平方米）</v>
      </c>
      <c r="Q36" s="3359"/>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60"/>
      <c r="Y36" s="1560"/>
      <c r="Z36" s="1560"/>
      <c r="AA36" s="1560"/>
      <c r="AB36" s="1560"/>
      <c r="AC36" s="1560"/>
    </row>
    <row r="37" spans="1:29" ht="15.75" thickBot="1">
      <c r="A37" s="623" t="s">
        <v>2936</v>
      </c>
      <c r="B37" s="624"/>
      <c r="C37" s="2662" t="e">
        <f>R37</f>
        <v>#DIV/0!</v>
      </c>
      <c r="D37" s="2662"/>
      <c r="E37" s="2662"/>
      <c r="F37" s="2662"/>
      <c r="G37" s="2662"/>
      <c r="H37" s="2662"/>
      <c r="I37" s="2662"/>
      <c r="J37" s="2662"/>
      <c r="K37" s="1614"/>
      <c r="L37" s="2146"/>
      <c r="M37" s="2147"/>
      <c r="N37" s="2147"/>
      <c r="O37" s="2147"/>
      <c r="P37" s="3356" t="str">
        <f>A37</f>
        <v>估价对象XX用房的比较价格（楼面单价，元/平方米）</v>
      </c>
      <c r="Q37" s="3357"/>
      <c r="R37" s="3451" t="e">
        <f>IF(F1="售价",ROUND(AVERAGE(R36:V36),0),ROUND(AVERAGE(R36:V36),1))</f>
        <v>#DIV/0!</v>
      </c>
      <c r="S37" s="3451"/>
      <c r="T37" s="3451"/>
      <c r="U37" s="3451"/>
      <c r="V37" s="3451"/>
      <c r="W37" s="345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2018-1</v>
      </c>
      <c r="D46" s="2832">
        <f>EDATE(C46,-1)</f>
        <v>43070</v>
      </c>
      <c r="E46" s="2832">
        <f t="shared" ref="E46:O46" si="16">EDATE(D46,-1)</f>
        <v>43040</v>
      </c>
      <c r="F46" s="2832">
        <f t="shared" si="16"/>
        <v>43009</v>
      </c>
      <c r="G46" s="2832">
        <f t="shared" si="16"/>
        <v>42979</v>
      </c>
      <c r="H46" s="2832">
        <f t="shared" si="16"/>
        <v>42948</v>
      </c>
      <c r="I46" s="2832">
        <f t="shared" si="16"/>
        <v>42917</v>
      </c>
      <c r="J46" s="2832">
        <f t="shared" si="16"/>
        <v>42887</v>
      </c>
      <c r="K46" s="2832">
        <f t="shared" si="16"/>
        <v>42856</v>
      </c>
      <c r="L46" s="2832">
        <f t="shared" si="16"/>
        <v>42826</v>
      </c>
      <c r="M46" s="2832">
        <f t="shared" si="16"/>
        <v>42795</v>
      </c>
      <c r="N46" s="2832">
        <f t="shared" si="16"/>
        <v>42767</v>
      </c>
      <c r="O46" s="2832">
        <f t="shared" si="16"/>
        <v>42736</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2564</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2565</v>
      </c>
      <c r="C65" s="2624" t="s">
        <v>2566</v>
      </c>
      <c r="D65" s="2624" t="s">
        <v>2567</v>
      </c>
      <c r="E65" s="2624" t="s">
        <v>2568</v>
      </c>
      <c r="F65" s="2624" t="s">
        <v>2569</v>
      </c>
      <c r="G65" s="2624" t="s">
        <v>2570</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6"/>
    <col min="36" max="16384" width="9" style="1251"/>
  </cols>
  <sheetData>
    <row r="1" spans="1:45" s="256" customFormat="1" ht="14.25" customHeight="1" thickBot="1">
      <c r="A1" s="367"/>
      <c r="B1" s="2236" t="s">
        <v>2307</v>
      </c>
      <c r="C1" s="3485" t="s">
        <v>2308</v>
      </c>
      <c r="D1" s="3486"/>
      <c r="E1" s="3486"/>
      <c r="F1" s="3486"/>
      <c r="G1" s="3486"/>
      <c r="H1" s="3486"/>
      <c r="I1" s="3486"/>
      <c r="J1" s="3486"/>
      <c r="K1" s="3486"/>
      <c r="L1" s="3486"/>
      <c r="M1" s="3486"/>
      <c r="N1" s="3486"/>
      <c r="O1" s="3486"/>
      <c r="P1" s="3486"/>
      <c r="Q1" s="3486"/>
      <c r="R1" s="3486"/>
      <c r="S1" s="3487"/>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2928</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2927</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482" t="s">
        <v>20</v>
      </c>
      <c r="D22" s="3483"/>
      <c r="E22" s="3483"/>
      <c r="F22" s="3483"/>
      <c r="G22" s="3483"/>
      <c r="H22" s="3483"/>
      <c r="I22" s="3483"/>
      <c r="J22" s="3483"/>
      <c r="K22" s="3483"/>
      <c r="L22" s="3483"/>
      <c r="M22" s="3483"/>
      <c r="N22" s="3483"/>
      <c r="O22" s="3483"/>
      <c r="P22" s="3483"/>
      <c r="Q22" s="3484"/>
      <c r="R22" s="492"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6"/>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6"/>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6"/>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6"/>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6"/>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6"/>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6"/>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6"/>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6"/>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6"/>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6"/>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6"/>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6"/>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6"/>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6"/>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6"/>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6"/>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6"/>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6"/>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6"/>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6"/>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6"/>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6"/>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6"/>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6"/>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6"/>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6"/>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6"/>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6"/>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6"/>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6"/>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6"/>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6"/>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6"/>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6"/>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6"/>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6"/>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6"/>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6"/>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6"/>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6"/>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6"/>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6"/>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6"/>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6"/>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6"/>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6"/>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6"/>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6"/>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6"/>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6"/>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6"/>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6"/>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6"/>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6"/>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6"/>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6"/>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6"/>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6"/>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6"/>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6"/>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6"/>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6"/>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6"/>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6"/>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6"/>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6"/>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6"/>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6"/>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6"/>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6"/>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6"/>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6"/>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6"/>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6"/>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6"/>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6"/>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6"/>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6"/>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6"/>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6"/>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6"/>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6"/>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6"/>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6"/>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6"/>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6"/>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6"/>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6"/>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6"/>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6"/>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6"/>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6"/>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6"/>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6"/>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6"/>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6"/>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6"/>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6"/>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6"/>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6"/>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6"/>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6"/>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6"/>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6"/>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6"/>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6"/>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6"/>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6"/>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6"/>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6"/>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6"/>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6"/>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6"/>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6"/>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6"/>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6"/>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6"/>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6"/>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6"/>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6"/>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6"/>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6"/>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6"/>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6"/>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6"/>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6"/>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6"/>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6"/>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6"/>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6"/>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6"/>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6"/>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6"/>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6"/>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6"/>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6"/>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6"/>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6"/>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6"/>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6"/>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6"/>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6"/>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6"/>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6"/>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6"/>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6"/>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6"/>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6"/>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6"/>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6"/>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6"/>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6"/>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6"/>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6"/>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6"/>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6"/>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6"/>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6"/>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6"/>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6"/>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6"/>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6"/>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6"/>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6"/>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6"/>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6"/>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6"/>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6"/>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6"/>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6"/>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6"/>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6"/>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6"/>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6"/>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6"/>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6"/>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6"/>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6"/>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6"/>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6"/>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6"/>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6"/>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6"/>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6"/>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6"/>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6"/>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6"/>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6"/>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6"/>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6"/>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6"/>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6"/>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6"/>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6"/>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6"/>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6"/>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6"/>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6"/>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6"/>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6"/>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6"/>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6"/>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6"/>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6"/>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6"/>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6"/>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6"/>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6"/>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6"/>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6"/>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6"/>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6"/>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6"/>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6"/>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6"/>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6"/>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6"/>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6"/>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6"/>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6"/>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6"/>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6"/>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6"/>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6"/>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6"/>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6"/>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6"/>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6"/>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6"/>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6"/>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6"/>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6"/>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6"/>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6"/>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6"/>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6"/>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6"/>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6"/>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6"/>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6"/>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6"/>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6"/>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6"/>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6"/>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6"/>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6"/>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6"/>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6"/>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6"/>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6"/>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6"/>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6"/>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6"/>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6"/>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6"/>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6"/>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6"/>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6"/>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6"/>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6"/>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6"/>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6"/>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6"/>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6"/>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6"/>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6"/>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6"/>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6"/>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6"/>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6"/>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6"/>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6"/>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6"/>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6"/>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6"/>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6"/>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6"/>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6"/>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6"/>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6"/>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6"/>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6"/>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6"/>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6"/>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6"/>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6"/>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6"/>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6"/>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6"/>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6"/>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6"/>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6"/>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6"/>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6"/>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6"/>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6"/>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6"/>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6"/>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6"/>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6"/>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6"/>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6"/>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6"/>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6"/>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6"/>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6"/>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6"/>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6"/>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6"/>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6"/>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6"/>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6"/>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6"/>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6"/>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6"/>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6"/>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6"/>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6"/>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6"/>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6"/>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6"/>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6"/>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6"/>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6"/>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6"/>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6"/>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6"/>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6"/>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6"/>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6"/>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6"/>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6"/>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6"/>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6"/>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6"/>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6"/>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6"/>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6"/>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6"/>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6"/>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6"/>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6"/>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6"/>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6"/>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6"/>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6"/>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6"/>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6"/>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6"/>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6"/>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6"/>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6"/>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6"/>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6"/>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6"/>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6"/>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6"/>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6"/>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6"/>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6"/>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6"/>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6"/>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6"/>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6"/>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6"/>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6"/>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6"/>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6"/>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6"/>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6"/>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6"/>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6"/>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6"/>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6"/>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6"/>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6"/>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6"/>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6"/>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6"/>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6"/>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6"/>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6"/>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6"/>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6"/>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6"/>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6"/>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6"/>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6"/>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6"/>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6"/>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6"/>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6"/>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6"/>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6"/>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6"/>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6"/>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6"/>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6"/>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6"/>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6"/>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6"/>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6"/>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6"/>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6"/>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6"/>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6"/>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6"/>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6"/>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6"/>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6"/>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6"/>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6"/>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6"/>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6"/>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6"/>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6"/>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6"/>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6"/>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6"/>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6"/>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6"/>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6"/>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6"/>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6"/>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6"/>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6"/>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6"/>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6"/>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6"/>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6"/>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6"/>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6"/>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6"/>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6"/>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6"/>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6"/>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6"/>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6"/>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6"/>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6"/>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6"/>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6"/>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6"/>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6"/>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6"/>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6"/>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6"/>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6"/>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6"/>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6"/>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6"/>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6"/>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6"/>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6"/>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6"/>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6"/>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6"/>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6"/>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6"/>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6"/>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6"/>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6"/>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6"/>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6"/>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6"/>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6"/>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6"/>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6"/>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6"/>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6"/>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6"/>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6"/>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6"/>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6"/>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6"/>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6"/>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6"/>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6"/>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6"/>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6"/>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6"/>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6"/>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6"/>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6"/>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6"/>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6"/>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6"/>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6"/>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6"/>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6"/>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6"/>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6"/>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6"/>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6"/>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6"/>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6"/>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6"/>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6"/>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6"/>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25391.93平方米。根据《建设工程规划许可证》[]、《出让合同》[]，估价对象规划建筑面积为68728.65平方米。</v>
      </c>
    </row>
    <row r="7" spans="1:4" ht="93.75">
      <c r="A7" s="2901" t="s">
        <v>2757</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2018年1月23日（评估专业人员勘察现场之日）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根据《国有土地使用证》[]，估价对象（分摊）出让国有建设用地使用权面积为25391.93平方米。根据《建设工程规划许可证》[]、《出让合同》[]，估价对象规划建筑面积为68728.65平方米。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2796</v>
      </c>
      <c r="C1" s="3031">
        <f>项目基本情况!D3</f>
        <v>43123</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2827</v>
      </c>
      <c r="C2" s="3032">
        <f>'数据-取费表'!B22</f>
        <v>1.5</v>
      </c>
      <c r="D2" s="3027" t="s">
        <v>2797</v>
      </c>
      <c r="E2" s="3030">
        <f ca="1">INDIRECT("I"&amp;$I$1)/100</f>
        <v>4.7500000000000001E-2</v>
      </c>
      <c r="G2" s="2967"/>
      <c r="H2" s="2967"/>
      <c r="I2" s="2967" t="s">
        <v>2798</v>
      </c>
      <c r="K2" s="2967"/>
      <c r="L2" s="2967"/>
      <c r="M2" s="2967"/>
      <c r="N2" s="2967" t="s">
        <v>2799</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2829</v>
      </c>
      <c r="C3" s="3029">
        <f>'数据-取费表'!B19</f>
        <v>0</v>
      </c>
      <c r="D3" s="3027" t="s">
        <v>2797</v>
      </c>
      <c r="E3" s="3030">
        <f ca="1">INDIRECT("J"&amp;$J$1)/100</f>
        <v>0</v>
      </c>
      <c r="G3" s="2969" t="s">
        <v>2800</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2828</v>
      </c>
      <c r="C4" s="3030">
        <f ca="1">N4/100</f>
        <v>1.4999999999999999E-2</v>
      </c>
      <c r="G4" s="2975" t="s">
        <v>2801</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2802</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2803</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2804</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2805</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2806</v>
      </c>
      <c r="C10" s="2994"/>
      <c r="D10" s="2994"/>
      <c r="E10" s="2994"/>
      <c r="F10" s="2994"/>
      <c r="G10" s="2994"/>
      <c r="H10" s="2994"/>
      <c r="I10" s="2968"/>
      <c r="J10" s="2968"/>
      <c r="K10" s="2994"/>
      <c r="L10" s="2995" t="s">
        <v>2807</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2808</v>
      </c>
      <c r="C11" s="2999" t="s">
        <v>2809</v>
      </c>
      <c r="D11" s="3000" t="s">
        <v>2810</v>
      </c>
      <c r="E11" s="3001"/>
      <c r="F11" s="3000" t="s">
        <v>2811</v>
      </c>
      <c r="G11" s="3002"/>
      <c r="H11" s="3001"/>
      <c r="I11" s="3000" t="s">
        <v>2812</v>
      </c>
      <c r="J11" s="3001"/>
      <c r="K11" s="2997"/>
      <c r="L11" s="2998" t="s">
        <v>2808</v>
      </c>
      <c r="M11" s="2999" t="s">
        <v>2809</v>
      </c>
      <c r="N11" s="2998" t="s">
        <v>2813</v>
      </c>
      <c r="O11" s="3000" t="s">
        <v>2814</v>
      </c>
      <c r="P11" s="3002"/>
      <c r="Q11" s="3002"/>
      <c r="R11" s="3002"/>
      <c r="S11" s="3002"/>
      <c r="T11" s="3001"/>
      <c r="U11" s="3000" t="s">
        <v>2815</v>
      </c>
      <c r="V11" s="3002"/>
      <c r="W11" s="3001"/>
      <c r="X11" s="2998" t="s">
        <v>2816</v>
      </c>
      <c r="Y11" s="2998" t="s">
        <v>2817</v>
      </c>
      <c r="Z11" s="2998" t="s">
        <v>2818</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2819</v>
      </c>
      <c r="E12" s="3007" t="s">
        <v>2820</v>
      </c>
      <c r="F12" s="3007" t="s">
        <v>2821</v>
      </c>
      <c r="G12" s="3007" t="s">
        <v>2822</v>
      </c>
      <c r="H12" s="3007" t="s">
        <v>2804</v>
      </c>
      <c r="I12" s="3008" t="s">
        <v>2823</v>
      </c>
      <c r="J12" s="3008" t="s">
        <v>2823</v>
      </c>
      <c r="K12" s="3004"/>
      <c r="L12" s="3005"/>
      <c r="M12" s="3006"/>
      <c r="N12" s="3005"/>
      <c r="O12" s="3008" t="s">
        <v>2824</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2825</v>
      </c>
      <c r="C13" s="3012">
        <v>42301</v>
      </c>
      <c r="D13" s="3013">
        <v>4.3499999999999996</v>
      </c>
      <c r="E13" s="3013">
        <v>4.3499999999999996</v>
      </c>
      <c r="F13" s="3013">
        <v>4.75</v>
      </c>
      <c r="G13" s="3013">
        <v>4.75</v>
      </c>
      <c r="H13" s="3013">
        <v>4.9000000000000004</v>
      </c>
      <c r="I13" s="3013">
        <v>2.75</v>
      </c>
      <c r="J13" s="3013">
        <v>3.25</v>
      </c>
      <c r="K13" s="3010"/>
      <c r="L13" s="3011" t="s">
        <v>2825</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2826</v>
      </c>
      <c r="Y42" s="3017" t="s">
        <v>2826</v>
      </c>
      <c r="Z42" s="3017" t="s">
        <v>2826</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2826</v>
      </c>
      <c r="Y43" s="3017" t="s">
        <v>2826</v>
      </c>
      <c r="Z43" s="3017" t="s">
        <v>2826</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2826</v>
      </c>
      <c r="Y44" s="3017" t="s">
        <v>2826</v>
      </c>
      <c r="Z44" s="3017" t="s">
        <v>2826</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2826</v>
      </c>
      <c r="Y45" s="3017" t="s">
        <v>2826</v>
      </c>
      <c r="Z45" s="3017" t="s">
        <v>2826</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2826</v>
      </c>
      <c r="Y46" s="3017" t="s">
        <v>2826</v>
      </c>
      <c r="Z46" s="3017" t="s">
        <v>2826</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2826</v>
      </c>
      <c r="Y47" s="3017" t="s">
        <v>2826</v>
      </c>
      <c r="Z47" s="3017" t="s">
        <v>2826</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2826</v>
      </c>
      <c r="Y48" s="3017" t="s">
        <v>2826</v>
      </c>
      <c r="Z48" s="3017" t="s">
        <v>2826</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2826</v>
      </c>
      <c r="Y49" s="3017" t="s">
        <v>2826</v>
      </c>
      <c r="Z49" s="3017" t="s">
        <v>2826</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2826</v>
      </c>
      <c r="Y50" s="3017" t="s">
        <v>2826</v>
      </c>
      <c r="Z50" s="3017" t="s">
        <v>2826</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2826</v>
      </c>
      <c r="V51" s="3017" t="s">
        <v>2826</v>
      </c>
      <c r="W51" s="3017" t="s">
        <v>2826</v>
      </c>
      <c r="X51" s="3017" t="s">
        <v>2826</v>
      </c>
      <c r="Y51" s="3017" t="s">
        <v>2826</v>
      </c>
      <c r="Z51" s="3017" t="s">
        <v>2826</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2826</v>
      </c>
      <c r="J55" s="3017" t="s">
        <v>2826</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2" sqref="F12"/>
    </sheetView>
  </sheetViews>
  <sheetFormatPr defaultRowHeight="13.5"/>
  <sheetData>
    <row r="1" spans="1:4">
      <c r="A1" s="3169" t="s">
        <v>3066</v>
      </c>
    </row>
    <row r="2" spans="1:4" ht="14.25" thickBot="1">
      <c r="A2" s="3170" t="s">
        <v>3050</v>
      </c>
      <c r="B2" s="3171" t="s">
        <v>3051</v>
      </c>
      <c r="C2" s="3171" t="s">
        <v>3052</v>
      </c>
      <c r="D2" s="3171" t="s">
        <v>3053</v>
      </c>
    </row>
    <row r="3" spans="1:4">
      <c r="A3" s="3172">
        <v>2016.4</v>
      </c>
      <c r="B3" s="3174">
        <v>18828</v>
      </c>
      <c r="C3" s="3174">
        <v>4.17</v>
      </c>
      <c r="D3" s="3173"/>
    </row>
    <row r="4" spans="1:4">
      <c r="A4" s="3175">
        <v>2017.1</v>
      </c>
      <c r="B4" s="3177">
        <v>19200</v>
      </c>
      <c r="C4" s="3177">
        <v>1.97</v>
      </c>
      <c r="D4" s="3176"/>
    </row>
    <row r="5" spans="1:4">
      <c r="A5" s="3172">
        <v>2017.2</v>
      </c>
      <c r="B5" s="3174">
        <v>19689</v>
      </c>
      <c r="C5" s="3174">
        <v>2.5499999999999998</v>
      </c>
      <c r="D5" s="3173"/>
    </row>
    <row r="6" spans="1:4">
      <c r="A6" s="3175">
        <v>2017.3</v>
      </c>
      <c r="B6" s="3177">
        <v>20054</v>
      </c>
      <c r="C6" s="3177">
        <v>1.85</v>
      </c>
      <c r="D6" s="3176"/>
    </row>
    <row r="7" spans="1:4" ht="14.25">
      <c r="A7" s="3178">
        <v>2017.4</v>
      </c>
      <c r="B7" s="3179">
        <v>20248</v>
      </c>
      <c r="C7" s="3179">
        <v>0.97</v>
      </c>
    </row>
    <row r="8" spans="1:4">
      <c r="C8">
        <f>AVERAGE(C3:C7)</f>
        <v>2.302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2042</v>
      </c>
      <c r="B1" s="3196"/>
      <c r="C1" s="3196"/>
      <c r="D1" s="3196"/>
      <c r="E1" s="3196"/>
      <c r="F1" s="3196"/>
      <c r="G1" s="3196"/>
      <c r="H1" s="3196"/>
      <c r="I1" s="3196"/>
      <c r="J1" s="3196"/>
      <c r="K1" s="3196"/>
      <c r="L1" s="3196"/>
      <c r="M1" s="3196"/>
      <c r="N1" s="3196"/>
      <c r="O1" s="3196"/>
      <c r="P1" s="3196"/>
      <c r="Q1" s="3196"/>
      <c r="R1" s="3196"/>
    </row>
    <row r="2" spans="1:18">
      <c r="A2" s="1809" t="s">
        <v>2044</v>
      </c>
      <c r="B2" s="1809"/>
      <c r="C2" s="1809"/>
      <c r="D2" s="1809"/>
      <c r="E2" s="1809"/>
      <c r="F2" s="1809"/>
      <c r="G2" s="1809"/>
      <c r="H2" s="1809"/>
      <c r="I2" s="1810"/>
      <c r="J2" s="1810"/>
      <c r="K2" s="1811" t="str">
        <f>"估价期日："&amp;TEXT(项目基本情况!D3,"yyyy年m月d日;;")</f>
        <v>估价期日：2018年1月23日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7" t="s">
        <v>2033</v>
      </c>
      <c r="B3" s="3197" t="s">
        <v>2740</v>
      </c>
      <c r="C3" s="3198" t="s">
        <v>2034</v>
      </c>
      <c r="D3" s="3197" t="s">
        <v>2744</v>
      </c>
      <c r="E3" s="3192" t="s">
        <v>2035</v>
      </c>
      <c r="F3" s="3192"/>
      <c r="G3" s="3192"/>
      <c r="H3" s="3192" t="s">
        <v>2036</v>
      </c>
      <c r="I3" s="3192"/>
      <c r="J3" s="3192"/>
      <c r="K3" s="3198" t="s">
        <v>2037</v>
      </c>
      <c r="L3" s="3198" t="s">
        <v>2038</v>
      </c>
      <c r="M3" s="3197" t="s">
        <v>2741</v>
      </c>
      <c r="N3" s="3199" t="str">
        <f>"（分摊）"&amp;项目基本情况!B16&amp;"国有建设用地使用权面积/㎡"</f>
        <v>（分摊）出让国有建设用地使用权面积/㎡</v>
      </c>
      <c r="O3" s="3197" t="s">
        <v>2067</v>
      </c>
      <c r="P3" s="3198" t="s">
        <v>2047</v>
      </c>
      <c r="Q3" s="3198" t="s">
        <v>2068</v>
      </c>
      <c r="R3" s="3198" t="s">
        <v>2039</v>
      </c>
    </row>
    <row r="4" spans="1:18" ht="36.75" customHeight="1">
      <c r="A4" s="3197"/>
      <c r="B4" s="3197"/>
      <c r="C4" s="3198"/>
      <c r="D4" s="3197"/>
      <c r="E4" s="2676" t="s">
        <v>2046</v>
      </c>
      <c r="F4" s="2676" t="s">
        <v>2753</v>
      </c>
      <c r="G4" s="2676" t="s">
        <v>2040</v>
      </c>
      <c r="H4" s="2676" t="s">
        <v>2041</v>
      </c>
      <c r="I4" s="2676" t="s">
        <v>2754</v>
      </c>
      <c r="J4" s="2676" t="s">
        <v>2040</v>
      </c>
      <c r="K4" s="3198"/>
      <c r="L4" s="3198"/>
      <c r="M4" s="3197"/>
      <c r="N4" s="3199"/>
      <c r="O4" s="3197"/>
      <c r="P4" s="3198"/>
      <c r="Q4" s="3198"/>
      <c r="R4" s="3198"/>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25391.93</v>
      </c>
      <c r="O5" s="1812">
        <f>项目基本情况!C21</f>
        <v>68728.649999999994</v>
      </c>
      <c r="P5" s="1812">
        <f ca="1">结果表!E42</f>
        <v>11061</v>
      </c>
      <c r="Q5" s="1812">
        <f ca="1">结果表!D42</f>
        <v>4087</v>
      </c>
      <c r="R5" s="1813">
        <f ca="1">结果表!C42</f>
        <v>28086</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4">
        <f ca="1">结果表!O39</f>
        <v>28086</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4" t="str">
        <f>结果表!O40</f>
        <v>——</v>
      </c>
    </row>
    <row r="8" spans="1:18">
      <c r="A8" s="3193" t="str">
        <f>IF(项目基本情况!B9="市场价格","——",项目基本情况!E9)</f>
        <v>抵押净值</v>
      </c>
      <c r="B8" s="3194"/>
      <c r="C8" s="3194"/>
      <c r="D8" s="3194"/>
      <c r="E8" s="3194"/>
      <c r="F8" s="3194"/>
      <c r="G8" s="3194"/>
      <c r="H8" s="3194"/>
      <c r="I8" s="3194"/>
      <c r="J8" s="3194"/>
      <c r="K8" s="3194"/>
      <c r="L8" s="3194"/>
      <c r="M8" s="3194"/>
      <c r="N8" s="3194"/>
      <c r="O8" s="3194"/>
      <c r="P8" s="3194"/>
      <c r="Q8" s="3195"/>
      <c r="R8" s="1814">
        <f ca="1">结果表!O41</f>
        <v>18135</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2069</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2070</v>
      </c>
      <c r="B5" s="3200"/>
      <c r="C5" s="3200"/>
      <c r="D5" s="3200"/>
    </row>
    <row r="6" spans="1:4">
      <c r="A6" s="3201" t="s">
        <v>2048</v>
      </c>
      <c r="B6" s="3201"/>
      <c r="C6" s="3201"/>
      <c r="D6" s="3201"/>
    </row>
    <row r="7" spans="1:4" ht="33" customHeight="1">
      <c r="A7" s="3201" t="s">
        <v>2582</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0" t="s">
        <v>2072</v>
      </c>
      <c r="B12" s="3200"/>
      <c r="C12" s="3200"/>
      <c r="D12" s="3200"/>
    </row>
    <row r="13" spans="1:4">
      <c r="A13" s="3204" t="s">
        <v>2755</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2711</v>
      </c>
      <c r="B17" s="3201"/>
      <c r="C17" s="3201"/>
      <c r="D17" s="3201"/>
    </row>
    <row r="18" spans="1:4">
      <c r="A18" s="3201" t="s">
        <v>2703</v>
      </c>
      <c r="B18" s="3201"/>
      <c r="C18" s="3201"/>
      <c r="D18" s="3201"/>
    </row>
    <row r="19" spans="1:4">
      <c r="A19" s="2896" t="s">
        <v>2704</v>
      </c>
      <c r="B19" s="2896" t="s">
        <v>2705</v>
      </c>
      <c r="C19" s="2896" t="s">
        <v>2706</v>
      </c>
      <c r="D19" s="2896" t="s">
        <v>2707</v>
      </c>
    </row>
    <row r="20" spans="1:4">
      <c r="A20" s="2896" t="str">
        <f>项目基本情况!B4</f>
        <v>王鹏</v>
      </c>
      <c r="B20" s="2896">
        <f ca="1">项目基本情况!C4</f>
        <v>2002110030</v>
      </c>
      <c r="C20" s="2898"/>
      <c r="D20" s="1802" t="s">
        <v>2712</v>
      </c>
    </row>
    <row r="21" spans="1:4">
      <c r="A21" s="2896" t="str">
        <f>项目基本情况!D4</f>
        <v>郑燚</v>
      </c>
      <c r="B21" s="2896">
        <f>项目基本情况!E4</f>
        <v>2014110011</v>
      </c>
      <c r="C21" s="2898"/>
      <c r="D21" s="1802" t="s">
        <v>2713</v>
      </c>
    </row>
    <row r="23" spans="1:4">
      <c r="A23" s="3201" t="s">
        <v>2708</v>
      </c>
      <c r="B23" s="3201"/>
      <c r="C23" s="3201"/>
      <c r="D23" s="3201"/>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12" t="s">
        <v>53</v>
      </c>
      <c r="B15" s="3213" t="s">
        <v>847</v>
      </c>
      <c r="C15" s="3209"/>
    </row>
    <row r="16" spans="1:7" ht="14.25">
      <c r="A16" s="3212"/>
      <c r="B16" s="3210" t="s">
        <v>54</v>
      </c>
      <c r="C16" s="1173" t="s">
        <v>53</v>
      </c>
    </row>
    <row r="17" spans="1:3" ht="14.25">
      <c r="A17" s="3212"/>
      <c r="B17" s="3210"/>
      <c r="C17" s="1173" t="s">
        <v>55</v>
      </c>
    </row>
    <row r="18" spans="1:3" ht="14.25">
      <c r="A18" s="3212"/>
      <c r="B18" s="3210"/>
      <c r="C18" s="1173" t="s">
        <v>56</v>
      </c>
    </row>
    <row r="19" spans="1:3" ht="14.25">
      <c r="A19" s="3212"/>
      <c r="B19" s="3208" t="s">
        <v>57</v>
      </c>
      <c r="C19" s="3209"/>
    </row>
    <row r="20" spans="1:3" ht="14.25">
      <c r="A20" s="1174" t="s">
        <v>58</v>
      </c>
      <c r="B20" s="1175"/>
      <c r="C20" s="1176"/>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7" t="s">
        <v>838</v>
      </c>
    </row>
    <row r="25" spans="1:3" ht="14.25">
      <c r="A25" s="3211"/>
      <c r="B25" s="3215"/>
      <c r="C25" s="1177" t="s">
        <v>839</v>
      </c>
    </row>
    <row r="26" spans="1:3" ht="14.25">
      <c r="A26" s="3211"/>
      <c r="B26" s="3215"/>
      <c r="C26" s="1177" t="s">
        <v>840</v>
      </c>
    </row>
    <row r="27" spans="1:3" ht="14.25">
      <c r="A27" s="3211"/>
      <c r="B27" s="3215"/>
      <c r="C27" s="1177" t="s">
        <v>841</v>
      </c>
    </row>
    <row r="28" spans="1:3" ht="14.25">
      <c r="A28" s="3211"/>
      <c r="B28" s="3215"/>
      <c r="C28" s="1177" t="s">
        <v>842</v>
      </c>
    </row>
    <row r="29" spans="1:3" ht="14.25">
      <c r="A29" s="3211"/>
      <c r="B29" s="3215"/>
      <c r="C29" s="1177" t="s">
        <v>843</v>
      </c>
    </row>
    <row r="30" spans="1:3" ht="14.25">
      <c r="A30" s="3211"/>
      <c r="B30" s="3215"/>
      <c r="C30" s="1177" t="s">
        <v>844</v>
      </c>
    </row>
    <row r="31" spans="1:3" ht="14.25">
      <c r="A31" s="3211"/>
      <c r="B31" s="3215"/>
      <c r="C31" s="1177" t="s">
        <v>845</v>
      </c>
    </row>
    <row r="32" spans="1:3" ht="14.25">
      <c r="A32" s="3211"/>
      <c r="B32" s="3215"/>
      <c r="C32" s="1177" t="s">
        <v>1648</v>
      </c>
    </row>
    <row r="33" spans="1:3" ht="14.25">
      <c r="A33" s="3211"/>
      <c r="B33" s="3205" t="s">
        <v>1654</v>
      </c>
      <c r="C33" s="1177" t="s">
        <v>1649</v>
      </c>
    </row>
    <row r="34" spans="1:3" ht="14.25">
      <c r="A34" s="3211"/>
      <c r="B34" s="3206"/>
      <c r="C34" s="1182" t="s">
        <v>1650</v>
      </c>
    </row>
    <row r="35" spans="1:3" ht="14.25">
      <c r="A35" s="3211"/>
      <c r="B35" s="3206"/>
      <c r="C35" s="1183" t="s">
        <v>1651</v>
      </c>
    </row>
    <row r="36" spans="1:3" ht="14.25">
      <c r="A36" s="3211"/>
      <c r="B36" s="3206"/>
      <c r="C36" s="1183" t="s">
        <v>1652</v>
      </c>
    </row>
    <row r="37" spans="1:3" ht="14.25">
      <c r="A37" s="3211"/>
      <c r="B37" s="3207"/>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43125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216" t="s">
        <v>1930</v>
      </c>
      <c r="B25" s="3216"/>
      <c r="C25" s="3216"/>
      <c r="D25" s="3216"/>
      <c r="E25" s="3216"/>
      <c r="F25" s="3216"/>
      <c r="G25" s="3216"/>
    </row>
    <row r="26" spans="1:7" ht="20.25" customHeight="1">
      <c r="A26" s="3217" t="s">
        <v>1931</v>
      </c>
      <c r="B26" s="3217"/>
      <c r="C26" s="3217"/>
      <c r="D26" s="3217" t="s">
        <v>1932</v>
      </c>
      <c r="E26" s="3217"/>
      <c r="F26" s="321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2959</v>
      </c>
      <c r="C18" s="1555"/>
    </row>
    <row r="19" spans="1:3">
      <c r="A19" s="8" t="s">
        <v>120</v>
      </c>
      <c r="B19" s="3143" t="s">
        <v>2967</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9"/>
      <c r="E53" s="1769"/>
    </row>
    <row r="54" spans="1:5">
      <c r="A54" s="321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2018-01-25T09:20:43Z</dcterms:modified>
</cp:coreProperties>
</file>