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1565" windowHeight="937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比较法-住宅、综合-高案例" sheetId="71" r:id="rId21"/>
    <sheet name="Sheet3"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18" hidden="1">'比较法-住宅、综合'!$A$1:$L$50</definedName>
    <definedName name="_xlnm._FilterDatabase" localSheetId="20" hidden="1">'比较法-住宅、综合-高案例'!$A$1:$L$50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'比较法-住宅、综合-高案例'!$B$108:$M$108</definedName>
    <definedName name="套综道路等级">'比较法-住宅、综合'!$B$108:$M$108</definedName>
    <definedName name="套综工程地质条件" localSheetId="20">'比较法-住宅、综合-高案例'!$B$127:$M$127</definedName>
    <definedName name="套综工程地质条件">'比较法-住宅、综合'!$B$127:$M$127</definedName>
    <definedName name="套综交易情况" localSheetId="20">'比较法-住宅、综合-高案例'!$A$75:$M$75</definedName>
    <definedName name="套综交易情况">'比较法-住宅、综合'!$A$75:$M$75</definedName>
    <definedName name="套综临街宽度及深度" localSheetId="20">'比较法-住宅、综合-高案例'!$B$123:$M$123</definedName>
    <definedName name="套综临街宽度及深度">'比较法-住宅、综合'!$B$123:$M$123</definedName>
    <definedName name="套综土地级别" localSheetId="20">'比较法-住宅、综合-高案例'!$B$110:$M$110</definedName>
    <definedName name="套综土地级别">'比较法-住宅、综合'!$B$110:$M$110</definedName>
    <definedName name="套综用途" localSheetId="20">'比较法-住宅、综合-高案例'!$B$77:$M$77</definedName>
    <definedName name="套综用途">'比较法-住宅、综合'!$B$77:$M$77</definedName>
    <definedName name="套综宗地内开发程度" localSheetId="20">'比较法-住宅、综合-高案例'!$B$125:$M$125</definedName>
    <definedName name="套综宗地内开发程度">'比较法-住宅、综合'!$B$125:$M$125</definedName>
    <definedName name="套综宗地形状" localSheetId="20">'比较法-住宅、综合-高案例'!$B$121:$M$121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0" i="12" l="1"/>
  <c r="M22" i="69"/>
  <c r="E55" i="71"/>
  <c r="F55" i="71" s="1"/>
  <c r="I40" i="71"/>
  <c r="J40" i="71" s="1"/>
  <c r="I13" i="71"/>
  <c r="J13" i="71" s="1"/>
  <c r="I9" i="71"/>
  <c r="I7" i="71"/>
  <c r="E40" i="71"/>
  <c r="E13" i="71"/>
  <c r="E9" i="71"/>
  <c r="E7" i="71"/>
  <c r="G40" i="71"/>
  <c r="G13" i="71"/>
  <c r="G9" i="71"/>
  <c r="G7" i="71"/>
  <c r="B133" i="71"/>
  <c r="B131" i="71"/>
  <c r="B129" i="71"/>
  <c r="F45" i="71" s="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J39" i="71" s="1"/>
  <c r="B114" i="71"/>
  <c r="H38" i="71" s="1"/>
  <c r="B112" i="71"/>
  <c r="D111" i="71"/>
  <c r="E111" i="71" s="1"/>
  <c r="F111" i="71" s="1"/>
  <c r="G111" i="71" s="1"/>
  <c r="H111" i="71" s="1"/>
  <c r="I111" i="71" s="1"/>
  <c r="J111" i="71" s="1"/>
  <c r="K111" i="71" s="1"/>
  <c r="L111" i="71" s="1"/>
  <c r="M111" i="71" s="1"/>
  <c r="D109" i="71"/>
  <c r="E109" i="71" s="1"/>
  <c r="F109" i="71" s="1"/>
  <c r="G109" i="71" s="1"/>
  <c r="H109" i="71" s="1"/>
  <c r="I109" i="71" s="1"/>
  <c r="J109" i="71" s="1"/>
  <c r="K109" i="71" s="1"/>
  <c r="L109" i="71" s="1"/>
  <c r="M109" i="71" s="1"/>
  <c r="D107" i="71"/>
  <c r="E107" i="71" s="1"/>
  <c r="F107" i="71" s="1"/>
  <c r="G107" i="71" s="1"/>
  <c r="H107" i="71" s="1"/>
  <c r="I107" i="71" s="1"/>
  <c r="J107" i="71" s="1"/>
  <c r="K107" i="71" s="1"/>
  <c r="L107" i="71" s="1"/>
  <c r="M107" i="71" s="1"/>
  <c r="B106" i="71"/>
  <c r="H33" i="71" s="1"/>
  <c r="D105" i="71"/>
  <c r="E105" i="71" s="1"/>
  <c r="F105" i="71" s="1"/>
  <c r="G105" i="71" s="1"/>
  <c r="D103" i="71"/>
  <c r="E103" i="71" s="1"/>
  <c r="F103" i="71" s="1"/>
  <c r="G103" i="71" s="1"/>
  <c r="D101" i="71"/>
  <c r="E101" i="71" s="1"/>
  <c r="F101" i="71" s="1"/>
  <c r="G101" i="71" s="1"/>
  <c r="D99" i="71"/>
  <c r="E99" i="71" s="1"/>
  <c r="F99" i="71" s="1"/>
  <c r="G99" i="71" s="1"/>
  <c r="D97" i="71"/>
  <c r="E97" i="71" s="1"/>
  <c r="D95" i="71"/>
  <c r="E95" i="71" s="1"/>
  <c r="F95" i="71" s="1"/>
  <c r="G95" i="71" s="1"/>
  <c r="D93" i="71"/>
  <c r="E93" i="71" s="1"/>
  <c r="F93" i="71" s="1"/>
  <c r="G93" i="71" s="1"/>
  <c r="D91" i="71"/>
  <c r="E91" i="71" s="1"/>
  <c r="F91" i="71" s="1"/>
  <c r="G91" i="71" s="1"/>
  <c r="B88" i="71"/>
  <c r="B86" i="71"/>
  <c r="B84" i="71"/>
  <c r="J14" i="71" s="1"/>
  <c r="E83" i="71"/>
  <c r="F83" i="71" s="1"/>
  <c r="G83" i="71" s="1"/>
  <c r="H83" i="71" s="1"/>
  <c r="I83" i="71" s="1"/>
  <c r="J83" i="71" s="1"/>
  <c r="K83" i="71" s="1"/>
  <c r="L83" i="71" s="1"/>
  <c r="M83" i="71" s="1"/>
  <c r="D83" i="71"/>
  <c r="M81" i="71"/>
  <c r="L81" i="71"/>
  <c r="K81" i="71"/>
  <c r="J81" i="71"/>
  <c r="I81" i="71"/>
  <c r="H81" i="71"/>
  <c r="G81" i="71"/>
  <c r="F81" i="71"/>
  <c r="E81" i="71"/>
  <c r="D81" i="71"/>
  <c r="C81" i="71"/>
  <c r="B73" i="71"/>
  <c r="E68" i="71"/>
  <c r="I67" i="71"/>
  <c r="C67" i="71" s="1"/>
  <c r="H67" i="71"/>
  <c r="E67" i="71"/>
  <c r="H66" i="71"/>
  <c r="I66" i="71" s="1"/>
  <c r="C66" i="71" s="1"/>
  <c r="E66" i="71"/>
  <c r="I65" i="71"/>
  <c r="C65" i="71" s="1"/>
  <c r="H65" i="71"/>
  <c r="E65" i="71"/>
  <c r="H64" i="71"/>
  <c r="I64" i="71" s="1"/>
  <c r="C64" i="71" s="1"/>
  <c r="E64" i="71"/>
  <c r="I63" i="71"/>
  <c r="C63" i="71" s="1"/>
  <c r="H63" i="71"/>
  <c r="E63" i="71"/>
  <c r="H62" i="71"/>
  <c r="I62" i="71" s="1"/>
  <c r="C62" i="71" s="1"/>
  <c r="H61" i="71"/>
  <c r="I61" i="71" s="1"/>
  <c r="C61" i="71" s="1"/>
  <c r="I60" i="71"/>
  <c r="C60" i="71" s="1"/>
  <c r="H60" i="71"/>
  <c r="I59" i="71"/>
  <c r="H59" i="71"/>
  <c r="C59" i="71"/>
  <c r="E58" i="71"/>
  <c r="J57" i="71"/>
  <c r="P50" i="71"/>
  <c r="P49" i="71"/>
  <c r="P48" i="71"/>
  <c r="G55" i="71"/>
  <c r="H55" i="71" s="1"/>
  <c r="AA47" i="71"/>
  <c r="Z47" i="71"/>
  <c r="Q47" i="71"/>
  <c r="J47" i="71"/>
  <c r="AC47" i="71" s="1"/>
  <c r="H47" i="71"/>
  <c r="AB47" i="71" s="1"/>
  <c r="F47" i="71"/>
  <c r="S47" i="71" s="1"/>
  <c r="AA46" i="71"/>
  <c r="Z46" i="71"/>
  <c r="Q46" i="71"/>
  <c r="J46" i="71"/>
  <c r="W46" i="71" s="1"/>
  <c r="H46" i="71"/>
  <c r="AB46" i="71" s="1"/>
  <c r="F46" i="71"/>
  <c r="S46" i="71" s="1"/>
  <c r="Q45" i="71"/>
  <c r="Z45" i="71" s="1"/>
  <c r="AC44" i="71"/>
  <c r="Q44" i="71"/>
  <c r="Z44" i="71" s="1"/>
  <c r="J44" i="71"/>
  <c r="W44" i="71" s="1"/>
  <c r="H44" i="71"/>
  <c r="U44" i="71" s="1"/>
  <c r="F44" i="71"/>
  <c r="AA44" i="71" s="1"/>
  <c r="Z43" i="71"/>
  <c r="Q43" i="71"/>
  <c r="J43" i="71"/>
  <c r="AC43" i="71" s="1"/>
  <c r="H43" i="71"/>
  <c r="AB43" i="71" s="1"/>
  <c r="F43" i="71"/>
  <c r="S43" i="71" s="1"/>
  <c r="Z42" i="71"/>
  <c r="Q42" i="71"/>
  <c r="J42" i="71"/>
  <c r="W42" i="71" s="1"/>
  <c r="H42" i="71"/>
  <c r="AB42" i="71" s="1"/>
  <c r="F42" i="71"/>
  <c r="S42" i="71" s="1"/>
  <c r="Q41" i="71"/>
  <c r="Z41" i="71" s="1"/>
  <c r="J41" i="71"/>
  <c r="W41" i="71" s="1"/>
  <c r="H41" i="71"/>
  <c r="AB41" i="71" s="1"/>
  <c r="F41" i="71"/>
  <c r="AA41" i="71" s="1"/>
  <c r="Q40" i="71"/>
  <c r="Z40" i="71" s="1"/>
  <c r="F40" i="71"/>
  <c r="C40" i="71"/>
  <c r="H40" i="71" s="1"/>
  <c r="Z39" i="71"/>
  <c r="Q39" i="71"/>
  <c r="H39" i="71"/>
  <c r="U39" i="71" s="1"/>
  <c r="F39" i="71"/>
  <c r="S39" i="71" s="1"/>
  <c r="Z38" i="71"/>
  <c r="Q38" i="71"/>
  <c r="J38" i="71"/>
  <c r="W38" i="71" s="1"/>
  <c r="F38" i="71"/>
  <c r="S38" i="71" s="1"/>
  <c r="Z37" i="71"/>
  <c r="Q37" i="71"/>
  <c r="J37" i="71"/>
  <c r="W37" i="71" s="1"/>
  <c r="H37" i="71"/>
  <c r="U37" i="71" s="1"/>
  <c r="F37" i="71"/>
  <c r="AA37" i="71" s="1"/>
  <c r="AB36" i="71"/>
  <c r="Q36" i="71"/>
  <c r="Z36" i="71" s="1"/>
  <c r="J36" i="71"/>
  <c r="W36" i="71" s="1"/>
  <c r="H36" i="71"/>
  <c r="U36" i="71" s="1"/>
  <c r="F36" i="71"/>
  <c r="AA36" i="71" s="1"/>
  <c r="Z34" i="71"/>
  <c r="Q34" i="71"/>
  <c r="J34" i="71"/>
  <c r="AC34" i="71" s="1"/>
  <c r="H34" i="71"/>
  <c r="AB34" i="71" s="1"/>
  <c r="F34" i="71"/>
  <c r="S34" i="71" s="1"/>
  <c r="Z33" i="71"/>
  <c r="Q33" i="71"/>
  <c r="J33" i="71"/>
  <c r="W33" i="71" s="1"/>
  <c r="F33" i="71"/>
  <c r="S33" i="71" s="1"/>
  <c r="Z31" i="71"/>
  <c r="Q31" i="71"/>
  <c r="J31" i="71"/>
  <c r="W31" i="71" s="1"/>
  <c r="H31" i="71"/>
  <c r="U31" i="71" s="1"/>
  <c r="F31" i="7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C25" i="71"/>
  <c r="Q23" i="71"/>
  <c r="Z23" i="71" s="1"/>
  <c r="J23" i="71"/>
  <c r="F23" i="71"/>
  <c r="AA23" i="71" s="1"/>
  <c r="C23" i="71"/>
  <c r="AC21" i="71"/>
  <c r="W21" i="71"/>
  <c r="Q21" i="71"/>
  <c r="Z21" i="71" s="1"/>
  <c r="J21" i="71"/>
  <c r="H21" i="71"/>
  <c r="AB21" i="71" s="1"/>
  <c r="F21" i="71"/>
  <c r="AA21" i="71" s="1"/>
  <c r="C21" i="71"/>
  <c r="W19" i="71"/>
  <c r="Q19" i="71"/>
  <c r="Z19" i="71" s="1"/>
  <c r="J19" i="71"/>
  <c r="AC19" i="71" s="1"/>
  <c r="H19" i="71"/>
  <c r="U19" i="71" s="1"/>
  <c r="F19" i="71"/>
  <c r="AA19" i="71" s="1"/>
  <c r="C19" i="71"/>
  <c r="Q17" i="71"/>
  <c r="Z17" i="71" s="1"/>
  <c r="J17" i="71"/>
  <c r="W17" i="71" s="1"/>
  <c r="H17" i="71"/>
  <c r="U17" i="71" s="1"/>
  <c r="F17" i="71"/>
  <c r="AA17" i="71" s="1"/>
  <c r="C17" i="71"/>
  <c r="AC16" i="71"/>
  <c r="AB16" i="71"/>
  <c r="U16" i="71"/>
  <c r="Q16" i="71"/>
  <c r="Z16" i="71" s="1"/>
  <c r="J16" i="71"/>
  <c r="W16" i="71" s="1"/>
  <c r="H16" i="71"/>
  <c r="F16" i="71"/>
  <c r="AA16" i="71" s="1"/>
  <c r="AB15" i="71"/>
  <c r="Q15" i="71"/>
  <c r="Z15" i="71" s="1"/>
  <c r="J15" i="71"/>
  <c r="AC15" i="71" s="1"/>
  <c r="H15" i="71"/>
  <c r="U15" i="71" s="1"/>
  <c r="F15" i="71"/>
  <c r="AA15" i="71" s="1"/>
  <c r="AA14" i="71"/>
  <c r="Q14" i="71"/>
  <c r="Z14" i="71" s="1"/>
  <c r="H14" i="71"/>
  <c r="AB14" i="71" s="1"/>
  <c r="F14" i="71"/>
  <c r="S14" i="71" s="1"/>
  <c r="Z13" i="71"/>
  <c r="Q13" i="71"/>
  <c r="H13" i="71"/>
  <c r="F13" i="71"/>
  <c r="C13" i="71"/>
  <c r="AC12" i="71"/>
  <c r="AB12" i="71"/>
  <c r="U12" i="71"/>
  <c r="Q12" i="71"/>
  <c r="Z12" i="71" s="1"/>
  <c r="J12" i="71"/>
  <c r="W12" i="71" s="1"/>
  <c r="H12" i="71"/>
  <c r="F12" i="71"/>
  <c r="AA12" i="71" s="1"/>
  <c r="AB11" i="71"/>
  <c r="Q11" i="71"/>
  <c r="Z11" i="71" s="1"/>
  <c r="J11" i="71"/>
  <c r="AC11" i="71" s="1"/>
  <c r="H11" i="71"/>
  <c r="U11" i="71" s="1"/>
  <c r="F11" i="71"/>
  <c r="AA11" i="71" s="1"/>
  <c r="AA10" i="71"/>
  <c r="S10" i="71"/>
  <c r="J10" i="71"/>
  <c r="AC10" i="71" s="1"/>
  <c r="H10" i="71"/>
  <c r="F10" i="71"/>
  <c r="C9" i="71"/>
  <c r="C70" i="71" s="1"/>
  <c r="C72" i="71" s="1"/>
  <c r="AB44" i="71" l="1"/>
  <c r="F25" i="71"/>
  <c r="AA25" i="71" s="1"/>
  <c r="AA42" i="71"/>
  <c r="U41" i="71"/>
  <c r="AC36" i="71"/>
  <c r="AB17" i="71"/>
  <c r="AC13" i="71"/>
  <c r="W13" i="71"/>
  <c r="AC23" i="71"/>
  <c r="W23" i="71"/>
  <c r="S40" i="71"/>
  <c r="AA40" i="71"/>
  <c r="S11" i="71"/>
  <c r="S15" i="71"/>
  <c r="AC17" i="71"/>
  <c r="F97" i="71"/>
  <c r="G97" i="71" s="1"/>
  <c r="H23" i="71"/>
  <c r="W40" i="71"/>
  <c r="AC40" i="71"/>
  <c r="U10" i="71"/>
  <c r="AB10" i="71"/>
  <c r="AB13" i="71"/>
  <c r="U13" i="71"/>
  <c r="AB19" i="71"/>
  <c r="W10" i="71"/>
  <c r="AA13" i="71"/>
  <c r="S13" i="71"/>
  <c r="AB40" i="71"/>
  <c r="U40" i="71"/>
  <c r="AC14" i="71"/>
  <c r="W14" i="71"/>
  <c r="W25" i="71"/>
  <c r="W27" i="71"/>
  <c r="W29" i="71"/>
  <c r="U34" i="71"/>
  <c r="S36" i="71"/>
  <c r="U43" i="71"/>
  <c r="S44" i="71"/>
  <c r="U47" i="71"/>
  <c r="R48" i="71"/>
  <c r="I55" i="71"/>
  <c r="J55" i="71" s="1"/>
  <c r="AB33" i="71"/>
  <c r="U33" i="71"/>
  <c r="W11" i="71"/>
  <c r="U14" i="71"/>
  <c r="W15" i="71"/>
  <c r="AB31" i="71"/>
  <c r="AA33" i="71"/>
  <c r="AB37" i="71"/>
  <c r="AA38" i="71"/>
  <c r="AA39" i="71"/>
  <c r="AC41" i="71"/>
  <c r="T48" i="71"/>
  <c r="AA45" i="71"/>
  <c r="S45" i="71"/>
  <c r="S12" i="71"/>
  <c r="S16" i="71"/>
  <c r="S17" i="71"/>
  <c r="S19" i="71"/>
  <c r="S21" i="71"/>
  <c r="S23" i="71"/>
  <c r="S25" i="71"/>
  <c r="S27" i="71"/>
  <c r="S29" i="71"/>
  <c r="AA31" i="71"/>
  <c r="S31" i="71"/>
  <c r="AC31" i="71"/>
  <c r="AC33" i="71"/>
  <c r="AA34" i="71"/>
  <c r="AC37" i="71"/>
  <c r="AC38" i="71"/>
  <c r="AB39" i="71"/>
  <c r="AC42" i="71"/>
  <c r="AA43" i="71"/>
  <c r="H45" i="71"/>
  <c r="AC46" i="71"/>
  <c r="V48" i="71"/>
  <c r="AB38" i="71"/>
  <c r="U38" i="71"/>
  <c r="U21" i="71"/>
  <c r="U25" i="71"/>
  <c r="U27" i="71"/>
  <c r="U29" i="71"/>
  <c r="J45" i="71"/>
  <c r="D70" i="71"/>
  <c r="AC39" i="71"/>
  <c r="W39" i="71"/>
  <c r="W34" i="71"/>
  <c r="S37" i="71"/>
  <c r="S41" i="71"/>
  <c r="U42" i="71"/>
  <c r="W43" i="71"/>
  <c r="U46" i="71"/>
  <c r="W47" i="71"/>
  <c r="C10" i="12"/>
  <c r="E10" i="12"/>
  <c r="C13" i="12"/>
  <c r="C14" i="12" s="1"/>
  <c r="C15" i="12"/>
  <c r="D16" i="12"/>
  <c r="C16" i="12" s="1"/>
  <c r="D21" i="12"/>
  <c r="C21" i="12" s="1"/>
  <c r="D22" i="12"/>
  <c r="C22" i="12" s="1"/>
  <c r="Q16" i="1"/>
  <c r="F33" i="12"/>
  <c r="C34" i="12" s="1"/>
  <c r="D33" i="12" s="1"/>
  <c r="I9" i="39"/>
  <c r="G9" i="39"/>
  <c r="I48" i="39"/>
  <c r="G48" i="39"/>
  <c r="E48" i="39"/>
  <c r="I40" i="39"/>
  <c r="G40" i="39"/>
  <c r="E40" i="39"/>
  <c r="C40" i="39"/>
  <c r="I13" i="39"/>
  <c r="F3" i="69"/>
  <c r="F4" i="69"/>
  <c r="F5" i="69"/>
  <c r="F2" i="69"/>
  <c r="G13" i="39"/>
  <c r="E13" i="39"/>
  <c r="C13" i="39"/>
  <c r="E9" i="39"/>
  <c r="I7" i="39"/>
  <c r="G7" i="39"/>
  <c r="E7" i="39"/>
  <c r="D10" i="12"/>
  <c r="G22" i="6"/>
  <c r="F21" i="6"/>
  <c r="F20" i="6"/>
  <c r="F19" i="6"/>
  <c r="E2" i="68"/>
  <c r="D2" i="68"/>
  <c r="AT13" i="3"/>
  <c r="AF13" i="3"/>
  <c r="AD13" i="3"/>
  <c r="M13" i="3"/>
  <c r="K13" i="3"/>
  <c r="I13" i="3"/>
  <c r="C2" i="68"/>
  <c r="C6" i="68"/>
  <c r="C4"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G1" i="15"/>
  <c r="M47"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7" i="46" s="1"/>
  <c r="C16"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6"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B21" i="55" s="1"/>
  <c r="B72" i="63" s="1"/>
  <c r="C4" i="4"/>
  <c r="G66" i="36"/>
  <c r="J18" i="36"/>
  <c r="AE8" i="1"/>
  <c r="AE7" i="1"/>
  <c r="AE6" i="1"/>
  <c r="W18" i="36"/>
  <c r="AC18" i="36"/>
  <c r="AG6" i="1"/>
  <c r="D12" i="11"/>
  <c r="C12" i="11"/>
  <c r="L20" i="6"/>
  <c r="AZ5" i="3"/>
  <c r="E3" i="6"/>
  <c r="D16" i="43"/>
  <c r="C16" i="43" s="1"/>
  <c r="L19" i="6"/>
  <c r="L27" i="6"/>
  <c r="B20" i="55"/>
  <c r="B70" i="63" s="1"/>
  <c r="K20" i="6"/>
  <c r="S7" i="1"/>
  <c r="K19" i="6"/>
  <c r="S6" i="1"/>
  <c r="K21" i="6"/>
  <c r="S8" i="1"/>
  <c r="K22" i="6"/>
  <c r="S9" i="1"/>
  <c r="E6" i="6"/>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O7" i="1"/>
  <c r="P7" i="1"/>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T48" i="21"/>
  <c r="G48" i="21"/>
  <c r="U7" i="21"/>
  <c r="V9" i="59"/>
  <c r="D9" i="59"/>
  <c r="D107" i="46"/>
  <c r="M106" i="46"/>
  <c r="M104" i="46"/>
  <c r="M102" i="46"/>
  <c r="H107" i="46"/>
  <c r="M105" i="46"/>
  <c r="H105" i="46"/>
  <c r="H109" i="46"/>
  <c r="D103" i="46"/>
  <c r="D102" i="46"/>
  <c r="H104" i="46"/>
  <c r="H106" i="46"/>
  <c r="F18" i="11"/>
  <c r="C18" i="11" s="1"/>
  <c r="F24" i="43"/>
  <c r="C26" i="43" s="1"/>
  <c r="D24" i="43" s="1"/>
  <c r="D22"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3" i="6"/>
  <c r="R25" i="6"/>
  <c r="D27" i="6"/>
  <c r="M27" i="6"/>
  <c r="D7" i="66"/>
  <c r="D8" i="6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I1" i="65"/>
  <c r="F58" i="15"/>
  <c r="M17" i="15"/>
  <c r="M19" i="44"/>
  <c r="L46" i="15"/>
  <c r="X5" i="59"/>
  <c r="Y5" i="59"/>
  <c r="Z5" i="59"/>
  <c r="AA5" i="59"/>
  <c r="AB5" i="59"/>
  <c r="X6" i="59"/>
  <c r="Y6" i="59"/>
  <c r="Z6" i="59"/>
  <c r="AA6" i="59"/>
  <c r="AB6" i="59"/>
  <c r="C19" i="46"/>
  <c r="F7" i="15"/>
  <c r="F16" i="15"/>
  <c r="F26" i="15"/>
  <c r="F40" i="15"/>
  <c r="M8" i="15"/>
  <c r="L48" i="44"/>
  <c r="F10" i="67"/>
  <c r="F46" i="44"/>
  <c r="F40" i="44"/>
  <c r="F9" i="44"/>
  <c r="E11" i="67"/>
  <c r="N6" i="65"/>
  <c r="M26" i="44"/>
  <c r="J7" i="65"/>
  <c r="I3" i="65"/>
  <c r="C19" i="44"/>
  <c r="M25" i="44"/>
  <c r="F28" i="44"/>
  <c r="M29" i="15"/>
  <c r="M30" i="44"/>
  <c r="F11" i="44"/>
  <c r="F45" i="44"/>
  <c r="I6" i="65"/>
  <c r="J4" i="65"/>
  <c r="F6" i="15"/>
  <c r="C14" i="15"/>
  <c r="F43" i="15"/>
  <c r="M9" i="15"/>
  <c r="F15" i="44"/>
  <c r="F37" i="44"/>
  <c r="F9" i="67"/>
  <c r="F11" i="67"/>
  <c r="E8" i="67"/>
  <c r="E10" i="67"/>
  <c r="M31" i="44"/>
  <c r="I7" i="65"/>
  <c r="B9" i="67"/>
  <c r="M24" i="15"/>
  <c r="M28" i="44"/>
  <c r="L49" i="44"/>
  <c r="N5" i="65"/>
  <c r="M8" i="44"/>
  <c r="F10" i="44"/>
  <c r="M28" i="15"/>
  <c r="M27" i="15"/>
  <c r="F8" i="15"/>
  <c r="N4" i="65"/>
  <c r="F35" i="15"/>
  <c r="I5" i="65"/>
  <c r="E2" i="65" s="1"/>
  <c r="F13" i="15"/>
  <c r="F38" i="15"/>
  <c r="F42" i="15"/>
  <c r="M6" i="15"/>
  <c r="F8" i="67"/>
  <c r="M23" i="44"/>
  <c r="J6" i="65"/>
  <c r="F39" i="44"/>
  <c r="J15" i="15"/>
  <c r="M11" i="44"/>
  <c r="M22" i="15"/>
  <c r="J5" i="65"/>
  <c r="F37" i="15"/>
  <c r="L47" i="15"/>
  <c r="E12" i="67"/>
  <c r="J36" i="15"/>
  <c r="E9" i="67"/>
  <c r="B12" i="67"/>
  <c r="B8" i="67"/>
  <c r="M23" i="15"/>
  <c r="F14" i="67"/>
  <c r="B10" i="67"/>
  <c r="L48" i="15"/>
  <c r="M24" i="44"/>
  <c r="F13" i="67"/>
  <c r="M10" i="44"/>
  <c r="F38" i="44"/>
  <c r="J17" i="44"/>
  <c r="I4" i="65"/>
  <c r="F12" i="67"/>
  <c r="N3" i="65"/>
  <c r="F43" i="44"/>
  <c r="M29" i="44"/>
  <c r="C16" i="44"/>
  <c r="F9" i="15"/>
  <c r="F36" i="15"/>
  <c r="B14" i="67"/>
  <c r="F18" i="44"/>
  <c r="E14" i="67"/>
  <c r="N7" i="65"/>
  <c r="F8" i="44"/>
  <c r="M26" i="15"/>
  <c r="E13" i="67"/>
  <c r="B13" i="67"/>
  <c r="M21" i="15"/>
  <c r="B11" i="67"/>
  <c r="J3" i="65"/>
  <c r="E4" i="52" l="1"/>
  <c r="C5" i="46"/>
  <c r="D5" i="46"/>
  <c r="U45" i="71"/>
  <c r="AB45" i="71"/>
  <c r="W45" i="71"/>
  <c r="AC45" i="71"/>
  <c r="D72" i="71"/>
  <c r="E70" i="71"/>
  <c r="AB23" i="71"/>
  <c r="U23" i="71"/>
  <c r="C18" i="9"/>
  <c r="D18" i="9" s="1"/>
  <c r="M44" i="9" s="1"/>
  <c r="E10" i="52"/>
  <c r="E8" i="52"/>
  <c r="B22" i="52"/>
  <c r="C17" i="12"/>
  <c r="C18" i="12" s="1"/>
  <c r="E9" i="52"/>
  <c r="C14" i="43"/>
  <c r="C18" i="43" s="1"/>
  <c r="C19" i="43" s="1"/>
  <c r="B13" i="52"/>
  <c r="B14" i="52"/>
  <c r="B4" i="52"/>
  <c r="E22" i="52"/>
  <c r="E6" i="52"/>
  <c r="B8" i="52"/>
  <c r="E13" i="52"/>
  <c r="B11" i="52"/>
  <c r="E7" i="52"/>
  <c r="E14" i="52"/>
  <c r="C20" i="12"/>
  <c r="E21" i="52"/>
  <c r="B9" i="52"/>
  <c r="E11" i="52"/>
  <c r="B10" i="52"/>
  <c r="B7" i="52"/>
  <c r="J1" i="65"/>
  <c r="J20" i="15"/>
  <c r="C8" i="44"/>
  <c r="F63" i="15"/>
  <c r="C20" i="44"/>
  <c r="C17" i="44"/>
  <c r="Q73" i="44"/>
  <c r="E20" i="46"/>
  <c r="L56" i="15"/>
  <c r="J53" i="15"/>
  <c r="I54" i="15"/>
  <c r="L57" i="15"/>
  <c r="L60" i="15"/>
  <c r="J57" i="15"/>
  <c r="J55" i="15" s="1"/>
  <c r="J58" i="15" s="1"/>
  <c r="Q51" i="15" s="1"/>
  <c r="Q72" i="15"/>
  <c r="L59" i="15"/>
  <c r="L58" i="15"/>
  <c r="F64" i="15"/>
  <c r="J22" i="44"/>
  <c r="F65" i="15"/>
  <c r="B40" i="1"/>
  <c r="C34" i="15"/>
  <c r="F62" i="15"/>
  <c r="C61" i="15" s="1"/>
  <c r="C4" i="65"/>
  <c r="B39" i="1" s="1"/>
  <c r="F50" i="15"/>
  <c r="J58" i="44"/>
  <c r="J56" i="44" s="1"/>
  <c r="J59" i="44" s="1"/>
  <c r="Q52" i="44" s="1"/>
  <c r="L57" i="44"/>
  <c r="I55" i="44"/>
  <c r="J60" i="44"/>
  <c r="J54" i="44"/>
  <c r="J61" i="44"/>
  <c r="Q50" i="44" s="1"/>
  <c r="C36" i="44"/>
  <c r="F70" i="15"/>
  <c r="C18" i="15"/>
  <c r="C15" i="15"/>
  <c r="C6" i="15"/>
  <c r="C29" i="44"/>
  <c r="M9" i="44"/>
  <c r="J8" i="44" s="1"/>
  <c r="L60" i="44"/>
  <c r="L59" i="44"/>
  <c r="F67" i="15"/>
  <c r="C27" i="15"/>
  <c r="M7" i="15"/>
  <c r="J6" i="15" s="1"/>
  <c r="F49" i="15"/>
  <c r="D19" i="12"/>
  <c r="C19" i="12" s="1"/>
  <c r="C18" i="44"/>
  <c r="E3" i="65"/>
  <c r="C16" i="15"/>
  <c r="C17" i="15"/>
  <c r="M43" i="9" l="1"/>
  <c r="F70" i="71"/>
  <c r="E72" i="71"/>
  <c r="C33" i="46"/>
  <c r="C37" i="46"/>
  <c r="C36" i="46"/>
  <c r="C34" i="46"/>
  <c r="C38" i="46"/>
  <c r="C35" i="46"/>
  <c r="C39" i="46"/>
  <c r="T4" i="46"/>
  <c r="V4" i="46" s="1"/>
  <c r="T3" i="46"/>
  <c r="V3" i="46" s="1"/>
  <c r="T16" i="46"/>
  <c r="V16" i="46" s="1"/>
  <c r="T12" i="46"/>
  <c r="V12" i="46" s="1"/>
  <c r="T10" i="46"/>
  <c r="V10" i="46" s="1"/>
  <c r="T7" i="46"/>
  <c r="V7" i="46" s="1"/>
  <c r="T5" i="46"/>
  <c r="V5" i="46" s="1"/>
  <c r="T15" i="46"/>
  <c r="V15" i="46" s="1"/>
  <c r="T11" i="46"/>
  <c r="V11" i="46" s="1"/>
  <c r="T2" i="46"/>
  <c r="V2" i="46" s="1"/>
  <c r="T13" i="46"/>
  <c r="V13" i="46" s="1"/>
  <c r="T6" i="46"/>
  <c r="V6" i="46" s="1"/>
  <c r="T9" i="46"/>
  <c r="V9" i="46" s="1"/>
  <c r="T8" i="46"/>
  <c r="V8" i="46" s="1"/>
  <c r="C29" i="46"/>
  <c r="T14" i="46"/>
  <c r="V14" i="46" s="1"/>
  <c r="C23" i="12"/>
  <c r="L47" i="44"/>
  <c r="C48" i="15"/>
  <c r="C19" i="15"/>
  <c r="F17" i="11"/>
  <c r="C17" i="11" s="1"/>
  <c r="C19" i="11" s="1"/>
  <c r="C21" i="44"/>
  <c r="J18" i="15"/>
  <c r="Q62" i="44"/>
  <c r="Q75" i="44"/>
  <c r="J20" i="44"/>
  <c r="Q63" i="44"/>
  <c r="Q76" i="44"/>
  <c r="F24" i="15"/>
  <c r="C24" i="15" s="1"/>
  <c r="F26" i="12"/>
  <c r="C27" i="12" s="1"/>
  <c r="D26" i="12" s="1"/>
  <c r="C32" i="12" s="1"/>
  <c r="D30" i="12" s="1"/>
  <c r="F26" i="44"/>
  <c r="C26" i="44" s="1"/>
  <c r="F21" i="43"/>
  <c r="C23" i="43" s="1"/>
  <c r="D21" i="43" s="1"/>
  <c r="C34" i="44"/>
  <c r="M11" i="15"/>
  <c r="J10" i="15" s="1"/>
  <c r="J5" i="15" s="1"/>
  <c r="M13" i="44"/>
  <c r="J12" i="44" s="1"/>
  <c r="J7" i="44" s="1"/>
  <c r="F11" i="15"/>
  <c r="F13" i="44"/>
  <c r="C12" i="44" s="1"/>
  <c r="C7" i="44" s="1"/>
  <c r="N28" i="46"/>
  <c r="O28" i="46"/>
  <c r="P28" i="46"/>
  <c r="M28" i="46"/>
  <c r="C25" i="43"/>
  <c r="C24" i="43" s="1"/>
  <c r="C33" i="15"/>
  <c r="C32" i="15"/>
  <c r="Q54" i="44"/>
  <c r="F1" i="44"/>
  <c r="Q74" i="15"/>
  <c r="Q61" i="15"/>
  <c r="Q58" i="15"/>
  <c r="Q67" i="15"/>
  <c r="Q62" i="15"/>
  <c r="Q75" i="15"/>
  <c r="Q53" i="15"/>
  <c r="F1" i="15"/>
  <c r="AE9" i="1"/>
  <c r="F41" i="15" s="1"/>
  <c r="E34" i="46" l="1"/>
  <c r="G34" i="46"/>
  <c r="I34" i="46" s="1"/>
  <c r="G35" i="46"/>
  <c r="I35" i="46" s="1"/>
  <c r="E35" i="46"/>
  <c r="G37" i="46"/>
  <c r="I37" i="46" s="1"/>
  <c r="E37" i="46"/>
  <c r="C30" i="46"/>
  <c r="E30" i="46" s="1"/>
  <c r="C27" i="46" s="1"/>
  <c r="E29" i="46"/>
  <c r="E38" i="46"/>
  <c r="G38" i="46"/>
  <c r="I38" i="46" s="1"/>
  <c r="G33" i="46"/>
  <c r="I33" i="46" s="1"/>
  <c r="E33" i="46"/>
  <c r="E39" i="46"/>
  <c r="G39" i="46"/>
  <c r="I39" i="46" s="1"/>
  <c r="G36" i="46"/>
  <c r="I36" i="46" s="1"/>
  <c r="E36" i="46"/>
  <c r="G70" i="71"/>
  <c r="F72" i="71"/>
  <c r="C31" i="15"/>
  <c r="C22" i="43"/>
  <c r="C21" i="43" s="1"/>
  <c r="C28" i="43" s="1"/>
  <c r="C30" i="43" s="1"/>
  <c r="C32" i="43" s="1"/>
  <c r="B2" i="43" s="1"/>
  <c r="B4" i="43" s="1"/>
  <c r="F68" i="15"/>
  <c r="J28" i="44"/>
  <c r="J31" i="44" s="1"/>
  <c r="J26" i="44"/>
  <c r="J26" i="15"/>
  <c r="J29" i="15" s="1"/>
  <c r="J24" i="15"/>
  <c r="C40" i="44"/>
  <c r="C22" i="44"/>
  <c r="C20" i="11"/>
  <c r="C21" i="11" s="1"/>
  <c r="C22" i="11" s="1"/>
  <c r="C23" i="11" s="1"/>
  <c r="B2" i="11" s="1"/>
  <c r="C20" i="15"/>
  <c r="C23" i="15" s="1"/>
  <c r="C10" i="15"/>
  <c r="C5" i="15" s="1"/>
  <c r="C52" i="15"/>
  <c r="C47" i="15" s="1"/>
  <c r="F7" i="67"/>
  <c r="L52" i="44"/>
  <c r="E4" i="67" l="1"/>
  <c r="C26" i="46"/>
  <c r="G72" i="71"/>
  <c r="H70" i="71"/>
  <c r="B3" i="43"/>
  <c r="B5" i="43"/>
  <c r="C25" i="44"/>
  <c r="C28" i="44"/>
  <c r="Q69" i="44"/>
  <c r="L58" i="44"/>
  <c r="L61" i="44" s="1"/>
  <c r="C65" i="15"/>
  <c r="C59" i="15"/>
  <c r="C60" i="15"/>
  <c r="C26" i="15"/>
  <c r="C29" i="15" s="1"/>
  <c r="C38" i="15"/>
  <c r="Q58" i="44"/>
  <c r="Q49" i="44"/>
  <c r="Q55" i="44" s="1"/>
  <c r="Q67" i="44"/>
  <c r="B5" i="11"/>
  <c r="B3" i="11"/>
  <c r="B4" i="11"/>
  <c r="E7" i="67"/>
  <c r="E3" i="67" l="1"/>
  <c r="H72" i="71"/>
  <c r="I70" i="71"/>
  <c r="B2" i="46"/>
  <c r="C58" i="15"/>
  <c r="C31" i="44"/>
  <c r="C15" i="44" s="1"/>
  <c r="C13" i="15"/>
  <c r="C36" i="15"/>
  <c r="Q50" i="15"/>
  <c r="J14" i="15"/>
  <c r="J19" i="15"/>
  <c r="J17" i="15" s="1"/>
  <c r="C56" i="15"/>
  <c r="C63" i="15" s="1"/>
  <c r="J59" i="15"/>
  <c r="J60" i="15" s="1"/>
  <c r="Q49" i="15" s="1"/>
  <c r="Q68" i="44"/>
  <c r="Q77" i="44" s="1"/>
  <c r="Q59" i="44"/>
  <c r="Q64" i="44" s="1"/>
  <c r="B7" i="67"/>
  <c r="B2" i="67" l="1"/>
  <c r="C35" i="44"/>
  <c r="C33" i="44" s="1"/>
  <c r="D4" i="46"/>
  <c r="B3" i="46"/>
  <c r="B4" i="46"/>
  <c r="J70" i="71"/>
  <c r="I72" i="71"/>
  <c r="Q51" i="44"/>
  <c r="J16" i="44"/>
  <c r="J24" i="44" s="1"/>
  <c r="C38" i="44"/>
  <c r="J21" i="44"/>
  <c r="J19" i="44" s="1"/>
  <c r="C39" i="44"/>
  <c r="Q72" i="44"/>
  <c r="C43" i="44"/>
  <c r="J22" i="15"/>
  <c r="J13" i="15"/>
  <c r="J23" i="15" s="1"/>
  <c r="C37" i="15"/>
  <c r="C30" i="15" s="1"/>
  <c r="C39" i="15" s="1"/>
  <c r="J35" i="15"/>
  <c r="Q71" i="15"/>
  <c r="C55" i="15"/>
  <c r="C64" i="15" s="1"/>
  <c r="C57" i="15" s="1"/>
  <c r="C66" i="15" s="1"/>
  <c r="C67" i="15" s="1"/>
  <c r="K70" i="71" l="1"/>
  <c r="J72" i="71"/>
  <c r="J15" i="44"/>
  <c r="J25" i="44" s="1"/>
  <c r="J18" i="44" s="1"/>
  <c r="J27" i="44" s="1"/>
  <c r="B3" i="67"/>
  <c r="B4" i="67"/>
  <c r="C32" i="44"/>
  <c r="C42" i="44" s="1"/>
  <c r="Q71" i="44" s="1"/>
  <c r="Q70" i="44" s="1"/>
  <c r="J16" i="15"/>
  <c r="J25" i="15" s="1"/>
  <c r="C40" i="15"/>
  <c r="C46" i="15" s="1"/>
  <c r="Q70" i="15"/>
  <c r="Q69" i="15" s="1"/>
  <c r="J39" i="15"/>
  <c r="J40" i="15" s="1"/>
  <c r="C70" i="15"/>
  <c r="L51" i="15"/>
  <c r="K72" i="71" l="1"/>
  <c r="L70" i="71"/>
  <c r="C44" i="44"/>
  <c r="C45" i="44" s="1"/>
  <c r="B2" i="44" s="1"/>
  <c r="Q68" i="15"/>
  <c r="B2" i="15"/>
  <c r="Q57" i="15"/>
  <c r="Q63" i="15" s="1"/>
  <c r="C43" i="15"/>
  <c r="Q48" i="15"/>
  <c r="Q54" i="15" s="1"/>
  <c r="Q66" i="15"/>
  <c r="Q76" i="15" s="1"/>
  <c r="J42" i="15"/>
  <c r="J43" i="15" s="1"/>
  <c r="L72" i="71" l="1"/>
  <c r="M70" i="71"/>
  <c r="B4" i="44"/>
  <c r="B3" i="44"/>
  <c r="B5" i="44"/>
  <c r="C6" i="12"/>
  <c r="B3" i="15"/>
  <c r="N70" i="71" l="1"/>
  <c r="N72" i="71" s="1"/>
  <c r="M72" i="71"/>
  <c r="C24" i="12"/>
  <c r="C29" i="12"/>
  <c r="H9" i="71" l="1"/>
  <c r="F9" i="71"/>
  <c r="J9" i="71"/>
  <c r="C28" i="12"/>
  <c r="C26" i="12" s="1"/>
  <c r="C31" i="12" s="1"/>
  <c r="C30" i="12" s="1"/>
  <c r="C35" i="12"/>
  <c r="C33" i="12" s="1"/>
  <c r="AA9" i="71" l="1"/>
  <c r="R49" i="71" s="1"/>
  <c r="S9" i="71"/>
  <c r="W9" i="71"/>
  <c r="AC9" i="71"/>
  <c r="V49" i="71" s="1"/>
  <c r="I49" i="71" s="1"/>
  <c r="U9" i="71"/>
  <c r="AB9" i="71"/>
  <c r="T49" i="71" s="1"/>
  <c r="G49" i="71" s="1"/>
  <c r="C36" i="12"/>
  <c r="B2" i="12" s="1"/>
  <c r="B4" i="12" s="1"/>
  <c r="D19" i="9"/>
  <c r="D21" i="9"/>
  <c r="G54" i="71" l="1"/>
  <c r="H54" i="71" s="1"/>
  <c r="G53" i="71"/>
  <c r="H53" i="71" s="1"/>
  <c r="I53" i="71"/>
  <c r="J53" i="71" s="1"/>
  <c r="R50" i="71"/>
  <c r="E49" i="71"/>
  <c r="B3" i="12"/>
  <c r="B5" i="12"/>
  <c r="L44" i="9"/>
  <c r="D20" i="9"/>
  <c r="E54" i="71" l="1"/>
  <c r="F54" i="71" s="1"/>
  <c r="E53" i="71"/>
  <c r="F53" i="71" s="1"/>
  <c r="I54" i="71"/>
  <c r="J54" i="71" s="1"/>
  <c r="C50" i="71"/>
  <c r="C49" i="71"/>
  <c r="B67" i="71" l="1"/>
  <c r="F67" i="71" s="1"/>
  <c r="B65" i="71"/>
  <c r="F65" i="71" s="1"/>
  <c r="B63" i="71"/>
  <c r="F63" i="71" s="1"/>
  <c r="B62" i="71"/>
  <c r="F62" i="71" s="1"/>
  <c r="B66" i="71"/>
  <c r="F66" i="71" s="1"/>
  <c r="B64" i="71"/>
  <c r="F64" i="71" s="1"/>
  <c r="B58" i="71"/>
  <c r="F58" i="71" s="1"/>
  <c r="B61" i="71"/>
  <c r="F61" i="71" s="1"/>
  <c r="B60" i="71"/>
  <c r="F60" i="71" s="1"/>
  <c r="B59" i="71"/>
  <c r="F59" i="71" s="1"/>
  <c r="F68" i="71" l="1"/>
  <c r="B2" i="71" s="1"/>
  <c r="C19" i="9"/>
  <c r="L43" i="9" l="1"/>
  <c r="G19" i="9"/>
  <c r="D22" i="9"/>
  <c r="B5" i="71"/>
  <c r="B4" i="71"/>
  <c r="B3" i="71"/>
  <c r="C21" i="9"/>
  <c r="C20" i="9"/>
  <c r="G20" i="9" l="1"/>
  <c r="G21" i="9"/>
  <c r="C32" i="9"/>
  <c r="G22" i="9"/>
  <c r="D27" i="9"/>
  <c r="N43" i="9"/>
  <c r="O38" i="9" l="1"/>
  <c r="C42" i="9"/>
  <c r="O43" i="9"/>
  <c r="C33" i="9"/>
  <c r="C35" i="9"/>
  <c r="F42" i="9" s="1"/>
  <c r="C34" i="9"/>
  <c r="D42" i="9" l="1"/>
  <c r="Q5" i="54" s="1"/>
  <c r="B47" i="63" s="1"/>
  <c r="N38" i="9"/>
  <c r="K28" i="9" s="1"/>
  <c r="E42" i="9"/>
  <c r="P5" i="54" s="1"/>
  <c r="B46" i="63" s="1"/>
  <c r="M38" i="9"/>
  <c r="K27" i="9" s="1"/>
  <c r="C44" i="9"/>
  <c r="D14" i="66"/>
  <c r="D63" i="9"/>
  <c r="R5" i="54"/>
  <c r="B48" i="63" s="1"/>
  <c r="N68" i="9"/>
  <c r="K25" i="9"/>
  <c r="K26" i="9"/>
  <c r="D77" i="9" l="1"/>
  <c r="N75" i="9" s="1"/>
  <c r="C111" i="9"/>
  <c r="C104" i="9" s="1"/>
  <c r="C82" i="9"/>
  <c r="C81" i="9" s="1"/>
  <c r="C85" i="9" s="1"/>
  <c r="C86" i="9" s="1"/>
  <c r="D72" i="9" s="1"/>
  <c r="C90" i="9"/>
  <c r="D70" i="9"/>
  <c r="C103" i="9"/>
  <c r="D71" i="9"/>
  <c r="D66" i="9" s="1"/>
  <c r="N72" i="9" s="1"/>
  <c r="C96" i="9"/>
  <c r="C91" i="9" s="1"/>
  <c r="B5" i="66"/>
  <c r="F14" i="66"/>
  <c r="E14" i="66"/>
  <c r="D44" i="9"/>
  <c r="G14" i="66"/>
  <c r="B6" i="66" s="1"/>
  <c r="F44" i="9"/>
  <c r="N69" i="9"/>
  <c r="E44" i="9"/>
  <c r="O39" i="9"/>
  <c r="C113" i="9" l="1"/>
  <c r="C97" i="9"/>
  <c r="M86" i="9"/>
  <c r="N86" i="9" s="1"/>
  <c r="M87" i="9"/>
  <c r="N87" i="9" s="1"/>
  <c r="M83" i="9"/>
  <c r="N83" i="9" s="1"/>
  <c r="M84" i="9"/>
  <c r="N84" i="9" s="1"/>
  <c r="M88" i="9"/>
  <c r="N88" i="9" s="1"/>
  <c r="M85" i="9"/>
  <c r="N85" i="9" s="1"/>
  <c r="C114" i="9"/>
  <c r="E114" i="9" s="1"/>
  <c r="E115" i="9" s="1"/>
  <c r="K29" i="9"/>
  <c r="K30" i="9" s="1"/>
  <c r="R6" i="54"/>
  <c r="B50" i="63" s="1"/>
  <c r="C6" i="66"/>
  <c r="D6" i="66"/>
  <c r="D5" i="66"/>
  <c r="C5" i="66"/>
  <c r="N89" i="9" l="1"/>
  <c r="O89" i="9" s="1"/>
  <c r="C115" i="9"/>
  <c r="D76" i="9" s="1"/>
  <c r="D74" i="9" s="1"/>
  <c r="N74" i="9" s="1"/>
  <c r="O77" i="9" s="1"/>
  <c r="O79" i="9" s="1"/>
  <c r="O81" i="9" s="1"/>
  <c r="C98" i="9"/>
  <c r="E98" i="9" s="1"/>
  <c r="E99" i="9" s="1"/>
  <c r="C99" i="9" l="1"/>
  <c r="Q77" i="9"/>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<sst xmlns="http://schemas.openxmlformats.org/spreadsheetml/2006/main" count="7387" uniqueCount="3141">
  <si>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</si>
  <si>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</si>
  <si>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</si>
  <si>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</si>
  <si>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</si>
  <si>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</si>
  <si>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</si>
  <si>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</si>
  <si>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</si>
  <si>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</si>
  <si>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</si>
  <si>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</si>
  <si>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</si>
  <si>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</si>
  <si>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</si>
  <si>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</si>
  <si>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</si>
  <si>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</si>
  <si>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</si>
  <si>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</si>
  <si>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</si>
  <si>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</si>
  <si>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</si>
  <si>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</si>
  <si>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</si>
  <si>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</si>
  <si>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</si>
  <si>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</si>
  <si>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</si>
  <si>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</si>
  <si>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</si>
  <si>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</si>
  <si>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</si>
  <si>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</si>
  <si>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</si>
  <si>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</si>
  <si>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</si>
  <si>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</si>
  <si>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</si>
  <si>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</si>
  <si>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</si>
  <si>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</si>
  <si>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</si>
  <si>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</si>
  <si>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</si>
  <si>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</si>
  <si>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</si>
  <si>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</si>
  <si>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</si>
  <si>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</si>
  <si>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</si>
  <si>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</si>
  <si>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</si>
  <si>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</si>
  <si>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</si>
  <si>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</si>
  <si>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</si>
  <si>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</si>
  <si>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</si>
  <si>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</si>
  <si>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</si>
  <si>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</si>
  <si>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</si>
  <si>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</si>
  <si>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</si>
  <si>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</si>
  <si>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</si>
  <si>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</si>
  <si>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</si>
  <si>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</si>
  <si>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</si>
  <si>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</si>
  <si>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</si>
  <si>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</si>
  <si>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</si>
  <si>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</si>
  <si>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</si>
  <si>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</si>
  <si>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</si>
  <si>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</si>
  <si>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</si>
  <si>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</si>
  <si>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</si>
  <si>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</si>
  <si>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</si>
  <si>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</si>
  <si>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</si>
  <si>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</si>
  <si>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</si>
  <si>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</si>
  <si>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</si>
  <si>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</si>
  <si>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</si>
  <si>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</si>
  <si>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</si>
  <si>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</si>
  <si>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</si>
  <si>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</si>
  <si>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</si>
  <si>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</si>
  <si>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</si>
  <si>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</si>
  <si>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</si>
  <si>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</si>
  <si>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</si>
  <si>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</si>
  <si>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</si>
  <si>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</si>
  <si>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</si>
  <si>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</si>
  <si>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</si>
  <si>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</si>
  <si>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</si>
  <si>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</si>
  <si>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</si>
  <si>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</si>
  <si>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</si>
  <si>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</si>
  <si>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</si>
  <si>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</si>
  <si>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</si>
  <si>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</si>
  <si>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</si>
  <si>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</si>
  <si>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</si>
  <si>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</si>
  <si>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</si>
  <si>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</si>
  <si>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</si>
  <si>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</si>
  <si>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</si>
  <si>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</si>
  <si>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</si>
  <si>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</si>
  <si>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</si>
  <si>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</si>
  <si>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</si>
  <si>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</si>
  <si>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</si>
  <si>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</si>
  <si>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</si>
  <si>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</si>
  <si>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</si>
  <si>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</si>
  <si>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</si>
  <si>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</si>
  <si>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</si>
  <si>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</si>
  <si>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</si>
  <si>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</si>
  <si>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</si>
  <si>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</si>
  <si>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</si>
  <si>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</si>
  <si>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</si>
  <si>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</si>
  <si>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</si>
  <si>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</si>
  <si>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</si>
  <si>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</si>
  <si>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</si>
  <si>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</si>
  <si>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</si>
  <si>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</si>
  <si>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</si>
  <si>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</si>
  <si>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</si>
  <si>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</si>
  <si>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</si>
  <si>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</si>
  <si>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</si>
  <si>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</si>
  <si>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</si>
  <si>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</si>
  <si>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</si>
  <si>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</si>
  <si>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</si>
  <si>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</si>
  <si>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</si>
  <si>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</si>
  <si>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</si>
  <si>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</si>
  <si>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</si>
  <si>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</si>
  <si>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</si>
  <si>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</si>
  <si>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</si>
  <si>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</si>
  <si>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</si>
  <si>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</si>
  <si>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</si>
  <si>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</si>
  <si>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</si>
  <si>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</si>
  <si>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</si>
  <si>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</si>
  <si>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</si>
  <si>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</si>
  <si>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</si>
  <si>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</si>
  <si>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</si>
  <si>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</si>
  <si>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</si>
  <si>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</si>
  <si>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</si>
  <si>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</si>
  <si>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</si>
  <si>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</si>
  <si>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</si>
  <si>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</si>
  <si>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</si>
  <si>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</si>
  <si>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</si>
  <si>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</si>
  <si>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</si>
  <si>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</si>
  <si>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</si>
  <si>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</si>
  <si>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</si>
  <si>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</si>
  <si>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</si>
  <si>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</si>
  <si>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</si>
  <si>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</si>
  <si>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</si>
  <si>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</si>
  <si>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</si>
  <si>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</si>
  <si>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</si>
  <si>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</si>
  <si>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</si>
  <si>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</si>
  <si>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</si>
  <si>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</si>
  <si>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</si>
  <si>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</si>
  <si>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</si>
  <si>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</si>
  <si>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</si>
  <si>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</si>
  <si>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</si>
  <si>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</si>
  <si>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</si>
  <si>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</si>
  <si>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</si>
  <si>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</si>
  <si>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</si>
  <si>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</si>
  <si>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</si>
  <si>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</si>
  <si>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</si>
  <si>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</si>
  <si>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</si>
  <si>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</si>
  <si>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</si>
  <si>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</si>
  <si>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</si>
  <si>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</si>
  <si>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</si>
  <si>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</si>
  <si>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</si>
  <si>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</si>
  <si>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</si>
  <si>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</si>
  <si>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</si>
  <si>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</si>
  <si>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</si>
  <si>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</si>
  <si>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</si>
  <si>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</si>
  <si>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</si>
  <si>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</si>
  <si>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</si>
  <si>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</si>
  <si>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</si>
  <si>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</si>
  <si>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</si>
  <si>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</si>
  <si>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</si>
  <si>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</si>
  <si>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</si>
  <si>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</si>
  <si>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</si>
  <si>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</si>
  <si>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</si>
  <si>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</si>
  <si>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</si>
  <si>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</si>
  <si>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</si>
  <si>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</si>
  <si>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</si>
  <si>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</si>
  <si>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</si>
  <si>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</si>
  <si>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</si>
  <si>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</si>
  <si>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</si>
  <si>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</si>
  <si>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</si>
  <si>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</si>
  <si>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</si>
  <si>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</si>
  <si>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</si>
  <si>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</si>
  <si>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</si>
  <si>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</si>
  <si>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</si>
  <si>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</si>
  <si>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</si>
  <si>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</si>
  <si>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</si>
  <si>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</si>
  <si>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</si>
  <si>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</si>
  <si>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</si>
  <si>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</si>
  <si>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</si>
  <si>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</si>
  <si>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</si>
  <si>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</si>
  <si>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</si>
  <si>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</si>
  <si>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</si>
  <si>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</si>
  <si>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</si>
  <si>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</si>
  <si>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</si>
  <si>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</si>
  <si>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</si>
  <si>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</si>
  <si>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</si>
  <si>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</si>
  <si>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</si>
  <si>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</si>
  <si>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</si>
  <si>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</si>
  <si>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</si>
  <si>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</si>
  <si>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</si>
  <si>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</si>
  <si>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</si>
  <si>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</si>
  <si>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</si>
  <si>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</si>
  <si>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</si>
  <si>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</si>
  <si>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</si>
  <si>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</si>
  <si>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</si>
  <si>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</si>
  <si>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</si>
  <si>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</si>
  <si>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</si>
  <si>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</si>
  <si>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</si>
  <si>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</si>
  <si>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</si>
  <si>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</si>
  <si>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</si>
  <si>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</si>
  <si>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</si>
  <si>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</si>
  <si>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</si>
  <si>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</si>
  <si>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</si>
  <si>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</si>
  <si>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</si>
  <si>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</si>
  <si>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</si>
  <si>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</si>
  <si>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</si>
  <si>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</si>
  <si>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</si>
  <si>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</si>
  <si>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</si>
  <si>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</si>
  <si>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</si>
  <si>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</si>
  <si>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</si>
  <si>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</si>
  <si>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</si>
  <si>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</si>
  <si>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</si>
  <si>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</si>
  <si>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</si>
  <si>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</si>
  <si>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</si>
  <si>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</si>
  <si>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</si>
  <si>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</si>
  <si>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</si>
  <si>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</si>
  <si>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</si>
  <si>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</si>
  <si>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</si>
  <si>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</si>
  <si>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</si>
  <si>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</si>
  <si>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</si>
  <si>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</si>
  <si>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</si>
  <si>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</si>
  <si>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</si>
  <si>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</si>
  <si>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</si>
  <si>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</si>
  <si>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</si>
  <si>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</si>
  <si>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</si>
  <si>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</si>
  <si>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</si>
  <si>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</si>
  <si>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</si>
  <si>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</si>
  <si>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</si>
  <si>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</si>
  <si>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</si>
  <si>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</si>
  <si>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</si>
  <si>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</si>
  <si>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</si>
  <si>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</si>
  <si>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</si>
  <si>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</si>
  <si>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</si>
  <si>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</si>
  <si>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</si>
  <si>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</si>
  <si>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</si>
  <si>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</si>
  <si>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</si>
  <si>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</si>
  <si>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</si>
  <si>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</si>
  <si>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</si>
  <si>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</si>
  <si>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</si>
  <si>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</si>
  <si>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</si>
  <si>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</si>
  <si>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</si>
  <si>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</si>
  <si>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</si>
  <si>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</si>
  <si>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</si>
  <si>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</si>
  <si>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</si>
  <si>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</si>
  <si>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</si>
  <si>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</si>
  <si>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</si>
  <si>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</si>
  <si>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</si>
  <si>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</si>
  <si>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</si>
  <si>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</si>
  <si>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</si>
  <si>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</si>
  <si>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</si>
  <si>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</si>
  <si>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</si>
  <si>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</si>
  <si>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</si>
  <si>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</si>
  <si>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</si>
  <si>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</si>
  <si>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</si>
  <si>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</si>
  <si>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</si>
  <si>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</si>
  <si>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</si>
  <si>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</si>
  <si>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</si>
  <si>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</si>
  <si>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</si>
  <si>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</si>
  <si>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</si>
  <si>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</si>
  <si>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</si>
  <si>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</si>
  <si>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</si>
  <si>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</si>
  <si>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</si>
  <si>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</si>
  <si>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</si>
  <si>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</si>
  <si>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</si>
  <si>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</si>
  <si>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</si>
  <si>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</si>
  <si>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</si>
  <si>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</si>
  <si>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</si>
  <si>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</si>
  <si>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</si>
  <si>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</si>
  <si>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</si>
  <si>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</si>
  <si>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</si>
  <si>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</si>
  <si>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</si>
  <si>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</si>
  <si>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</si>
  <si>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</si>
  <si>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</si>
  <si>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</si>
  <si>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</si>
  <si>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</si>
  <si>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</si>
  <si>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</si>
  <si>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</si>
  <si>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</si>
  <si>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</si>
  <si>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</si>
  <si>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</si>
  <si>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</si>
  <si>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</si>
  <si>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</si>
  <si>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</si>
  <si>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</si>
  <si>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</si>
  <si>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</si>
  <si>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</si>
  <si>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</si>
  <si>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</si>
  <si>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</si>
  <si>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</si>
  <si>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</si>
  <si>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</si>
  <si>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</si>
  <si>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</si>
  <si>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</si>
  <si>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</si>
  <si>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</si>
  <si>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</si>
  <si>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</si>
  <si>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</si>
  <si>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</si>
  <si>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</si>
  <si>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</si>
  <si>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</si>
  <si>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</si>
  <si>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</si>
  <si>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</si>
  <si>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</si>
  <si>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</si>
  <si>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</si>
  <si>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</si>
  <si>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</si>
  <si>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</si>
  <si>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</si>
  <si>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</si>
  <si>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</si>
  <si>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</si>
  <si>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</si>
  <si>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</si>
  <si>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</si>
  <si>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</si>
  <si>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</si>
  <si>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</si>
  <si>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</si>
  <si>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</si>
  <si>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</si>
  <si>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</si>
  <si>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</si>
  <si>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</si>
  <si>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</si>
  <si>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</si>
  <si>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</si>
  <si>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</si>
  <si>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</si>
  <si>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</si>
  <si>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</si>
  <si>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</si>
  <si>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</si>
  <si>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</si>
  <si>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</si>
  <si>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</si>
  <si>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</si>
  <si>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</si>
  <si>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</si>
  <si>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</si>
  <si>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</si>
  <si>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</si>
  <si>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</si>
  <si>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</si>
  <si>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</si>
  <si>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</si>
  <si>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</si>
  <si>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</si>
  <si>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</si>
  <si>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</si>
  <si>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</si>
  <si>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</si>
  <si>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</si>
  <si>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</si>
  <si>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</si>
  <si>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</si>
  <si>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</si>
  <si>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</si>
  <si>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</si>
  <si>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</si>
  <si>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</si>
  <si>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</si>
  <si>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</si>
  <si>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</si>
  <si>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</si>
  <si>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</si>
  <si>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</si>
  <si>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</si>
  <si>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</si>
  <si>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</si>
  <si>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</si>
  <si>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</si>
  <si>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</si>
  <si>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</si>
  <si>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</si>
  <si>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</si>
  <si>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</si>
  <si>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</si>
  <si>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</si>
  <si>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</si>
  <si>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</si>
  <si>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</si>
  <si>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</si>
  <si>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</si>
  <si>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</si>
  <si>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</si>
  <si>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</si>
  <si>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</si>
  <si>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</si>
  <si>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</si>
  <si>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</si>
  <si>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</si>
  <si>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</si>
  <si>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</si>
  <si>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</si>
  <si>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</si>
  <si>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</si>
  <si>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</si>
  <si>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</si>
  <si>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</si>
  <si>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</si>
  <si>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</si>
  <si>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</si>
  <si>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</si>
  <si>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</si>
  <si>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</si>
  <si>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</si>
  <si>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</si>
  <si>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</si>
  <si>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</si>
  <si>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</si>
  <si>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</si>
  <si>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</si>
  <si>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</si>
  <si>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</si>
  <si>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</si>
  <si>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</si>
  <si>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</si>
  <si>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</si>
  <si>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</si>
  <si>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</si>
  <si>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</si>
  <si>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</si>
  <si>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</si>
  <si>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</si>
  <si>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</si>
  <si>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</si>
  <si>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</si>
  <si>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</si>
  <si>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</si>
  <si>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</si>
  <si>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</si>
  <si>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</si>
  <si>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</si>
  <si>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</si>
  <si>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</si>
  <si>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</si>
  <si>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</si>
  <si>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</si>
  <si>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</si>
  <si>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</si>
  <si>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</si>
  <si>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</si>
  <si>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</si>
  <si>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</si>
  <si>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</si>
  <si>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</si>
  <si>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</si>
  <si>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</si>
  <si>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</si>
  <si>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</si>
  <si>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</si>
  <si>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</si>
  <si>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</si>
  <si>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</si>
  <si>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</si>
  <si>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</si>
  <si>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</si>
  <si>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</si>
  <si>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</si>
  <si>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</si>
  <si>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</si>
  <si>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</si>
  <si>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</si>
  <si>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</si>
  <si>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</si>
  <si>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</si>
  <si>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</si>
  <si>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</si>
  <si>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</si>
  <si>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</si>
  <si>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</si>
  <si>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</si>
  <si>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</si>
  <si>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</si>
  <si>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</si>
  <si>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</si>
  <si>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</si>
  <si>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</si>
  <si>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</si>
  <si>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</si>
  <si>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</si>
  <si>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</si>
  <si>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</si>
  <si>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</si>
  <si>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</si>
  <si>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</si>
  <si>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</si>
  <si>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</si>
  <si>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</si>
  <si>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</si>
  <si>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</si>
  <si>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</si>
  <si>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</si>
  <si>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</si>
  <si>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</si>
  <si>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</si>
  <si>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</si>
  <si>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</si>
  <si>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</si>
  <si>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</si>
  <si>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</si>
  <si>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</si>
  <si>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</si>
  <si>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</si>
  <si>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</si>
  <si>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</si>
  <si>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</si>
  <si>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</si>
  <si>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</si>
  <si>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</si>
  <si>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</si>
  <si>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</si>
  <si>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</si>
  <si>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</si>
  <si>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</si>
  <si>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</si>
  <si>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</si>
  <si>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</si>
  <si>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</si>
  <si>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</si>
  <si>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</si>
  <si>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</si>
  <si>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</si>
  <si>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</si>
  <si>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</si>
  <si>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</si>
  <si>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</si>
  <si>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</si>
  <si>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</si>
  <si>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</si>
  <si>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</si>
  <si>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</si>
  <si>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</si>
  <si>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</si>
  <si>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</si>
  <si>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</si>
  <si>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</si>
  <si>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</si>
  <si>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</si>
  <si>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</si>
  <si>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</si>
  <si>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</si>
  <si>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</si>
  <si>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</si>
  <si>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</si>
  <si>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</si>
  <si>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</si>
  <si>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</si>
  <si>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</si>
  <si>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</si>
  <si>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</si>
  <si>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</si>
  <si>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</si>
  <si>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</si>
  <si>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</si>
  <si>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</si>
  <si>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</si>
  <si>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</si>
  <si>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</si>
  <si>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</si>
  <si>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</si>
  <si>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</si>
  <si>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</si>
  <si>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</si>
  <si>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</si>
  <si>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</si>
  <si>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</si>
  <si>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</si>
  <si>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</si>
  <si>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</si>
  <si>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</si>
  <si>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</si>
  <si>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</si>
  <si>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</si>
  <si>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</si>
  <si>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</si>
  <si>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</si>
  <si>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</si>
  <si>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</si>
  <si>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</si>
  <si>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</si>
  <si>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</si>
  <si>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</si>
  <si>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</si>
  <si>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</si>
  <si>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</si>
  <si>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</si>
  <si>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</si>
  <si>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</si>
  <si>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</si>
  <si>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</si>
  <si>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</si>
  <si>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</si>
  <si>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</si>
  <si>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</si>
  <si>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</si>
  <si>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</si>
  <si>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</si>
  <si>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</si>
  <si>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</si>
  <si>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</si>
  <si>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</si>
  <si>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</si>
  <si>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</si>
  <si>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</si>
  <si>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</si>
  <si>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</si>
  <si>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</si>
  <si>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</si>
  <si>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</si>
  <si>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</si>
  <si>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</si>
  <si>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</si>
  <si>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</si>
  <si>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</si>
  <si>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</si>
  <si>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</si>
  <si>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</si>
  <si>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</si>
  <si>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</si>
  <si>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</si>
  <si>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</si>
  <si>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</si>
  <si>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</si>
  <si>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</si>
  <si>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</si>
  <si>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</si>
  <si>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</si>
  <si>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</si>
  <si>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</si>
  <si>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</si>
  <si>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</si>
  <si>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</si>
  <si>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</si>
  <si>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</si>
  <si>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</si>
  <si>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</si>
  <si>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</si>
  <si>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</si>
  <si>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</si>
  <si>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</si>
  <si>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</si>
  <si>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</si>
  <si>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</si>
  <si>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</si>
  <si>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</si>
  <si>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</si>
  <si>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</si>
  <si>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</si>
  <si>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</si>
  <si>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</si>
  <si>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</si>
  <si>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</si>
  <si>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</si>
  <si>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</si>
  <si>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</si>
  <si>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</si>
  <si>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</si>
  <si>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</si>
  <si>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</si>
  <si>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</si>
  <si>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</si>
  <si>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</si>
  <si>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</si>
  <si>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</si>
  <si>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</si>
  <si>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</si>
  <si>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</si>
  <si>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</si>
  <si>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</si>
  <si>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</si>
  <si>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</si>
  <si>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</si>
  <si>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</si>
  <si>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</si>
  <si>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</si>
  <si>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</si>
  <si>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</si>
  <si>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</si>
  <si>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</si>
  <si>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</si>
  <si>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</si>
  <si>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</si>
  <si>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</si>
  <si>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</si>
  <si>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</si>
  <si>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</si>
  <si>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</si>
  <si>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</si>
  <si>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</si>
  <si>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</si>
  <si>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</si>
  <si>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</si>
  <si>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</si>
  <si>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</si>
  <si>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</si>
  <si>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</si>
  <si>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</si>
  <si>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</si>
  <si>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</si>
  <si>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</si>
  <si>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</si>
  <si>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</si>
  <si>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</si>
  <si>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</si>
  <si>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</si>
  <si>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</si>
  <si>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</si>
  <si>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</si>
  <si>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</si>
  <si>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</si>
  <si>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</si>
  <si>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</si>
  <si>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</si>
  <si>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</si>
  <si>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</si>
  <si>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</si>
  <si>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</si>
  <si>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</si>
  <si>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</si>
  <si>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</si>
  <si>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</si>
  <si>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</si>
  <si>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</si>
  <si>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</si>
  <si>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</si>
  <si>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</si>
  <si>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</si>
  <si>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</si>
  <si>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</si>
  <si>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</si>
  <si>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</si>
  <si>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</si>
  <si>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</si>
  <si>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</si>
  <si>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</si>
  <si>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</si>
  <si>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</si>
  <si>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</si>
  <si>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</si>
  <si>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</si>
  <si>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</si>
  <si>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</si>
  <si>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</si>
  <si>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</si>
  <si>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</si>
  <si>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</si>
  <si>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</si>
  <si>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</si>
  <si>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</si>
  <si>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</si>
  <si>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</si>
  <si>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</si>
  <si>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</si>
  <si>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</si>
  <si>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</si>
  <si>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</si>
  <si>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</si>
  <si>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</si>
  <si>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</si>
  <si>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</si>
  <si>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</si>
  <si>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</si>
  <si>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</si>
  <si>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</si>
  <si>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</si>
  <si>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</si>
  <si>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</si>
  <si>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</si>
  <si>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</si>
  <si>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</si>
  <si>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</si>
  <si>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</si>
  <si>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</si>
  <si>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</si>
  <si>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</si>
  <si>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</si>
  <si>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</si>
  <si>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</si>
  <si>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</si>
  <si>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</si>
  <si>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</si>
  <si>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</si>
  <si>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</si>
  <si>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</si>
  <si>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</si>
  <si>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</si>
  <si>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</si>
  <si>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</si>
  <si>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</si>
  <si>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</si>
  <si>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</si>
  <si>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</si>
  <si>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</si>
  <si>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</si>
  <si>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</si>
  <si>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</si>
  <si>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</si>
  <si>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</si>
  <si>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</si>
  <si>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</si>
  <si>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</si>
  <si>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</si>
  <si>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</si>
  <si>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</si>
  <si>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</si>
  <si>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</si>
  <si>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</si>
  <si>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</si>
  <si>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</si>
  <si>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</si>
  <si>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</si>
  <si>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</si>
  <si>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</si>
  <si>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</si>
  <si>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</si>
  <si>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</si>
  <si>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</si>
  <si>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</si>
  <si>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</si>
  <si>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</si>
  <si>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</si>
  <si>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</si>
  <si>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</si>
  <si>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</si>
  <si>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</si>
  <si>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</si>
  <si>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</si>
  <si>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</si>
  <si>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</si>
  <si>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</si>
  <si>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</si>
  <si>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</si>
  <si>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</si>
  <si>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</si>
  <si>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</si>
  <si>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</si>
  <si>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</si>
  <si>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</si>
  <si>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</si>
  <si>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</si>
  <si>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</si>
  <si>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</si>
  <si>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</si>
  <si>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</si>
  <si>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</si>
  <si>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</si>
  <si>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</si>
  <si>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</si>
  <si>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</si>
  <si>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</si>
  <si>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</si>
  <si>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</si>
  <si>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</si>
  <si>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</si>
  <si>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</si>
  <si>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</si>
  <si>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</si>
  <si>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</si>
  <si>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</si>
  <si>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</si>
  <si>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</si>
  <si>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</si>
  <si>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</si>
  <si>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</si>
  <si>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</si>
  <si>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</si>
  <si>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</si>
  <si>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</si>
  <si>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</si>
  <si>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</si>
  <si>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</si>
  <si>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</si>
  <si>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</si>
  <si>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</si>
  <si>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</si>
  <si>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</si>
  <si>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</si>
  <si>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</si>
  <si>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</si>
  <si>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</si>
  <si>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</si>
  <si>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</si>
  <si>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</si>
  <si>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</si>
  <si>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</si>
  <si>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</si>
  <si>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</si>
  <si>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</si>
  <si>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</si>
  <si>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</si>
  <si>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</si>
  <si>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</si>
  <si>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</si>
  <si>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</si>
  <si>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</si>
  <si>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</si>
  <si>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</si>
  <si>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</si>
  <si>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</si>
  <si>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</si>
  <si>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</si>
  <si>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</si>
  <si>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</si>
  <si>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</si>
  <si>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</si>
  <si>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</si>
  <si>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</si>
  <si>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</si>
  <si>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</si>
  <si>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</si>
  <si>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</si>
  <si>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</si>
  <si>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</si>
  <si>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</si>
  <si>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</si>
  <si>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</si>
  <si>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</si>
  <si>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</si>
  <si>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</si>
  <si>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</si>
  <si>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</si>
  <si>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</si>
  <si>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</si>
  <si>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</si>
  <si>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</si>
  <si>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</si>
  <si>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</si>
  <si>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</si>
  <si>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</si>
  <si>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</si>
  <si>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</si>
  <si>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</si>
  <si>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</si>
  <si>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</si>
  <si>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</si>
  <si>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</si>
  <si>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</si>
  <si>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</si>
  <si>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</si>
  <si>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</si>
  <si>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</si>
  <si>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</si>
  <si>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</si>
  <si>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</si>
  <si>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</si>
  <si>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</si>
  <si>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</si>
  <si>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</si>
  <si>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</si>
  <si>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</si>
  <si>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</si>
  <si>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</si>
  <si>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</si>
  <si>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</si>
  <si>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</si>
  <si>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</si>
  <si>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</si>
  <si>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</si>
  <si>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</si>
  <si>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</si>
  <si>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</si>
  <si>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</si>
  <si>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</si>
  <si>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</si>
  <si>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</si>
  <si>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</si>
  <si>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</si>
  <si>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</si>
  <si>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</si>
  <si>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</si>
  <si>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</si>
  <si>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</si>
  <si>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</si>
  <si>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</si>
  <si>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</si>
  <si>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</si>
  <si>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</si>
  <si>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</si>
  <si>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</si>
  <si>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</si>
  <si>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</si>
  <si>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</si>
  <si>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</si>
  <si>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</si>
  <si>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</si>
  <si>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</si>
  <si>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</si>
  <si>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</si>
  <si>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</si>
  <si>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</si>
  <si>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</si>
  <si>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</si>
  <si>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</si>
  <si>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</si>
  <si>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</si>
  <si>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</si>
  <si>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</si>
  <si>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</si>
  <si>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</si>
  <si>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</si>
  <si>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</si>
  <si>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</si>
  <si>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</si>
  <si>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</si>
  <si>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</si>
  <si>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</si>
  <si>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</si>
  <si>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</si>
  <si>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</si>
  <si>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</si>
  <si>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</si>
  <si>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</si>
  <si>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</si>
  <si>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</si>
  <si>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</si>
  <si>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</si>
  <si>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</si>
  <si>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</si>
  <si>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</si>
  <si>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</si>
  <si>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</si>
  <si>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</si>
  <si>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</si>
  <si>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</si>
  <si>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</si>
  <si>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</si>
  <si>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</si>
  <si>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</si>
  <si>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</si>
  <si>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</si>
  <si>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</si>
  <si>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</si>
  <si>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</si>
  <si>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</si>
  <si>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</si>
  <si>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</si>
  <si>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</si>
  <si>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</si>
  <si>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</si>
  <si>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</si>
  <si>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</si>
  <si>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</si>
  <si>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</si>
  <si>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</si>
  <si>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</si>
  <si>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</si>
  <si>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</si>
  <si>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</si>
  <si>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</si>
  <si>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</si>
  <si>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</si>
  <si>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</si>
  <si>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</si>
  <si>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</si>
  <si>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</si>
  <si>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</si>
  <si>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</si>
  <si>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</si>
  <si>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</si>
  <si>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</si>
  <si>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</si>
  <si>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</si>
  <si>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</si>
  <si>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</si>
  <si>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</si>
  <si>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</si>
  <si>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</si>
  <si>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</si>
  <si>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</si>
  <si>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</si>
  <si>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</si>
  <si>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</si>
  <si>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</si>
  <si>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</si>
  <si>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</si>
  <si>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</si>
  <si>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</si>
  <si>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</si>
  <si>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</si>
  <si>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</si>
  <si>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</si>
  <si>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</si>
  <si>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</si>
  <si>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</si>
  <si>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</si>
  <si>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</si>
  <si>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</si>
  <si>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</si>
  <si>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</si>
  <si>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</si>
  <si>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</si>
  <si>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</si>
  <si>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</si>
  <si>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</si>
  <si>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</si>
  <si>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</si>
  <si>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</si>
  <si>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</si>
  <si>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</si>
  <si>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</si>
  <si>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</si>
  <si>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</si>
  <si>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</si>
  <si>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</si>
  <si>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</si>
  <si>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</si>
  <si>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</si>
  <si>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</si>
  <si>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</si>
  <si>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</si>
  <si>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</si>
  <si>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</si>
  <si>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</si>
  <si>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</si>
  <si>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</si>
  <si>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</si>
  <si>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</si>
  <si>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</si>
  <si>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</si>
  <si>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</si>
  <si>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</si>
  <si>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</si>
  <si>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</si>
  <si>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</si>
  <si>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</si>
  <si>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</si>
  <si>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</si>
  <si>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</si>
  <si>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</si>
  <si>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</si>
  <si>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</si>
  <si>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</si>
  <si>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</si>
  <si>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</si>
  <si>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</si>
  <si>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</si>
  <si>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</si>
  <si>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</si>
  <si>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</si>
  <si>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</si>
  <si>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</si>
  <si>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</si>
  <si>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</si>
  <si>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</si>
  <si>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</si>
  <si>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</si>
  <si>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</si>
  <si>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</si>
  <si>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</si>
  <si>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</si>
  <si>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</si>
  <si>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</si>
  <si>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</si>
  <si>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</si>
  <si>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</si>
  <si>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</si>
  <si>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</si>
  <si>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</si>
  <si>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</si>
  <si>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</si>
  <si>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</si>
  <si>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</si>
  <si>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</si>
  <si>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</si>
  <si>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</si>
  <si>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</si>
  <si>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</si>
  <si>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</si>
  <si>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</si>
  <si>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</si>
  <si>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</si>
  <si>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</si>
  <si>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</si>
  <si>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</si>
  <si>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</si>
  <si>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</si>
  <si>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</si>
  <si>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</si>
  <si>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</si>
  <si>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</si>
  <si>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</si>
  <si>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</si>
  <si>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</si>
  <si>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</si>
  <si>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</si>
  <si>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</si>
  <si>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</si>
  <si>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</si>
  <si>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</si>
  <si>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</si>
  <si>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</si>
  <si>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</si>
  <si>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</si>
  <si>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</si>
  <si>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</si>
  <si>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</si>
  <si>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</si>
  <si>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</si>
  <si>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</si>
  <si>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</si>
  <si>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</si>
  <si>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</si>
  <si>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</si>
  <si>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</si>
  <si>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</si>
  <si>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</si>
  <si>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</si>
  <si>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</si>
  <si>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</si>
  <si>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</si>
  <si>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</si>
  <si>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</si>
  <si>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</si>
  <si>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</si>
  <si>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</si>
  <si>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</si>
  <si>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</si>
  <si>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</si>
  <si>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</si>
  <si>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</si>
  <si>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</si>
  <si>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</si>
  <si>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</si>
  <si>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</si>
  <si>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</si>
  <si>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</si>
  <si>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</si>
  <si>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</si>
  <si>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</si>
  <si>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</si>
  <si>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</si>
  <si>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</si>
  <si>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</si>
  <si>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</si>
  <si>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</si>
  <si>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</si>
  <si>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</si>
  <si>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</si>
  <si>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</si>
  <si>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</si>
  <si>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</si>
  <si>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</si>
  <si>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</si>
  <si>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</si>
  <si>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</si>
  <si>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</si>
  <si>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</si>
  <si>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</si>
  <si>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</si>
  <si>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</si>
  <si>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</si>
  <si>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</si>
  <si>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</si>
  <si>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</si>
  <si>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</si>
  <si>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</si>
  <si>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</si>
  <si>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</si>
  <si>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</si>
  <si>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</si>
  <si>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</si>
  <si>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</si>
  <si>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</si>
  <si>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</si>
  <si>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</si>
  <si>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</si>
  <si>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</si>
  <si>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</si>
  <si>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</si>
  <si>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</si>
  <si>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</si>
  <si>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</si>
  <si>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</si>
  <si>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</si>
  <si>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</si>
  <si>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</si>
  <si>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</si>
  <si>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</si>
  <si>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</si>
  <si>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</si>
  <si>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</si>
  <si>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</si>
  <si>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</si>
  <si>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</si>
  <si>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</si>
  <si>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</si>
  <si>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</si>
  <si>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</si>
  <si>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</si>
  <si>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</si>
  <si>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</si>
  <si>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</si>
  <si>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</si>
  <si>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</si>
  <si>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</si>
  <si>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</si>
  <si>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</si>
  <si>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</si>
  <si>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</si>
  <si>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</si>
  <si>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</si>
  <si>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</si>
  <si>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</si>
  <si>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</si>
  <si>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</si>
  <si>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</si>
  <si>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</si>
  <si>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</si>
  <si>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</si>
  <si>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</si>
  <si>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</si>
  <si>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</si>
  <si>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</si>
  <si>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</si>
  <si>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</si>
  <si>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</si>
  <si>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</si>
  <si>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</si>
  <si>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</si>
  <si>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</si>
  <si>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</si>
  <si>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</si>
  <si>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</si>
  <si>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</si>
  <si>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</si>
  <si>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</si>
  <si>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</si>
  <si>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</si>
  <si>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</si>
  <si>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</si>
  <si>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</si>
  <si>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</si>
  <si>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</si>
  <si>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</si>
  <si>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</si>
  <si>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</si>
  <si>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</si>
  <si>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</si>
  <si>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</si>
  <si>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</si>
  <si>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</si>
  <si>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</si>
  <si>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</si>
  <si>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</si>
  <si>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</si>
  <si>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</si>
  <si>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</si>
  <si>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</si>
  <si>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</si>
  <si>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</si>
  <si>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</si>
  <si>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</si>
  <si>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</si>
  <si>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</si>
  <si>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</si>
  <si>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</si>
  <si>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</si>
  <si>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</si>
  <si>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</si>
  <si>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</si>
  <si>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</si>
  <si>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</si>
  <si>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</si>
  <si>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</si>
  <si>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</si>
  <si>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</si>
  <si>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</si>
  <si>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</si>
  <si>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</si>
  <si>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</si>
  <si>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</si>
  <si>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</si>
  <si>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</si>
  <si>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</si>
  <si>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</si>
  <si>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</si>
  <si>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</si>
  <si>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</si>
  <si>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</si>
  <si>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</si>
  <si>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</si>
  <si>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</si>
  <si>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</si>
  <si>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</si>
  <si>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</si>
  <si>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</si>
  <si>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</si>
  <si>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</si>
  <si>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</si>
  <si>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</si>
  <si>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</si>
  <si>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</si>
  <si>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</si>
  <si>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</si>
  <si>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</si>
  <si>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</si>
  <si>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</si>
  <si>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</si>
  <si>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</si>
  <si>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</si>
  <si>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</si>
  <si>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</si>
  <si>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</si>
  <si>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</si>
  <si>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</si>
  <si>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</si>
  <si>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</si>
  <si>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</si>
  <si>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</si>
  <si>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</si>
  <si>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</si>
  <si>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</si>
  <si>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</si>
  <si>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</si>
  <si>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</si>
  <si>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</si>
  <si>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</si>
  <si>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</si>
  <si>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</si>
  <si>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</si>
  <si>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</si>
  <si>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</si>
  <si>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</si>
  <si>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</si>
  <si>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</si>
  <si>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</si>
  <si>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</si>
  <si>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</si>
  <si>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</si>
  <si>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</si>
  <si>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</si>
  <si>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</si>
  <si>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</si>
  <si>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</si>
  <si>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</si>
  <si>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</si>
  <si>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</si>
  <si>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</si>
  <si>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</si>
  <si>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</si>
  <si>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</si>
  <si>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</si>
  <si>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</si>
  <si>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</si>
  <si>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</si>
  <si>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</si>
  <si>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</si>
  <si>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</si>
  <si>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</si>
  <si>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</si>
  <si>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</si>
  <si>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</si>
  <si>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</si>
  <si>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</si>
  <si>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</si>
  <si>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</si>
  <si>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</si>
  <si>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</si>
  <si>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</si>
  <si>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</si>
  <si>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</si>
  <si>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</si>
  <si>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</si>
  <si>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</si>
  <si>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</si>
  <si>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</si>
  <si>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</si>
  <si>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</si>
  <si>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</si>
  <si>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</si>
  <si>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</si>
  <si>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</si>
  <si>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</si>
  <si>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</si>
  <si>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</si>
  <si>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</si>
  <si>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</si>
  <si>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</si>
  <si>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</si>
  <si>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</si>
  <si>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</si>
  <si>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</si>
  <si>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</si>
  <si>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</si>
  <si>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</si>
  <si>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</si>
  <si>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</si>
  <si>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</si>
  <si>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</si>
  <si>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</si>
  <si>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</si>
  <si>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</si>
  <si>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</si>
  <si>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</si>
  <si>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</si>
  <si>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</si>
  <si>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</si>
  <si>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</si>
  <si>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</si>
  <si>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</si>
  <si>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</si>
  <si>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</si>
  <si>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</si>
  <si>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</si>
  <si>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</si>
  <si>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</si>
  <si>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</si>
  <si>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</si>
  <si>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</si>
  <si>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</si>
  <si>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</si>
  <si>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</si>
  <si>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</si>
  <si>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</si>
  <si>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</si>
  <si>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</si>
  <si>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</si>
  <si>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</si>
  <si>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</si>
  <si>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</si>
  <si>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</si>
  <si>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</si>
  <si>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</si>
  <si>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</si>
  <si>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</si>
  <si>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</si>
  <si>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</si>
  <si>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</si>
  <si>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</si>
  <si>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</si>
  <si>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</si>
  <si>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</si>
  <si>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</si>
  <si>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</si>
  <si>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</si>
  <si>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</si>
  <si>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</si>
  <si>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</si>
  <si>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</si>
  <si>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</si>
  <si>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</si>
  <si>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</si>
  <si>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</si>
  <si>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</si>
  <si>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</si>
  <si>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</si>
  <si>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</si>
  <si>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</si>
  <si>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</si>
  <si>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</si>
  <si>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</si>
  <si>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</si>
  <si>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</si>
  <si>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</si>
  <si>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</si>
  <si>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</si>
  <si>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</si>
  <si>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</si>
  <si>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</si>
  <si>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</si>
  <si>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</si>
  <si>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</si>
  <si>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</si>
  <si>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</si>
  <si>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</si>
  <si>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</si>
  <si>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</si>
  <si>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</si>
  <si>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</si>
  <si>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</si>
  <si>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</si>
  <si>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</si>
  <si>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</si>
  <si>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</si>
  <si>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</si>
  <si>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</si>
  <si>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</si>
  <si>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</si>
  <si>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</si>
  <si>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</si>
  <si>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</si>
  <si>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</si>
  <si>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</si>
  <si>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</si>
  <si>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</si>
  <si>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</si>
  <si>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</si>
  <si>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</si>
  <si>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</si>
  <si>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</si>
  <si>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</si>
  <si>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</si>
  <si>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</si>
  <si>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</si>
  <si>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</si>
  <si>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</si>
  <si>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</si>
  <si>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</si>
  <si>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</si>
  <si>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</si>
  <si>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</si>
  <si>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</si>
  <si>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</si>
  <si>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</si>
  <si>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</si>
  <si>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</si>
  <si>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</si>
  <si>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</si>
  <si>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</si>
  <si>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</si>
  <si>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</si>
  <si>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</si>
  <si>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</si>
  <si>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</si>
  <si>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</si>
  <si>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</si>
  <si>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</si>
  <si>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</si>
  <si>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</si>
  <si>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</si>
  <si>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</si>
  <si>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</si>
  <si>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</si>
  <si>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</si>
  <si>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</si>
  <si>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</si>
  <si>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</si>
  <si>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</si>
  <si>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</si>
  <si>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</si>
  <si>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</si>
  <si>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</si>
  <si>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</si>
  <si>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</si>
  <si>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</si>
  <si>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</si>
  <si>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</si>
  <si>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</si>
  <si>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</si>
  <si>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</si>
  <si>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</si>
  <si>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</si>
  <si>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</si>
  <si>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</si>
  <si>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</si>
  <si>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</si>
  <si>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</si>
  <si>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</si>
  <si>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</si>
  <si>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</si>
  <si>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</si>
  <si>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</si>
  <si>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</si>
  <si>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</si>
  <si>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</si>
  <si>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</si>
  <si>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</si>
  <si>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</si>
  <si>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</si>
  <si>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</si>
  <si>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</si>
  <si>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</si>
  <si>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</si>
  <si>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</si>
  <si>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</si>
  <si>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</si>
  <si>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</si>
  <si>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</si>
  <si>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</si>
  <si>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</si>
  <si>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</si>
  <si>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</si>
  <si>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</si>
  <si>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</si>
  <si>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</si>
  <si>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</si>
  <si>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</si>
  <si>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</si>
  <si>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</si>
  <si>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</si>
  <si>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</si>
  <si>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</si>
  <si>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</si>
  <si>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</si>
  <si>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</si>
  <si>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</si>
  <si>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</si>
  <si>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</si>
  <si>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</si>
  <si>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</si>
  <si>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</si>
  <si>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</si>
  <si>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</si>
  <si>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</si>
  <si>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</si>
  <si>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</si>
  <si>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</si>
  <si>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</si>
  <si>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</si>
  <si>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</si>
  <si>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</si>
  <si>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</si>
  <si>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</si>
  <si>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</si>
  <si>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</si>
  <si>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</si>
  <si>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</si>
  <si>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</si>
  <si>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</si>
  <si>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</si>
  <si>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</si>
  <si>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</si>
  <si>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</si>
  <si>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</si>
  <si>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</si>
  <si>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</si>
  <si>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</si>
  <si>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</si>
  <si>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</si>
  <si>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</si>
  <si>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</si>
  <si>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</si>
  <si>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</si>
  <si>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</si>
  <si>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</si>
  <si>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</si>
  <si>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</si>
  <si>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</si>
  <si>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</si>
  <si>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</si>
  <si>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</si>
  <si>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</si>
  <si>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</si>
  <si>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</si>
  <si>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</si>
  <si>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</si>
  <si>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</si>
  <si>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</si>
  <si>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</si>
  <si>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</si>
  <si>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</si>
  <si>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</si>
  <si>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</si>
  <si>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</si>
  <si>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</si>
  <si>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</si>
  <si>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</si>
  <si>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</si>
  <si>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</si>
  <si>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</si>
  <si>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</si>
  <si>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</si>
  <si>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</si>
  <si>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</si>
  <si>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</si>
  <si>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</si>
  <si>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</si>
  <si>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</si>
  <si>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</si>
  <si>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</si>
  <si>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</si>
  <si>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</si>
  <si>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</si>
  <si>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</si>
  <si>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</si>
  <si>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</si>
  <si>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</si>
  <si>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</si>
  <si>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</si>
  <si>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</si>
  <si>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</si>
  <si>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</si>
  <si>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</si>
  <si>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</si>
  <si>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</si>
  <si>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</si>
  <si>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</si>
  <si>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</si>
  <si>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</si>
  <si>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</si>
  <si>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</si>
  <si>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</si>
  <si>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</si>
  <si>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</si>
  <si>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</si>
  <si>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</si>
  <si>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</si>
  <si>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</si>
  <si>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</si>
  <si>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</si>
  <si>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</si>
  <si>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</si>
  <si>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</si>
  <si>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</si>
  <si>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</si>
  <si>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</si>
  <si>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</si>
  <si>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</si>
  <si>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</si>
  <si>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</si>
  <si>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</si>
  <si>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</si>
  <si>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</si>
  <si>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</si>
  <si>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</si>
  <si>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</si>
  <si>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</si>
  <si>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</si>
  <si>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</si>
  <si>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</si>
  <si>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</si>
  <si>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</si>
  <si>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</si>
  <si>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</si>
  <si>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</si>
  <si>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</si>
  <si>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</si>
  <si>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</si>
  <si>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</si>
  <si>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</si>
  <si>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</si>
  <si>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</si>
  <si>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</si>
  <si>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</si>
  <si>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</si>
  <si>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</si>
  <si>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</si>
  <si>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</si>
  <si>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</si>
  <si>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</si>
  <si>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</si>
  <si>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</si>
  <si>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</si>
  <si>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</si>
  <si>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</si>
  <si>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</si>
  <si>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</si>
  <si>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</si>
  <si>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</si>
  <si>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</si>
  <si>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</si>
  <si>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</si>
  <si>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</si>
  <si>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</si>
  <si>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</si>
  <si>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</si>
  <si>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</si>
  <si>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</si>
  <si>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</si>
  <si>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</si>
  <si>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</si>
  <si>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</si>
  <si>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</si>
  <si>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</si>
  <si>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</si>
  <si>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</si>
  <si>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</si>
  <si>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</si>
  <si>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</si>
  <si>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</si>
  <si>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</si>
  <si>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</si>
  <si>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</si>
  <si>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</si>
  <si>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</si>
  <si>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</si>
  <si>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</si>
  <si>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</si>
  <si>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</si>
  <si>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</si>
  <si>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</si>
  <si>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</si>
  <si>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</si>
  <si>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</si>
  <si>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</si>
  <si>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</si>
  <si>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</si>
  <si>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</si>
  <si>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</si>
  <si>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</si>
  <si>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</si>
  <si>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</si>
  <si>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</si>
  <si>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</si>
  <si>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</si>
  <si>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</si>
  <si>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</si>
  <si>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</si>
  <si>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</si>
  <si>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</si>
  <si>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</si>
  <si>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</si>
  <si>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</si>
  <si>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</si>
  <si>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</si>
  <si>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</si>
  <si>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</si>
  <si>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</si>
  <si>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</si>
  <si>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</si>
  <si>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</si>
  <si>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</si>
  <si>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</si>
  <si>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</si>
  <si>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</si>
  <si>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</si>
  <si>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</si>
  <si>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</si>
  <si>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</si>
  <si>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</si>
  <si>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</si>
  <si>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</si>
  <si>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</si>
  <si>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</si>
  <si>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</si>
  <si>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</si>
  <si>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</si>
  <si>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</si>
  <si>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</si>
  <si>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</si>
  <si>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</si>
  <si>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</si>
  <si>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</si>
  <si>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</si>
  <si>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</si>
  <si>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</si>
  <si>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</si>
  <si>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</si>
  <si>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</si>
  <si>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</si>
  <si>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</si>
  <si>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</si>
  <si>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</si>
  <si>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</si>
  <si>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</si>
  <si>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</si>
  <si>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</si>
  <si>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</si>
  <si>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</si>
  <si>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</si>
  <si>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</si>
  <si>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</si>
  <si>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</si>
  <si>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</si>
  <si>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</si>
  <si>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</si>
  <si>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</si>
  <si>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</si>
  <si>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</si>
  <si>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</si>
  <si>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</si>
  <si>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</si>
  <si>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</si>
  <si>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</si>
  <si>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</si>
  <si>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</si>
  <si>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</si>
  <si>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</si>
  <si>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</si>
  <si>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</si>
  <si>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</si>
  <si>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</si>
  <si>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</si>
  <si>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</si>
  <si>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</si>
  <si>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</si>
  <si>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</si>
  <si>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</si>
  <si>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</si>
  <si>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</si>
  <si>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</si>
  <si>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</si>
  <si>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</si>
  <si>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</si>
  <si>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</si>
  <si>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</si>
  <si>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</si>
  <si>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</si>
  <si>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</si>
  <si>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</si>
  <si>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</si>
  <si>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</si>
  <si>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</si>
  <si>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</si>
  <si>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</si>
  <si>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</si>
  <si>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</si>
  <si>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</si>
  <si>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</si>
  <si>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</si>
  <si>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</si>
  <si>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</si>
  <si>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</si>
  <si>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</si>
  <si>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</si>
  <si>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</si>
  <si>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</si>
  <si>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</si>
  <si>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</si>
  <si>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</si>
  <si>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</si>
  <si>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</si>
  <si>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</si>
  <si>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</si>
  <si>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</si>
  <si>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</si>
  <si>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</si>
  <si>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</si>
  <si>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</si>
  <si>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</si>
  <si>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</si>
  <si>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</si>
  <si>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</si>
  <si>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</si>
  <si>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</si>
  <si>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</si>
  <si>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</si>
  <si>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</si>
  <si>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</si>
  <si>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</si>
  <si>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</si>
  <si>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</si>
  <si>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</si>
  <si>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</si>
  <si>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</si>
  <si>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</si>
  <si>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</si>
  <si>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</si>
  <si>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</si>
  <si>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</si>
  <si>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</si>
  <si>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</si>
  <si>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</si>
  <si>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</si>
  <si>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</si>
  <si>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</si>
  <si>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</si>
  <si>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</si>
  <si>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</si>
  <si>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</si>
  <si>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</si>
  <si>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</si>
  <si>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</si>
  <si>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</si>
  <si>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</si>
  <si>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</si>
  <si>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</si>
  <si>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</si>
  <si>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</si>
  <si>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</si>
  <si>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</si>
  <si>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</si>
  <si>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</si>
  <si>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</si>
  <si>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</si>
  <si>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</si>
  <si>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</si>
  <si>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</si>
  <si>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</si>
  <si>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</si>
  <si>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</si>
  <si>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</si>
  <si>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</si>
  <si>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</si>
  <si>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</si>
  <si>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</si>
  <si>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</si>
  <si>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</si>
  <si>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</si>
  <si>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</si>
  <si>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</si>
  <si>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</si>
  <si>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</si>
  <si>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</si>
  <si>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</si>
  <si>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</si>
  <si>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</si>
  <si>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</si>
  <si>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</si>
  <si>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</si>
  <si>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</si>
  <si>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</si>
  <si>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</si>
  <si>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</si>
  <si>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</si>
  <si>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</si>
  <si>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</si>
  <si>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</si>
  <si>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</si>
  <si>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</si>
  <si>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</si>
  <si>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</si>
  <si>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</si>
  <si>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</si>
  <si>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</si>
  <si>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</si>
  <si>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</si>
  <si>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</si>
  <si>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</si>
  <si>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</si>
  <si>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</si>
  <si>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</si>
  <si>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</si>
  <si>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</si>
  <si>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</si>
  <si>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</si>
  <si>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</si>
  <si>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</si>
  <si>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</si>
  <si>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</si>
  <si>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</si>
  <si>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</si>
  <si>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</si>
  <si>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</si>
  <si>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</si>
  <si>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</si>
  <si>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</si>
  <si>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</si>
  <si>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</si>
  <si>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</si>
  <si>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</si>
  <si>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</si>
  <si>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</si>
  <si>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</si>
  <si>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</si>
  <si>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</si>
  <si>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</si>
  <si>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</si>
  <si>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</si>
  <si>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</si>
  <si>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</si>
  <si>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</si>
  <si>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</si>
  <si>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</si>
  <si>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</si>
  <si>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</si>
  <si>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</si>
  <si>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</si>
  <si>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</si>
  <si>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</si>
  <si>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</si>
  <si>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</si>
  <si>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</si>
  <si>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</si>
  <si>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</si>
  <si>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</si>
  <si>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</si>
  <si>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</si>
  <si>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</si>
  <si>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</si>
  <si>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</si>
  <si>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</si>
  <si>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</si>
  <si>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</si>
  <si>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</si>
  <si>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</si>
  <si>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</si>
  <si>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</si>
  <si>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</si>
  <si>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</si>
  <si>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</si>
  <si>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</si>
  <si>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</si>
  <si>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</si>
  <si>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</si>
  <si>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</si>
  <si>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</si>
  <si>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</si>
  <si>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</si>
  <si>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</si>
  <si>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</si>
  <si>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</si>
  <si>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</si>
  <si>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</si>
  <si>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</si>
  <si>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</si>
  <si>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</si>
  <si>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</si>
  <si>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</si>
  <si>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</si>
  <si>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</si>
  <si>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</si>
  <si>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</si>
  <si>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</si>
  <si>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</si>
  <si>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</si>
  <si>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</si>
  <si>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</si>
  <si>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</si>
  <si>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</si>
  <si>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</si>
  <si>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</si>
  <si>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</si>
  <si>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</si>
  <si>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</si>
  <si>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</si>
  <si>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</si>
  <si>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</si>
  <si>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</si>
  <si>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</si>
  <si>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</si>
  <si>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</si>
  <si>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</si>
  <si>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</si>
  <si>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</si>
  <si>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</si>
  <si>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</si>
  <si>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</si>
  <si>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</si>
  <si>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</si>
  <si>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</si>
  <si>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</si>
  <si>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</si>
  <si>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</si>
  <si>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</si>
  <si>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</si>
  <si>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</si>
  <si>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</si>
  <si>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</si>
  <si>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</si>
  <si>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</si>
  <si>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</si>
  <si>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</si>
  <si>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</si>
  <si>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</si>
  <si>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</si>
  <si>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</si>
  <si>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</si>
  <si>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</si>
  <si>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</si>
  <si>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</si>
  <si>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</si>
  <si>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</si>
  <si>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</si>
  <si>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</si>
  <si>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</si>
  <si>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</si>
  <si>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</si>
  <si>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</si>
  <si>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</si>
  <si>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</si>
  <si>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</si>
  <si>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</si>
  <si>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</si>
  <si>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</si>
  <si>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</si>
  <si>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</si>
  <si>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</si>
  <si>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</si>
  <si>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</si>
  <si>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</si>
  <si>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</si>
  <si>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</si>
  <si>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</si>
  <si>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</si>
  <si>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</si>
  <si>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</si>
  <si>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</si>
  <si>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</si>
  <si>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</si>
  <si>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</si>
  <si>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</si>
  <si>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</si>
  <si>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</si>
  <si>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</si>
  <si>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</si>
  <si>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</si>
  <si>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</si>
  <si>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</si>
  <si>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</si>
  <si>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</si>
  <si>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</si>
  <si>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</si>
  <si>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</si>
  <si>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</si>
  <si>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</si>
  <si>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</si>
  <si>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</si>
  <si>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</si>
  <si>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</si>
  <si>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</si>
  <si>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</si>
  <si>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</si>
  <si>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</si>
  <si>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</si>
  <si>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</si>
  <si>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</si>
  <si>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</si>
  <si>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</si>
  <si>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</si>
  <si>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</si>
  <si>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</si>
  <si>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</si>
  <si>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</si>
  <si>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</si>
  <si>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</si>
  <si>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</si>
  <si>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</si>
  <si>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</si>
  <si>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</si>
  <si>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</si>
  <si>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</si>
  <si>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</si>
  <si>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</si>
  <si>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</si>
  <si>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</si>
  <si>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</si>
  <si>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</si>
  <si>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</si>
  <si>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</si>
  <si>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</si>
  <si>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</si>
  <si>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</si>
  <si>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</si>
  <si>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</si>
  <si>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</si>
  <si>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</si>
  <si>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</si>
  <si>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</si>
  <si>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</si>
  <si>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</si>
  <si>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</si>
  <si>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</si>
  <si>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</si>
  <si>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</si>
  <si>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</si>
  <si>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</si>
  <si>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</si>
  <si>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</si>
  <si>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</si>
  <si>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</si>
  <si>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</si>
  <si>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</si>
  <si>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</si>
  <si>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</si>
  <si>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</si>
  <si>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</si>
  <si>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</si>
  <si>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</si>
  <si>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</si>
  <si>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</si>
  <si>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</si>
  <si>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</si>
  <si>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</si>
  <si>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</si>
  <si>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</si>
  <si>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</si>
  <si>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</si>
  <si>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</si>
  <si>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</si>
  <si>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</si>
  <si>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</si>
  <si>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</si>
  <si>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</si>
  <si>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</si>
  <si>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</si>
  <si>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</si>
  <si>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</si>
  <si>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</si>
  <si>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</si>
  <si>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</si>
  <si>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</si>
  <si>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</si>
  <si>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</si>
  <si>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</si>
  <si>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</si>
  <si>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</si>
  <si>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</si>
  <si>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</si>
  <si>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</si>
  <si>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</si>
  <si>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</si>
  <si>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</si>
  <si>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</si>
  <si>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</si>
  <si>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</si>
  <si>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</si>
  <si>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</si>
  <si>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</si>
  <si>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</si>
  <si>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</si>
  <si>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</si>
  <si>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</si>
  <si>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</si>
  <si>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</si>
  <si>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</si>
  <si>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</si>
  <si>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</si>
  <si>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</si>
  <si>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</si>
  <si>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</si>
  <si>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</si>
  <si>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</si>
  <si>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</si>
  <si>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</si>
  <si>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</si>
  <si>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</si>
  <si>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</si>
  <si>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</si>
  <si>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</si>
  <si>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</si>
  <si>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</si>
  <si>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</si>
  <si>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</si>
  <si>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</si>
  <si>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</si>
  <si>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</si>
  <si>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</si>
  <si>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</si>
  <si>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</si>
  <si>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</si>
  <si>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</si>
  <si>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</si>
  <si>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</si>
  <si>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</si>
  <si>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</si>
  <si>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</si>
  <si>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</si>
  <si>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</si>
  <si>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</si>
  <si>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</si>
  <si>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</si>
  <si>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</si>
  <si>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</si>
  <si>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</si>
  <si>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</si>
  <si>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</si>
  <si>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</si>
  <si>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</si>
  <si>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</si>
  <si>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</si>
  <si>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</si>
  <si>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</si>
  <si>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</si>
  <si>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</si>
  <si>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</si>
  <si>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</si>
  <si>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</si>
  <si>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</si>
  <si>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</si>
  <si>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</si>
  <si>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</si>
  <si>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</si>
  <si>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</si>
  <si>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</si>
  <si>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</si>
  <si>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</si>
  <si>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</si>
  <si>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</si>
  <si>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</si>
  <si>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</si>
  <si>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</si>
  <si>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</si>
  <si>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</si>
  <si>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</si>
  <si>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</si>
  <si>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</si>
  <si>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</si>
  <si>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</si>
  <si>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</si>
  <si>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</si>
  <si>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</si>
  <si>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</si>
  <si>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</si>
  <si>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</si>
  <si>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</si>
  <si>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</si>
  <si>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</si>
  <si>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</si>
  <si>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</si>
  <si>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</si>
  <si>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</si>
  <si>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</si>
  <si>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</si>
  <si>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</si>
  <si>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</si>
  <si>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</si>
  <si>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</si>
  <si>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</si>
  <si>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</si>
  <si>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</si>
  <si>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</si>
  <si>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</si>
  <si>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</si>
  <si>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</si>
  <si>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</si>
  <si>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</si>
  <si>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</si>
  <si>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</si>
  <si>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</si>
  <si>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</si>
  <si>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</si>
  <si>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</si>
  <si>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</si>
  <si>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</si>
  <si>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</si>
  <si>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</si>
  <si>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</si>
  <si>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</si>
  <si>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</si>
  <si>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</si>
  <si>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</si>
  <si>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</si>
  <si>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</si>
  <si>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</si>
  <si>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</si>
  <si>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</si>
  <si>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</si>
  <si>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</si>
  <si>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</si>
  <si>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</si>
  <si>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</si>
  <si>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</si>
  <si>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</si>
  <si>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</si>
  <si>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</si>
  <si>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</si>
  <si>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</si>
  <si>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</si>
  <si>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</si>
  <si>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</si>
  <si>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</si>
  <si>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</si>
  <si>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</si>
  <si>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</si>
  <si>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</si>
  <si>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</si>
  <si>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</si>
  <si>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</si>
  <si>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</si>
  <si>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</si>
  <si>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</si>
  <si>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</si>
  <si>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</si>
  <si>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</si>
  <si>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</si>
  <si>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</si>
  <si>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</si>
  <si>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</si>
  <si>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</si>
  <si>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</si>
  <si>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</si>
  <si>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</si>
  <si>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</si>
  <si>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</si>
  <si>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</si>
  <si>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</si>
  <si>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</si>
  <si>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</si>
  <si>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</si>
  <si>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</si>
  <si>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</si>
  <si>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</si>
  <si>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</si>
  <si>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</si>
  <si>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</si>
  <si>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</si>
  <si>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</si>
  <si>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</si>
  <si>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</si>
  <si>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</si>
  <si>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</si>
  <si>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</si>
  <si>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</si>
  <si>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</si>
  <si>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</si>
  <si>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</si>
  <si>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</si>
  <si>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</si>
  <si>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</si>
  <si>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</si>
  <si>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</si>
  <si>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</si>
  <si>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</si>
  <si>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</si>
  <si>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</si>
  <si>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</si>
  <si>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</si>
  <si>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</si>
  <si>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</si>
  <si>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</si>
  <si>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</si>
  <si>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</si>
  <si>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</si>
  <si>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</si>
  <si>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</si>
  <si>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</si>
  <si>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</si>
  <si>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</si>
  <si>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</si>
  <si>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</si>
  <si>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</si>
  <si>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</si>
  <si>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</si>
  <si>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</si>
  <si>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</si>
  <si>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</si>
  <si>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</si>
  <si>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</si>
  <si>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</si>
  <si>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</si>
  <si>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</si>
  <si>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</si>
  <si>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</si>
  <si>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</si>
  <si>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</si>
  <si>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</si>
  <si>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</si>
  <si>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</si>
  <si>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</si>
  <si>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</si>
  <si>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</si>
  <si>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</si>
  <si>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</si>
  <si>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</si>
  <si>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</si>
  <si>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</si>
  <si>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</si>
  <si>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</si>
  <si>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</si>
  <si>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</si>
  <si>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</si>
  <si>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</si>
  <si>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</si>
  <si>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</si>
  <si>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</si>
  <si>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</si>
  <si>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</si>
  <si>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</si>
  <si>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</si>
  <si>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</si>
  <si>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</si>
  <si>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</si>
  <si>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</si>
  <si>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</si>
  <si>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</si>
  <si>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</si>
  <si>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</si>
  <si>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</si>
  <si>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</si>
  <si>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</si>
  <si>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</si>
  <si>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</si>
  <si>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</si>
  <si>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</si>
  <si>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</si>
  <si>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</si>
  <si>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</si>
  <si>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</si>
  <si>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</si>
  <si>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</si>
  <si>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</si>
  <si>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</si>
  <si>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</si>
  <si>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</si>
  <si>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</si>
  <si>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</si>
  <si>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</si>
  <si>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</si>
  <si>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</si>
  <si>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</si>
  <si>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</si>
  <si>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</si>
  <si>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</si>
  <si>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</si>
  <si>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</si>
  <si>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</si>
  <si>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</si>
  <si>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</si>
  <si>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</si>
  <si>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</si>
  <si>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</si>
  <si>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</si>
  <si>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</si>
  <si>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</si>
  <si>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</si>
  <si>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</si>
  <si>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</si>
  <si>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</si>
  <si>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</si>
  <si>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</si>
  <si>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</si>
  <si>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</si>
  <si>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</si>
  <si>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</si>
  <si>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</si>
  <si>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</si>
  <si>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</si>
  <si>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</si>
  <si>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</si>
  <si>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</si>
  <si>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</si>
  <si>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</si>
  <si>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</si>
  <si>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</si>
  <si>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</si>
  <si>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</si>
  <si>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</si>
  <si>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</si>
  <si>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</si>
  <si>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</si>
  <si>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</si>
  <si>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</si>
  <si>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</si>
  <si>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</si>
  <si>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</si>
  <si>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</si>
  <si>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</si>
  <si>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</si>
  <si>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</si>
  <si>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</si>
  <si>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</si>
  <si>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</si>
  <si>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</si>
  <si>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</si>
  <si>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</si>
  <si>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</si>
  <si>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</si>
  <si>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</si>
  <si>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</si>
  <si>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</si>
  <si>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</si>
  <si>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</si>
  <si>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</si>
  <si>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</si>
  <si>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</si>
  <si>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</si>
  <si>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</si>
  <si>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</si>
  <si>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</si>
  <si>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</si>
  <si>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</si>
  <si>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</si>
  <si>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</si>
  <si>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</si>
  <si>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</si>
  <si>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</si>
  <si>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</si>
  <si>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</si>
  <si>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</si>
  <si>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</si>
  <si>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</si>
  <si>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</si>
  <si>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</si>
  <si>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</si>
  <si>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</si>
  <si>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</si>
  <si>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</si>
  <si>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</si>
  <si>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</si>
  <si>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</si>
  <si>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</si>
  <si>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</si>
  <si>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</si>
  <si>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住宅</t>
    <phoneticPr fontId="228" type="noConversion"/>
  </si>
  <si>
    <t>商业</t>
  </si>
  <si>
    <t>商业</t>
    <phoneticPr fontId="228" type="noConversion"/>
  </si>
  <si>
    <t>配套</t>
    <phoneticPr fontId="228" type="noConversion"/>
  </si>
  <si>
    <t>地下车库</t>
    <phoneticPr fontId="228" type="noConversion"/>
  </si>
  <si>
    <t>人防</t>
    <phoneticPr fontId="228" type="noConversion"/>
  </si>
  <si>
    <t>地下设备</t>
    <phoneticPr fontId="228" type="noConversion"/>
  </si>
  <si>
    <t>地上</t>
  </si>
  <si>
    <t>地下</t>
  </si>
  <si>
    <t>车库</t>
  </si>
  <si>
    <t>否</t>
  </si>
  <si>
    <t>商业</t>
    <phoneticPr fontId="7" type="noConversion"/>
  </si>
  <si>
    <t>抵押价格</t>
  </si>
  <si>
    <t>其他：</t>
  </si>
  <si>
    <t>企业</t>
  </si>
  <si>
    <t>一致</t>
  </si>
  <si>
    <t>符合</t>
  </si>
  <si>
    <t>洋房</t>
  </si>
  <si>
    <t>洋房</t>
    <phoneticPr fontId="228" type="noConversion"/>
  </si>
  <si>
    <t>高层</t>
  </si>
  <si>
    <t>高层</t>
    <phoneticPr fontId="228" type="noConversion"/>
  </si>
  <si>
    <t>洋房</t>
    <phoneticPr fontId="7" type="noConversion"/>
  </si>
  <si>
    <t>高层</t>
    <phoneticPr fontId="7" type="noConversion"/>
  </si>
  <si>
    <t>地下车库</t>
    <phoneticPr fontId="7" type="noConversion"/>
  </si>
  <si>
    <t>不动产收益法</t>
  </si>
  <si>
    <t>钢混</t>
  </si>
  <si>
    <t>土地（套用方法）</t>
  </si>
  <si>
    <t>自定义</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</si>
  <si>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</si>
  <si>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</si>
  <si>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</si>
  <si>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</si>
  <si>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</si>
  <si>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</si>
  <si>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</si>
  <si>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</si>
  <si>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</si>
  <si>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</si>
  <si>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</si>
  <si>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</si>
  <si>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</si>
  <si>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</si>
  <si>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河东区晨阳道与靖江路交口</t>
  </si>
  <si>
    <t>天津市</t>
  </si>
  <si>
    <t>综合用地(含住宅)</t>
  </si>
  <si>
    <t>挂牌</t>
  </si>
  <si>
    <t>2020-03-05</t>
  </si>
  <si>
    <t>天津市农垦房地产开发建设有限公司</t>
  </si>
  <si>
    <t>5星</t>
  </si>
  <si>
    <t>河北区金钟河大街与万柳村大街交口东北侧</t>
  </si>
  <si>
    <t>2019-10-23</t>
  </si>
  <si>
    <t>天津弘创置业有限公司</t>
  </si>
  <si>
    <t>河东区万东路与程昆道交口</t>
  </si>
  <si>
    <t>2019-10-18</t>
  </si>
  <si>
    <t>大华(天津)发展有限公司</t>
  </si>
  <si>
    <t>红桥区红旗路与邵公庄大街交口东南侧</t>
  </si>
  <si>
    <t>2019-05-15</t>
  </si>
  <si>
    <t>天津润盛置业有限公司</t>
  </si>
  <si>
    <t>4星</t>
  </si>
  <si>
    <t>河北区金钟河大街与万柳村大街交口</t>
  </si>
  <si>
    <t>≤3.2</t>
  </si>
  <si>
    <t>2019-03-27</t>
  </si>
  <si>
    <t>南开区泽川路与山汇道交口西南侧</t>
  </si>
  <si>
    <t>≤2.7且＞1.0</t>
  </si>
  <si>
    <t>2019-03-19</t>
  </si>
  <si>
    <t>DING*SHENG*PROPERTY*INVESTMENT*HOLDINGS*LIMITED(鼎晟财产投资控股有限公司)</t>
  </si>
  <si>
    <t>正常</t>
  </si>
  <si>
    <t>正常</t>
    <phoneticPr fontId="26" type="noConversion"/>
  </si>
  <si>
    <t>较好</t>
    <phoneticPr fontId="26" type="noConversion"/>
  </si>
  <si>
    <t>较好</t>
    <phoneticPr fontId="26" type="noConversion"/>
  </si>
  <si>
    <t>一般</t>
    <phoneticPr fontId="26" type="noConversion"/>
  </si>
  <si>
    <t>楼面地价</t>
  </si>
  <si>
    <t>剩余法-待开发</t>
  </si>
  <si>
    <t>津北榆(挂)2018-192号地块位于河北区榆关道与雁门路交口东北侧;津北靖(挂)2018-193号地块位于河北区群芳路与靖江北路交口东北侧</t>
  </si>
  <si>
    <t>2018-11-01</t>
  </si>
  <si>
    <t>中铁房地产集团商业开发有限公司</t>
  </si>
  <si>
    <t>南开区保泽道与规划岁丰路交口东北侧</t>
  </si>
  <si>
    <t>2018-04-25</t>
  </si>
  <si>
    <t>天津天保基建股份有限公司</t>
  </si>
  <si>
    <t>河北区万柳村大街与金钟河大街交口</t>
  </si>
  <si>
    <t>2017-12-20</t>
  </si>
  <si>
    <t>中铁建(中铁房地产集团北方有限公司)</t>
  </si>
  <si>
    <t>红桥区双环路与佳宁道交口西北侧</t>
  </si>
  <si>
    <t>2017-11-22</t>
  </si>
  <si>
    <t>平安(桐乡市豪礼投资管理有限公司)</t>
  </si>
  <si>
    <t>南开大学迎水道校区苑中北路东侧地块</t>
  </si>
  <si>
    <t>2017-09-01</t>
  </si>
  <si>
    <t>天房</t>
  </si>
  <si>
    <t>南开大学迎水道校区苑中北路西侧地块</t>
  </si>
  <si>
    <t>2017-08-30</t>
  </si>
  <si>
    <t>保利</t>
  </si>
  <si>
    <t>红桥区西青道与团结路交口东北侧</t>
  </si>
  <si>
    <t>2017-07-19</t>
  </si>
  <si>
    <t>首创</t>
  </si>
  <si>
    <t>河北区天泰路与普济河道交口、勤俭桥以南</t>
  </si>
  <si>
    <t>2017-03-27</t>
  </si>
  <si>
    <t>天津华博房地产开发有限公司(天房)</t>
  </si>
  <si>
    <t>河东区广瑞西路与北十五经路交口东南侧</t>
  </si>
  <si>
    <t>2017-01-12</t>
  </si>
  <si>
    <t>中建地产(天津)有限公司</t>
  </si>
  <si>
    <t>河北区天泰路和津浦北路交口西侧</t>
  </si>
  <si>
    <t>2016-12-21</t>
  </si>
  <si>
    <t>中冶置业集团有限公司</t>
  </si>
  <si>
    <t>南开区卫津路与双峰道交口西南侧</t>
  </si>
  <si>
    <t>2016-11-09</t>
  </si>
  <si>
    <t>天津中惠房地产信息咨询有限公司</t>
  </si>
  <si>
    <t>南开区咸阳路西侧</t>
  </si>
  <si>
    <t>2016-09-30</t>
  </si>
  <si>
    <t>启迪协信(天津南开)科技城开发有限公司</t>
  </si>
  <si>
    <t>红桥区纪念馆路北侧</t>
  </si>
  <si>
    <t>2016-08-31</t>
  </si>
  <si>
    <t>天津瑞赛置业有限公司</t>
  </si>
  <si>
    <t>南开区红旗路与黄河道交口东南侧</t>
  </si>
  <si>
    <t>2016-08-03</t>
  </si>
  <si>
    <t>天津正荣荣泰置业发展有限公司</t>
  </si>
  <si>
    <t>和平区大沽北路西侧</t>
  </si>
  <si>
    <t>拍卖</t>
  </si>
  <si>
    <t>2016-06-28</t>
  </si>
  <si>
    <t>天津天房鼎信建设发展有限公司</t>
  </si>
  <si>
    <t>河东区东兴路与新阔路交口</t>
  </si>
  <si>
    <t>2016-06-22</t>
  </si>
  <si>
    <t>中储发展股份有限公司</t>
  </si>
  <si>
    <t>河北区建昌道与群芳路交口</t>
  </si>
  <si>
    <t>2016-05-20</t>
  </si>
  <si>
    <t>保定隆远房地产开发有限公司</t>
  </si>
  <si>
    <t>河东区万东路与规划晨光道交口</t>
  </si>
  <si>
    <t>2016-03-16</t>
  </si>
  <si>
    <t>天津万方东安房地产开发有限公司</t>
  </si>
  <si>
    <t>河东区六纬路西侧</t>
  </si>
  <si>
    <t>2016-03-10</t>
  </si>
  <si>
    <t>北京津辉置业有限公司</t>
  </si>
  <si>
    <t>和平区和田道与乌鲁木齐路交口</t>
  </si>
  <si>
    <t>住宅用地</t>
  </si>
  <si>
    <t>2016-01-29</t>
  </si>
  <si>
    <t>沧州市天成房地产开发有限公司</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</si>
  <si>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t>
    </r>
    <r>
      <rPr>
        <sz val="11"/>
        <color theme="1"/>
        <rFont val="宋体"/>
        <family val="3"/>
        <charset val="134"/>
      </rPr>
      <t>高案例</t>
    </r>
    <phoneticPr fontId="14" type="noConversion"/>
  </si>
  <si>
    <t>一般</t>
  </si>
  <si>
    <t>比较法-住宅、综合-高案例</t>
  </si>
  <si>
    <t>较好</t>
    <phoneticPr fontId="228" type="noConversion"/>
  </si>
  <si>
    <t>较好</t>
    <phoneticPr fontId="228" type="noConversion"/>
  </si>
  <si>
    <t>较好</t>
    <phoneticPr fontId="228" type="noConversion"/>
  </si>
  <si>
    <t>七通</t>
    <phoneticPr fontId="228" type="noConversion"/>
  </si>
  <si>
    <t>较规则</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</si>
</sst>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0" fontId="0" fillId="0" borderId="0" xfId="0" applyFill="1">
      <alignment vertical="center"/>
    </xf>
    <xf numFmtId="0" fontId="86" fillId="0" borderId="0" xfId="16"/>
    <xf numFmtId="0" fontId="86" fillId="6" borderId="0" xfId="16" applyFill="1"/>
    <xf numFmtId="0" fontId="0" fillId="6" borderId="0" xfId="0" applyFill="1">
      <alignment vertical="center"/>
    </xf>
    <xf numFmtId="0" fontId="86" fillId="0" borderId="0" xfId="16" applyFill="1"/>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9" borderId="0" xfId="16" applyFill="1"/>
    <xf numFmtId="0" fontId="86" fillId="0" borderId="0" xfId="16"/>
    <xf numFmtId="0" fontId="86" fillId="6" borderId="0" xfId="16" applyFill="1"/>
    <xf numFmtId="0" fontId="86" fillId="7" borderId="0" xfId="16" applyFill="1"/>
    <xf numFmtId="0" fontId="86" fillId="0" borderId="0" xfId="16" applyFill="1"/>
    <xf numFmtId="0" fontId="0" fillId="9" borderId="0" xfId="0" applyFill="1">
      <alignment vertical="center"/>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10</xdr:row>
      <xdr:rowOff>19050</xdr:rowOff>
    </xdr:from>
    <xdr:to>
      <xdr:col>10</xdr:col>
      <xdr:colOff>237067</xdr:colOff>
      <xdr:row>36</xdr:row>
      <xdr:rowOff>94684</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1733550"/>
          <a:ext cx="8466667" cy="4533334"/>
        </a:xfrm>
        <a:prstGeom prst="rect">
          <a:avLst/>
        </a:prstGeom>
      </xdr:spPr>
    </xdr:pic>
    <xdr:clientData/>
  </xdr:twoCellAnchor>
  <xdr:twoCellAnchor editAs="oneCell">
    <xdr:from>
      <xdr:col>0</xdr:col>
      <xdr:colOff>0</xdr:colOff>
      <xdr:row>37</xdr:row>
      <xdr:rowOff>0</xdr:rowOff>
    </xdr:from>
    <xdr:to>
      <xdr:col>19</xdr:col>
      <xdr:colOff>540959</xdr:colOff>
      <xdr:row>84</xdr:row>
      <xdr:rowOff>113279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5733334" cy="8171429"/>
        </a:xfrm>
        <a:prstGeom prst="rect">
          <a:avLst/>
        </a:prstGeom>
      </xdr:spPr>
    </xdr:pic>
    <xdr:clientData/>
  </xdr:twoCellAnchor>
  <xdr:twoCellAnchor editAs="oneCell">
    <xdr:from>
      <xdr:col>0</xdr:col>
      <xdr:colOff>0</xdr:colOff>
      <xdr:row>85</xdr:row>
      <xdr:rowOff>0</xdr:rowOff>
    </xdr:from>
    <xdr:to>
      <xdr:col>19</xdr:col>
      <xdr:colOff>550483</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5742858" cy="8266667"/>
        </a:xfrm>
        <a:prstGeom prst="rect">
          <a:avLst/>
        </a:prstGeom>
      </xdr:spPr>
    </xdr:pic>
    <xdr:clientData/>
  </xdr:twoCellAnchor>
  <xdr:twoCellAnchor editAs="oneCell">
    <xdr:from>
      <xdr:col>0</xdr:col>
      <xdr:colOff>0</xdr:colOff>
      <xdr:row>134</xdr:row>
      <xdr:rowOff>0</xdr:rowOff>
    </xdr:from>
    <xdr:to>
      <xdr:col>19</xdr:col>
      <xdr:colOff>531436</xdr:colOff>
      <xdr:row>182</xdr:row>
      <xdr:rowOff>113258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974300"/>
          <a:ext cx="15723811" cy="8342858"/>
        </a:xfrm>
        <a:prstGeom prst="rect">
          <a:avLst/>
        </a:prstGeom>
      </xdr:spPr>
    </xdr:pic>
    <xdr:clientData/>
  </xdr:twoCellAnchor>
  <xdr:twoCellAnchor>
    <xdr:from>
      <xdr:col>2</xdr:col>
      <xdr:colOff>352425</xdr:colOff>
      <xdr:row>13</xdr:row>
      <xdr:rowOff>133350</xdr:rowOff>
    </xdr:from>
    <xdr:to>
      <xdr:col>3</xdr:col>
      <xdr:colOff>85725</xdr:colOff>
      <xdr:row>15</xdr:row>
      <xdr:rowOff>0</xdr:rowOff>
    </xdr:to>
    <xdr:sp macro="" textlink="">
      <xdr:nvSpPr>
        <xdr:cNvPr id="6" name="椭圆 5"/>
        <xdr:cNvSpPr/>
      </xdr:nvSpPr>
      <xdr:spPr>
        <a:xfrm>
          <a:off x="3105150" y="2362200"/>
          <a:ext cx="419100"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1647825</xdr:colOff>
      <xdr:row>30</xdr:row>
      <xdr:rowOff>28575</xdr:rowOff>
    </xdr:from>
    <xdr:to>
      <xdr:col>11</xdr:col>
      <xdr:colOff>237077</xdr:colOff>
      <xdr:row>64</xdr:row>
      <xdr:rowOff>104037</xdr:rowOff>
    </xdr:to>
    <xdr:pic>
      <xdr:nvPicPr>
        <xdr:cNvPr id="6" name="图片 5"/>
        <xdr:cNvPicPr>
          <a:picLocks noChangeAspect="1"/>
        </xdr:cNvPicPr>
      </xdr:nvPicPr>
      <xdr:blipFill>
        <a:blip xmlns:r="http://schemas.openxmlformats.org/officeDocument/2006/relationships" r:embed="rId1"/>
        <a:stretch>
          <a:fillRect/>
        </a:stretch>
      </xdr:blipFill>
      <xdr:spPr>
        <a:xfrm>
          <a:off x="1647825" y="5172075"/>
          <a:ext cx="8390477" cy="5904762"/>
        </a:xfrm>
        <a:prstGeom prst="rect">
          <a:avLst/>
        </a:prstGeom>
      </xdr:spPr>
    </xdr:pic>
    <xdr:clientData/>
  </xdr:twoCellAnchor>
  <xdr:twoCellAnchor>
    <xdr:from>
      <xdr:col>4</xdr:col>
      <xdr:colOff>390525</xdr:colOff>
      <xdr:row>41</xdr:row>
      <xdr:rowOff>152400</xdr:rowOff>
    </xdr:from>
    <xdr:to>
      <xdr:col>4</xdr:col>
      <xdr:colOff>666750</xdr:colOff>
      <xdr:row>42</xdr:row>
      <xdr:rowOff>123825</xdr:rowOff>
    </xdr:to>
    <xdr:sp macro="" textlink="">
      <xdr:nvSpPr>
        <xdr:cNvPr id="7" name="椭圆 6"/>
        <xdr:cNvSpPr/>
      </xdr:nvSpPr>
      <xdr:spPr>
        <a:xfrm>
          <a:off x="4610100" y="7181850"/>
          <a:ext cx="276225" cy="1428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受贵公司委托，我公司对出让国有建设用地使用权抵押价格进行了预评估。</v>
      </c>
      <c r="AM6" s="2857"/>
    </row>
    <row r="7" spans="1:55" s="2831" customFormat="1">
      <c r="A7" s="2832" t="s">
        <v>2654</v>
      </c>
      <c r="B7" s="2833" t="str">
        <f>'预评函-1'!A6</f>
        <v>估价对象为使用的、位于出让国有建设用地使用权。根据《国有土地使用证》[]，估价对象（分摊）出让国有建设用地使用权面积为36332.1平方米。根据《建设工程规划许可证》[]、《出让合同》[]，估价对象规划建筑面积为111854.36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2020年3月19日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根据《国有土地使用证》[]，估价对象（分摊）出让国有建设用地使用权面积为36332.1平方米。根据《建设工程规划许可证》[]、《出让合同》[]，估价对象规划建筑面积为111854.36平方米。</v>
      </c>
    </row>
    <row r="16" spans="1:55" s="2831" customFormat="1">
      <c r="A16" s="2832" t="s">
        <v>2666</v>
      </c>
      <c r="B16" s="2833" t="str">
        <f>'预评函-1'!A22</f>
        <v>本次估价对象为出让国有建设用地使用权，《国有土地使用证》[]证载土地终止日期为住宅2087年5月21日、商业2057年5月21日车库2067年5月21日。截至估价期日，出让国有建设用地使用权剩余土地使用年限为。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估价期日：2020年3月19日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36332.1</v>
      </c>
    </row>
    <row r="44" spans="1:2">
      <c r="A44" s="2832" t="s">
        <v>2737</v>
      </c>
      <c r="B44" s="2833" t="str">
        <f>'预评函-2'!O3</f>
        <v>规划建筑面积/㎡</v>
      </c>
    </row>
    <row r="45" spans="1:2">
      <c r="A45" s="2832" t="s">
        <v>2719</v>
      </c>
      <c r="B45" s="2833">
        <f>'预评函-2'!O5</f>
        <v>111854.36</v>
      </c>
    </row>
    <row r="46" spans="1:2">
      <c r="A46" s="2832" t="s">
        <v>2720</v>
      </c>
      <c r="B46" s="2833">
        <f ca="1">'预评函-2'!P5</f>
        <v>65052</v>
      </c>
    </row>
    <row r="47" spans="1:2">
      <c r="A47" s="2832" t="s">
        <v>2721</v>
      </c>
      <c r="B47" s="2833">
        <f ca="1">'预评函-2'!Q5</f>
        <v>21130</v>
      </c>
    </row>
    <row r="48" spans="1:2">
      <c r="A48" s="2832" t="s">
        <v>2722</v>
      </c>
      <c r="B48" s="2833">
        <f ca="1">'预评函-2'!R5</f>
        <v>236347</v>
      </c>
    </row>
    <row r="49" spans="1:2">
      <c r="A49" s="2832" t="s">
        <v>2738</v>
      </c>
      <c r="B49" s="2833" t="str">
        <f>'预评函-2'!A6</f>
        <v>抵押价格</v>
      </c>
    </row>
    <row r="50" spans="1:2">
      <c r="A50" s="2832" t="s">
        <v>2723</v>
      </c>
      <c r="B50" s="2833">
        <f ca="1">'预评函-2'!R6</f>
        <v>236347</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30" t="str">
        <f>IF(B10="北京市","北京市",C10)&amp;F10&amp;B16&amp;"国有建设用地使用权"&amp;B9&amp;"预评估"</f>
        <v>出让国有建设用地使用权抵押价格预评估</v>
      </c>
      <c r="C1" s="3231"/>
      <c r="D1" s="3231"/>
      <c r="E1" s="3231"/>
      <c r="F1" s="3231"/>
      <c r="G1" s="3231"/>
      <c r="H1" s="3231"/>
      <c r="I1" s="3232"/>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43909</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2990</v>
      </c>
      <c r="C8" s="1654"/>
      <c r="D8" s="3236" t="s">
        <v>1942</v>
      </c>
      <c r="E8" s="1827" t="s">
        <v>3010</v>
      </c>
      <c r="F8" s="1655"/>
      <c r="G8" s="1643"/>
      <c r="H8" s="1643"/>
      <c r="I8" s="1690"/>
      <c r="J8" s="1677"/>
      <c r="K8" s="1757"/>
      <c r="L8" s="1706"/>
      <c r="M8" s="1706"/>
      <c r="N8" s="1677"/>
      <c r="O8" s="1678"/>
      <c r="P8" s="1677"/>
      <c r="Q8" s="1677"/>
      <c r="R8" s="1677"/>
      <c r="S8" s="1677"/>
      <c r="T8" s="1677"/>
      <c r="U8" s="1677"/>
    </row>
    <row r="9" spans="1:21" ht="15" thickBot="1">
      <c r="A9" s="1656" t="s">
        <v>1941</v>
      </c>
      <c r="B9" s="1657" t="s">
        <v>3010</v>
      </c>
      <c r="C9" s="1658"/>
      <c r="D9" s="3237"/>
      <c r="E9" s="1657"/>
      <c r="F9" s="1730"/>
      <c r="G9" s="1725"/>
      <c r="H9" s="1725"/>
      <c r="I9" s="1726"/>
      <c r="J9" s="1677"/>
      <c r="K9" s="1757"/>
      <c r="L9" s="1706"/>
      <c r="M9" s="1706"/>
      <c r="N9" s="1677"/>
      <c r="O9" s="1678"/>
      <c r="P9" s="1677"/>
      <c r="Q9" s="1677"/>
      <c r="R9" s="1677"/>
      <c r="S9" s="1677"/>
      <c r="T9" s="1677"/>
      <c r="U9" s="1677"/>
    </row>
    <row r="10" spans="1:21" ht="15" thickTop="1">
      <c r="A10" s="1727" t="s">
        <v>1997</v>
      </c>
      <c r="B10" s="1702" t="s">
        <v>3011</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t="s">
        <v>3012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33"/>
      <c r="C12" s="3234"/>
      <c r="D12" s="3235"/>
      <c r="E12" s="1682" t="s">
        <v>2059</v>
      </c>
      <c r="F12" s="3251" t="s">
        <v>2887</v>
      </c>
      <c r="G12" s="3252"/>
      <c r="H12" s="3252"/>
      <c r="I12" s="3253"/>
      <c r="J12" s="1677"/>
      <c r="K12" s="1757"/>
      <c r="L12" s="1706"/>
      <c r="M12" s="1706"/>
      <c r="N12" s="1677"/>
      <c r="O12" s="1678"/>
      <c r="P12" s="1677"/>
      <c r="Q12" s="1677"/>
      <c r="R12" s="1677"/>
      <c r="S12" s="1677"/>
      <c r="T12" s="1677"/>
      <c r="U12" s="1677"/>
    </row>
    <row r="13" spans="1:21">
      <c r="A13" s="1670" t="s">
        <v>2057</v>
      </c>
      <c r="B13" s="3233"/>
      <c r="C13" s="3234"/>
      <c r="D13" s="3235"/>
      <c r="E13" s="1682" t="s">
        <v>2059</v>
      </c>
      <c r="F13" s="3251" t="s">
        <v>2888</v>
      </c>
      <c r="G13" s="3252"/>
      <c r="H13" s="3252"/>
      <c r="I13" s="3253"/>
      <c r="J13" s="1677"/>
      <c r="K13" s="1757"/>
      <c r="L13" s="1706"/>
      <c r="M13" s="1706"/>
      <c r="N13" s="1677"/>
      <c r="O13" s="1678"/>
      <c r="P13" s="1677"/>
      <c r="Q13" s="1677"/>
      <c r="R13" s="1677"/>
      <c r="S13" s="1677"/>
      <c r="T13" s="1677"/>
      <c r="U13" s="1677"/>
    </row>
    <row r="14" spans="1:21">
      <c r="A14" s="1644" t="s">
        <v>2060</v>
      </c>
      <c r="B14" s="1682"/>
      <c r="C14" s="1828" t="s">
        <v>3013</v>
      </c>
      <c r="D14" s="1716" t="str">
        <f>IF(C14="不一致","是否符合证载地类范围","")</f>
        <v/>
      </c>
      <c r="E14" s="1682"/>
      <c r="F14" s="1773" t="s">
        <v>3014</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2985</v>
      </c>
      <c r="C16" s="1682" t="s">
        <v>1946</v>
      </c>
      <c r="D16" s="2609" t="s">
        <v>1947</v>
      </c>
      <c r="E16" s="1705" t="s">
        <v>2999</v>
      </c>
      <c r="F16" s="1705"/>
      <c r="G16" s="1705" t="s">
        <v>3007</v>
      </c>
      <c r="H16" s="1705"/>
      <c r="I16" s="1669" t="s">
        <v>1952</v>
      </c>
      <c r="J16" s="1677"/>
      <c r="K16" s="2419" t="str">
        <f>IF(D17="","",D16&amp;TEXT(D17,"yyyy年m月d日;;"))</f>
        <v>住宅2087年5月21日</v>
      </c>
      <c r="L16" s="1682" t="str">
        <f>IF(OR(K16="",M16=""),"","、")</f>
        <v>、</v>
      </c>
      <c r="M16" s="2419" t="str">
        <f>IF(E17="","",E16&amp;TEXT(E17,"yyyy年m月d日;;"))</f>
        <v>商业2057年5月21日</v>
      </c>
      <c r="N16" s="1682" t="str">
        <f>IF(OR(M16="",O16=""),"","、")</f>
        <v/>
      </c>
      <c r="O16" s="2419" t="str">
        <f>IF(F17="","",F16&amp;TEXT(F17,"yyyy年m月d日;;"))</f>
        <v/>
      </c>
      <c r="P16" s="1682" t="str">
        <f>IF(OR(O16="",Q16=""),"","、")</f>
        <v/>
      </c>
      <c r="Q16" s="2419" t="str">
        <f>IF(G17="","",G16&amp;TEXT(G17,"yyyy年m月d日;;"))</f>
        <v>车库2067年5月21日</v>
      </c>
      <c r="R16" s="1682" t="str">
        <f>IF(OR(Q16="",S16=""),"","、")</f>
        <v/>
      </c>
      <c r="S16" s="2419" t="str">
        <f>IF(H17="","",H16&amp;TEXT(H17,"yyyy年m月d日;;"))</f>
        <v/>
      </c>
      <c r="T16" s="1682" t="str">
        <f>IF(OR(S16="",U16=""),"","、")</f>
        <v/>
      </c>
      <c r="U16" s="2419" t="str">
        <f>IF(I17="","",I16&amp;TEXT(I17,"yyyy年m月d日;;"))</f>
        <v/>
      </c>
    </row>
    <row r="17" spans="1:21">
      <c r="A17" s="1746"/>
      <c r="B17" s="1665"/>
      <c r="C17" s="1666" t="s">
        <v>1953</v>
      </c>
      <c r="D17" s="1683">
        <v>68443</v>
      </c>
      <c r="E17" s="1683">
        <v>57486</v>
      </c>
      <c r="F17" s="1683"/>
      <c r="G17" s="1683">
        <v>61138</v>
      </c>
      <c r="H17" s="1683"/>
      <c r="I17" s="1683"/>
      <c r="J17" s="1677"/>
      <c r="K17" s="2418" t="str">
        <f>CONCATENATE(K16,L16,M16,N16,O16,P16,Q16,R16,S16,T16,,U16)</f>
        <v>住宅2087年5月21日、商业2057年5月21日车库2067年5月21日</v>
      </c>
      <c r="L17" s="1706"/>
      <c r="M17" s="1706"/>
      <c r="N17" s="1677"/>
      <c r="O17" s="1678"/>
      <c r="P17" s="1677"/>
      <c r="Q17" s="1677"/>
      <c r="R17" s="1677"/>
      <c r="S17" s="1677"/>
      <c r="T17" s="1677"/>
      <c r="U17" s="1677"/>
    </row>
    <row r="18" spans="1:21">
      <c r="A18" s="1746"/>
      <c r="B18" s="1665"/>
      <c r="C18" s="1666" t="s">
        <v>1954</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67.209999999999994</v>
      </c>
      <c r="E19" s="1668">
        <f>IF(B16="出让",IF(E17="","",ROUNDDOWN(MIN((E17-$D$3)/365,E18),2)),E18)</f>
        <v>37.19</v>
      </c>
      <c r="F19" s="1668" t="str">
        <f>IF(B16="出让",IF(F17="","",ROUNDDOWN(MIN((F17-$D$3)/365,F18),2)),F18)</f>
        <v/>
      </c>
      <c r="G19" s="1668">
        <f>IF(B16="出让",IF(G17="","",ROUNDDOWN(MIN((G17-$D$3)/365,G18),2)),G18)</f>
        <v>47.2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48"/>
      <c r="E20" s="3249"/>
      <c r="F20" s="3249"/>
      <c r="G20" s="3249"/>
      <c r="H20" s="3249"/>
      <c r="I20" s="3250"/>
      <c r="J20" s="1677"/>
      <c r="K20" s="1757"/>
      <c r="L20" s="1706"/>
      <c r="M20" s="1706"/>
      <c r="N20" s="1677"/>
      <c r="O20" s="1678"/>
      <c r="P20" s="1677"/>
      <c r="Q20" s="1677"/>
      <c r="R20" s="1677"/>
      <c r="S20" s="1677"/>
      <c r="T20" s="1677"/>
      <c r="U20" s="1677"/>
    </row>
    <row r="21" spans="1:21">
      <c r="A21" s="1746" t="s">
        <v>1956</v>
      </c>
      <c r="B21" s="1747" t="s">
        <v>1957</v>
      </c>
      <c r="C21" s="1742">
        <f>'数据-汇总表'!E3</f>
        <v>111854.36</v>
      </c>
      <c r="D21" s="1743" t="s">
        <v>1958</v>
      </c>
      <c r="E21" s="3238" t="s">
        <v>1996</v>
      </c>
      <c r="F21" s="3239"/>
      <c r="G21" s="3239"/>
      <c r="H21" s="3239"/>
      <c r="I21" s="3240"/>
      <c r="J21" s="1677"/>
      <c r="K21" s="1757"/>
      <c r="L21" s="1706"/>
      <c r="M21" s="1706"/>
      <c r="N21" s="1677"/>
      <c r="O21" s="1678"/>
      <c r="P21" s="1677"/>
      <c r="Q21" s="1677"/>
      <c r="R21" s="1677"/>
      <c r="S21" s="1677"/>
      <c r="T21" s="1677"/>
      <c r="U21" s="1677"/>
    </row>
    <row r="22" spans="1:21">
      <c r="A22" s="3096" t="s">
        <v>952</v>
      </c>
      <c r="B22" s="1644" t="s">
        <v>1959</v>
      </c>
      <c r="C22" s="1669">
        <f>'数据-汇总表'!D3</f>
        <v>36332.1</v>
      </c>
      <c r="D22" s="1670" t="s">
        <v>1958</v>
      </c>
      <c r="E22" s="3238" t="s">
        <v>2889</v>
      </c>
      <c r="F22" s="3239"/>
      <c r="G22" s="3239"/>
      <c r="H22" s="3239"/>
      <c r="I22" s="3240"/>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41" t="s">
        <v>1964</v>
      </c>
      <c r="C24" s="3242"/>
      <c r="D24" s="3243" t="s">
        <v>1965</v>
      </c>
      <c r="E24" s="3244"/>
      <c r="F24" s="1691" t="s">
        <v>1966</v>
      </c>
      <c r="G24" s="1677"/>
      <c r="H24" s="1677"/>
      <c r="I24" s="1690"/>
      <c r="J24" s="1677"/>
      <c r="K24" s="3229"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2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2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56" t="s">
        <v>1999</v>
      </c>
      <c r="B31" s="1747" t="s">
        <v>2000</v>
      </c>
      <c r="C31" s="3254"/>
      <c r="D31" s="3255"/>
      <c r="E31" s="1677"/>
      <c r="F31" s="1677"/>
      <c r="G31" s="1677"/>
      <c r="H31" s="1677"/>
      <c r="I31" s="1690"/>
      <c r="J31" s="1677"/>
      <c r="K31" s="2421"/>
      <c r="L31" s="1677"/>
      <c r="M31" s="1677"/>
      <c r="N31" s="1677"/>
      <c r="O31" s="1677"/>
      <c r="P31" s="1677"/>
      <c r="Q31" s="1677"/>
      <c r="R31" s="1677"/>
      <c r="S31" s="1677"/>
      <c r="T31" s="1677"/>
      <c r="U31" s="1677"/>
    </row>
    <row r="32" spans="1:21">
      <c r="A32" s="3256"/>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6"/>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7"/>
      <c r="B34" s="1644" t="s">
        <v>2003</v>
      </c>
      <c r="C34" s="3258"/>
      <c r="D34" s="3259"/>
      <c r="E34" s="1677"/>
      <c r="F34" s="1677"/>
      <c r="G34" s="1677"/>
      <c r="H34" s="1677"/>
      <c r="I34" s="1690"/>
      <c r="J34" s="1677"/>
      <c r="K34" s="2421"/>
      <c r="L34" s="1677"/>
      <c r="M34" s="1677"/>
      <c r="N34" s="1677"/>
      <c r="O34" s="1677"/>
      <c r="P34" s="1677"/>
      <c r="Q34" s="1677"/>
      <c r="R34" s="1677"/>
      <c r="S34" s="1677"/>
      <c r="T34" s="1677"/>
      <c r="U34" s="1677"/>
    </row>
    <row r="35" spans="1:21">
      <c r="A35" s="3260" t="s">
        <v>847</v>
      </c>
      <c r="B35" s="1705"/>
      <c r="C35" s="1759" t="str">
        <f>IF(B35="场地平整","——","具体情况：")</f>
        <v>具体情况：</v>
      </c>
      <c r="D35" s="3262"/>
      <c r="E35" s="3263"/>
      <c r="F35" s="3263"/>
      <c r="G35" s="3263"/>
      <c r="H35" s="3263"/>
      <c r="I35" s="3264"/>
      <c r="J35" s="1677"/>
      <c r="K35" s="1758"/>
      <c r="L35" s="1706"/>
      <c r="M35" s="1706"/>
      <c r="N35" s="1677"/>
      <c r="O35" s="1678"/>
      <c r="P35" s="1677"/>
      <c r="Q35" s="1677"/>
      <c r="R35" s="1677"/>
      <c r="S35" s="1677"/>
      <c r="T35" s="1677"/>
      <c r="U35" s="1677"/>
    </row>
    <row r="36" spans="1:21">
      <c r="A36" s="3256"/>
      <c r="B36" s="3265" t="s">
        <v>2052</v>
      </c>
      <c r="C36" s="3266"/>
      <c r="D36" s="1775"/>
      <c r="E36" s="3267"/>
      <c r="F36" s="3267"/>
      <c r="G36" s="1670" t="str">
        <f>IF(B35="场地未平整","估价结果处理","")</f>
        <v/>
      </c>
      <c r="H36" s="3268"/>
      <c r="I36" s="3268"/>
      <c r="J36" s="1677"/>
      <c r="K36" s="1758"/>
      <c r="L36" s="1706"/>
      <c r="M36" s="1706"/>
      <c r="N36" s="1677"/>
      <c r="O36" s="1678"/>
      <c r="P36" s="1677"/>
      <c r="Q36" s="1677"/>
      <c r="R36" s="1677"/>
      <c r="S36" s="1677"/>
      <c r="T36" s="1677"/>
      <c r="U36" s="1677"/>
    </row>
    <row r="37" spans="1:21" ht="28.5">
      <c r="A37" s="3256"/>
      <c r="B37" s="3245"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46"/>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57"/>
      <c r="B39" s="324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28" t="s">
        <v>1983</v>
      </c>
      <c r="T40" s="1714" t="str">
        <f>NUMBERSTRING(7-K40,1)&amp;"通"</f>
        <v>七通</v>
      </c>
      <c r="U40" s="1677"/>
    </row>
    <row r="41" spans="1:21">
      <c r="A41" s="1646"/>
      <c r="B41" s="3261" t="s">
        <v>1721</v>
      </c>
      <c r="C41" s="3261"/>
      <c r="D41" s="3261"/>
      <c r="E41" s="326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8"/>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36332.1</v>
      </c>
      <c r="B3" s="22">
        <f>IF(C3="否",G5-AT5,G5)</f>
        <v>111854.36</v>
      </c>
      <c r="C3" s="23" t="s">
        <v>3008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126600</v>
      </c>
      <c r="H5" s="27">
        <f t="shared" ref="H5:AT5" si="0">SUM(H13:H641)</f>
        <v>106014.36</v>
      </c>
      <c r="I5" s="27">
        <f t="shared" si="0"/>
        <v>76750</v>
      </c>
      <c r="J5" s="27">
        <f t="shared" si="0"/>
        <v>0</v>
      </c>
      <c r="K5" s="27">
        <f t="shared" si="0"/>
        <v>1480</v>
      </c>
      <c r="L5" s="27">
        <f t="shared" si="0"/>
        <v>0</v>
      </c>
      <c r="M5" s="27">
        <f t="shared" si="0"/>
        <v>27784.36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v>
      </c>
      <c r="AD5" s="27">
        <f t="shared" si="0"/>
        <v>5070</v>
      </c>
      <c r="AE5" s="27">
        <f t="shared" si="0"/>
        <v>0</v>
      </c>
      <c r="AF5" s="27">
        <f t="shared" si="0"/>
        <v>470</v>
      </c>
      <c r="AG5" s="27">
        <f t="shared" si="0"/>
        <v>0</v>
      </c>
      <c r="AH5" s="27">
        <f t="shared" si="0"/>
        <v>300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14745.64</v>
      </c>
      <c r="AU5" s="988"/>
      <c r="AV5" s="26" t="s">
        <v>168</v>
      </c>
      <c r="AW5" s="989"/>
      <c r="AX5" s="989"/>
      <c r="AY5" s="28" t="s">
        <v>3</v>
      </c>
      <c r="AZ5" s="29">
        <f t="shared" ref="AZ5:BT5" si="1">SUM(AZ13:AZ641)</f>
        <v>111854.36</v>
      </c>
      <c r="BA5" s="29">
        <f t="shared" si="1"/>
        <v>106014.36</v>
      </c>
      <c r="BB5" s="29">
        <f t="shared" si="1"/>
        <v>76750</v>
      </c>
      <c r="BC5" s="29">
        <f t="shared" si="1"/>
        <v>1480</v>
      </c>
      <c r="BD5" s="29">
        <f t="shared" si="1"/>
        <v>27784.36</v>
      </c>
      <c r="BE5" s="29">
        <f t="shared" si="1"/>
        <v>0</v>
      </c>
      <c r="BF5" s="29">
        <f t="shared" si="1"/>
        <v>0</v>
      </c>
      <c r="BG5" s="29">
        <f t="shared" si="1"/>
        <v>0</v>
      </c>
      <c r="BH5" s="29">
        <f t="shared" si="1"/>
        <v>0</v>
      </c>
      <c r="BI5" s="29">
        <f t="shared" si="1"/>
        <v>0</v>
      </c>
      <c r="BJ5" s="29">
        <f t="shared" si="1"/>
        <v>0</v>
      </c>
      <c r="BK5" s="29">
        <f t="shared" si="1"/>
        <v>0</v>
      </c>
      <c r="BL5" s="29">
        <f t="shared" si="1"/>
        <v>5840</v>
      </c>
      <c r="BM5" s="29">
        <f t="shared" si="1"/>
        <v>5070</v>
      </c>
      <c r="BN5" s="29">
        <f t="shared" si="1"/>
        <v>470</v>
      </c>
      <c r="BO5" s="29">
        <f t="shared" si="1"/>
        <v>300</v>
      </c>
      <c r="BP5" s="29">
        <f t="shared" si="1"/>
        <v>0</v>
      </c>
      <c r="BQ5" s="29">
        <f t="shared" si="1"/>
        <v>0</v>
      </c>
      <c r="BR5" s="29">
        <f t="shared" si="1"/>
        <v>0</v>
      </c>
      <c r="BS5" s="29">
        <f t="shared" si="1"/>
        <v>0</v>
      </c>
      <c r="BT5" s="30">
        <f t="shared" si="1"/>
        <v>0</v>
      </c>
    </row>
    <row r="6" spans="1:72" s="37" customFormat="1" ht="12.75">
      <c r="A6" s="26" t="s">
        <v>169</v>
      </c>
      <c r="B6" s="31"/>
      <c r="C6" s="31"/>
      <c r="D6" s="32"/>
      <c r="E6" s="27">
        <f>H6+AC6+AT6</f>
        <v>36332.1</v>
      </c>
      <c r="F6" s="27" t="s">
        <v>1</v>
      </c>
      <c r="G6" s="27" t="s">
        <v>2</v>
      </c>
      <c r="H6" s="33">
        <f>SUMIF(I$12:AB$12,"总值",I6:AB6)</f>
        <v>34435.18</v>
      </c>
      <c r="I6" s="27">
        <f t="shared" ref="I6:AB6" si="2">ROUND($A$3*I5/$B$3,2)</f>
        <v>24929.64</v>
      </c>
      <c r="J6" s="27">
        <f t="shared" si="2"/>
        <v>0</v>
      </c>
      <c r="K6" s="27">
        <f t="shared" si="2"/>
        <v>480.73</v>
      </c>
      <c r="L6" s="27">
        <f t="shared" si="2"/>
        <v>0</v>
      </c>
      <c r="M6" s="27">
        <f t="shared" si="2"/>
        <v>9024.81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1896.92</v>
      </c>
      <c r="AD6" s="27">
        <f t="shared" ref="AD6:AS6" si="3">ROUND($A$3*AD5/$B$3,2)</f>
        <v>1646.82</v>
      </c>
      <c r="AE6" s="27">
        <f t="shared" si="3"/>
        <v>0</v>
      </c>
      <c r="AF6" s="27">
        <f t="shared" si="3"/>
        <v>152.66</v>
      </c>
      <c r="AG6" s="27">
        <f t="shared" si="3"/>
        <v>0</v>
      </c>
      <c r="AH6" s="27">
        <f t="shared" si="3"/>
        <v>97.44</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36332.1</v>
      </c>
      <c r="AZ6" s="27" t="s">
        <v>3</v>
      </c>
      <c r="BA6" s="27">
        <f>ROUND($AY$6*BA5/$AZ$5,2)</f>
        <v>34435.17</v>
      </c>
      <c r="BB6" s="27">
        <f>ROUND($AY$6*BB5/$AZ$5,2)</f>
        <v>24929.64</v>
      </c>
      <c r="BC6" s="27">
        <f t="shared" ref="BC6:BH6" si="4">ROUND($AY$6*BC5/$AZ$5,2)</f>
        <v>480.73</v>
      </c>
      <c r="BD6" s="27">
        <f t="shared" si="4"/>
        <v>9024.81</v>
      </c>
      <c r="BE6" s="27">
        <f t="shared" si="4"/>
        <v>0</v>
      </c>
      <c r="BF6" s="27">
        <f t="shared" si="4"/>
        <v>0</v>
      </c>
      <c r="BG6" s="27">
        <f t="shared" si="4"/>
        <v>0</v>
      </c>
      <c r="BH6" s="27">
        <f t="shared" si="4"/>
        <v>0</v>
      </c>
      <c r="BI6" s="27">
        <f t="shared" ref="BI6:BT6" si="5">ROUND($AY$6*BI5/$AZ$5,2)</f>
        <v>0</v>
      </c>
      <c r="BJ6" s="27">
        <f t="shared" si="5"/>
        <v>0</v>
      </c>
      <c r="BK6" s="27">
        <f t="shared" si="5"/>
        <v>0</v>
      </c>
      <c r="BL6" s="27">
        <f t="shared" si="5"/>
        <v>1896.93</v>
      </c>
      <c r="BM6" s="27">
        <f t="shared" si="5"/>
        <v>1646.82</v>
      </c>
      <c r="BN6" s="27">
        <f t="shared" si="5"/>
        <v>152.66</v>
      </c>
      <c r="BO6" s="27">
        <f t="shared" si="5"/>
        <v>97.44</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3005</v>
      </c>
      <c r="J9" s="51"/>
      <c r="K9" s="2970" t="s">
        <v>3005</v>
      </c>
      <c r="L9" s="51"/>
      <c r="M9" s="2970"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2999</v>
      </c>
      <c r="L10" s="51"/>
      <c r="M10" s="2972" t="s">
        <v>3007</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36332.1</v>
      </c>
      <c r="F13" s="81"/>
      <c r="G13" s="82">
        <f t="shared" ref="G13:G20" si="7">H13+AC13+AT13</f>
        <v>126600</v>
      </c>
      <c r="H13" s="33">
        <f t="shared" ref="H13:H20" si="8">SUMIF(I$12:AB$12,"总值",I13:AB13)</f>
        <v>106014.36</v>
      </c>
      <c r="I13" s="2969">
        <f>Sheet1!C2</f>
        <v>76750</v>
      </c>
      <c r="J13" s="2969"/>
      <c r="K13" s="2969">
        <f>Sheet1!C3</f>
        <v>1480</v>
      </c>
      <c r="L13" s="2969"/>
      <c r="M13" s="2969">
        <f>Sheet1!C6</f>
        <v>27784.36</v>
      </c>
      <c r="N13" s="83"/>
      <c r="O13" s="83"/>
      <c r="P13" s="83"/>
      <c r="Q13" s="83"/>
      <c r="R13" s="83"/>
      <c r="S13" s="83"/>
      <c r="T13" s="83"/>
      <c r="U13" s="83"/>
      <c r="V13" s="83"/>
      <c r="W13" s="83"/>
      <c r="X13" s="83"/>
      <c r="Y13" s="83"/>
      <c r="Z13" s="83"/>
      <c r="AA13" s="83"/>
      <c r="AB13" s="83"/>
      <c r="AC13" s="27">
        <f t="shared" ref="AC13:AC20" si="9">SUMIF(AD$12:AS$12,"总值",AD13:AS13)</f>
        <v>5840</v>
      </c>
      <c r="AD13" s="2973">
        <f>Sheet1!C4-'数据-基础表'!AH13</f>
        <v>5070</v>
      </c>
      <c r="AE13" s="2973"/>
      <c r="AF13" s="2973">
        <f>Sheet1!C5</f>
        <v>470</v>
      </c>
      <c r="AG13" s="2973"/>
      <c r="AH13" s="2973">
        <v>300</v>
      </c>
      <c r="AI13" s="2973"/>
      <c r="AJ13" s="2973"/>
      <c r="AK13" s="2973"/>
      <c r="AL13" s="2973"/>
      <c r="AM13" s="2973"/>
      <c r="AN13" s="2973"/>
      <c r="AO13" s="2973"/>
      <c r="AP13" s="2973"/>
      <c r="AQ13" s="2973"/>
      <c r="AR13" s="2973"/>
      <c r="AS13" s="2973"/>
      <c r="AT13" s="2974">
        <f>Sheet1!C7</f>
        <v>14745.64</v>
      </c>
      <c r="AU13" s="2975"/>
      <c r="AV13" s="17">
        <f t="shared" ref="AV13:AX20" si="10">A13</f>
        <v>0</v>
      </c>
      <c r="AW13" s="17">
        <f t="shared" si="10"/>
        <v>0</v>
      </c>
      <c r="AX13" s="17">
        <f t="shared" si="10"/>
        <v>0</v>
      </c>
      <c r="AY13" s="996">
        <f t="shared" ref="AY13:AY20" si="11">ROUND($AY$6*AZ13/$AZ$5,2)</f>
        <v>36332.1</v>
      </c>
      <c r="AZ13" s="27">
        <f t="shared" ref="AZ13:AZ20" si="12">BA13+BL13</f>
        <v>111854.36</v>
      </c>
      <c r="BA13" s="27">
        <f t="shared" ref="BA13:BA20" si="13">SUM(BB13:BK13)</f>
        <v>106014.36</v>
      </c>
      <c r="BB13" s="27">
        <f t="shared" ref="BB13:BB20" si="14">IF($D13="是",I13-J13,0)</f>
        <v>76750</v>
      </c>
      <c r="BC13" s="27">
        <f t="shared" ref="BC13:BC20" si="15">IF($D13="是",K13-L13,0)</f>
        <v>1480</v>
      </c>
      <c r="BD13" s="27">
        <f t="shared" ref="BD13:BD20" si="16">IF($D13="是",M13-N13,0)</f>
        <v>27784.36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5840</v>
      </c>
      <c r="BM13" s="27">
        <f t="shared" ref="BM13:BM20" si="25">IF($D13="是",AD13-AE13,0)</f>
        <v>5070</v>
      </c>
      <c r="BN13" s="27">
        <f t="shared" ref="BN13:BN20" si="26">IF($D13="是",AF13-AG13,0)</f>
        <v>470</v>
      </c>
      <c r="BO13" s="27">
        <f t="shared" ref="BO13:BO20" si="27">IF($D13="是",AH13-AI13,0)</f>
        <v>300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G18" sqref="G18"/>
    </sheetView>
  </sheetViews>
  <sheetFormatPr defaultRowHeight="13.5"/>
  <cols>
    <col min="3" max="3" width="11.375" customWidth="1"/>
    <col min="4" max="4" width="11" customWidth="1"/>
    <col min="5" max="5" width="10.625" customWidth="1"/>
  </cols>
  <sheetData>
    <row r="1" spans="1:5">
      <c r="A1" s="3189"/>
      <c r="D1" s="3189" t="s">
        <v>3016</v>
      </c>
      <c r="E1" s="3189" t="s">
        <v>3018</v>
      </c>
    </row>
    <row r="2" spans="1:5">
      <c r="B2" s="3189" t="s">
        <v>2998</v>
      </c>
      <c r="C2">
        <f>83600-C3-C4</f>
        <v>76750</v>
      </c>
      <c r="D2">
        <f>2360.75+4076.73+2046.91</f>
        <v>8484.39</v>
      </c>
      <c r="E2">
        <f>C2-D2</f>
        <v>68265.61</v>
      </c>
    </row>
    <row r="3" spans="1:5">
      <c r="B3" s="3189" t="s">
        <v>3000</v>
      </c>
      <c r="C3">
        <v>1480</v>
      </c>
    </row>
    <row r="4" spans="1:5">
      <c r="B4" s="3189" t="s">
        <v>3001</v>
      </c>
      <c r="C4">
        <f>2300+1770+1100+200</f>
        <v>5370</v>
      </c>
    </row>
    <row r="5" spans="1:5">
      <c r="B5" s="3189" t="s">
        <v>3004</v>
      </c>
      <c r="C5">
        <v>470</v>
      </c>
    </row>
    <row r="6" spans="1:5">
      <c r="B6" s="3189" t="s">
        <v>3002</v>
      </c>
      <c r="C6">
        <f>43000-C5-C7</f>
        <v>27784.36</v>
      </c>
    </row>
    <row r="7" spans="1:5">
      <c r="B7" s="3189" t="s">
        <v>3003</v>
      </c>
      <c r="C7">
        <v>14745.64</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8" sqref="F3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0" t="s">
        <v>203</v>
      </c>
      <c r="B2" s="3280"/>
      <c r="C2" s="3280"/>
      <c r="D2" s="1959" t="s">
        <v>204</v>
      </c>
      <c r="E2" s="106" t="s">
        <v>205</v>
      </c>
      <c r="F2" s="1968"/>
      <c r="G2" s="1194"/>
      <c r="H2" s="1195"/>
      <c r="I2" s="1196" t="s">
        <v>857</v>
      </c>
      <c r="J2" s="1968"/>
      <c r="K2" s="1968"/>
      <c r="L2" s="1968"/>
    </row>
    <row r="3" spans="1:16" ht="15.75" thickBot="1">
      <c r="A3" s="3281" t="s">
        <v>206</v>
      </c>
      <c r="B3" s="3281"/>
      <c r="C3" s="3281"/>
      <c r="D3" s="107">
        <f>'数据-基础表'!AY6</f>
        <v>36332.1</v>
      </c>
      <c r="E3" s="107">
        <f>'数据-基础表'!AZ5</f>
        <v>111854.36</v>
      </c>
      <c r="F3" s="1968"/>
      <c r="G3" s="280" t="s">
        <v>858</v>
      </c>
      <c r="H3" s="275" t="s">
        <v>859</v>
      </c>
      <c r="I3" s="1960">
        <f>ROUND('数据-基础表'!B3/'数据-基础表'!A3,2)</f>
        <v>3.08</v>
      </c>
      <c r="J3" s="1968"/>
      <c r="K3" s="1968"/>
      <c r="L3" s="1968"/>
    </row>
    <row r="4" spans="1:16" ht="15">
      <c r="A4" s="3282"/>
      <c r="B4" s="3283"/>
      <c r="C4" s="3284"/>
      <c r="D4" s="108" t="s">
        <v>204</v>
      </c>
      <c r="E4" s="109" t="s">
        <v>205</v>
      </c>
      <c r="F4" s="1968"/>
      <c r="G4" s="1197"/>
      <c r="H4" s="275" t="s">
        <v>860</v>
      </c>
      <c r="I4" s="1960">
        <f>ROUND(SUMIF('数据-基础表'!I9:AS9,"地上",'数据-基础表'!I5:AS5)/'数据-基础表'!A3,2)</f>
        <v>2.2999999999999998</v>
      </c>
      <c r="J4" s="1968"/>
      <c r="K4" s="1968"/>
      <c r="L4" s="1968"/>
    </row>
    <row r="5" spans="1:16">
      <c r="A5" s="110" t="s">
        <v>207</v>
      </c>
      <c r="B5" s="3285" t="s">
        <v>230</v>
      </c>
      <c r="C5" s="3285"/>
      <c r="D5" s="111">
        <f>ROUND($D$3*E5/$E$3,2)</f>
        <v>24929.64</v>
      </c>
      <c r="E5" s="112">
        <f>SUMIF('数据-基础表'!$11:$11,"住宅",'数据-基础表'!$5:$5)</f>
        <v>76750</v>
      </c>
      <c r="F5" s="1968"/>
      <c r="G5" s="280" t="s">
        <v>861</v>
      </c>
      <c r="H5" s="275" t="s">
        <v>859</v>
      </c>
      <c r="I5" s="1960">
        <f>ROUND(E31/D31,2)</f>
        <v>3.08</v>
      </c>
      <c r="J5" s="1968"/>
      <c r="K5" s="1968"/>
      <c r="L5" s="1968"/>
    </row>
    <row r="6" spans="1:16" ht="15" thickBot="1">
      <c r="A6" s="113"/>
      <c r="B6" s="3285" t="s">
        <v>208</v>
      </c>
      <c r="C6" s="3285"/>
      <c r="D6" s="111">
        <f>ROUND($D$3*E6/$E$3,2)</f>
        <v>11402.46</v>
      </c>
      <c r="E6" s="112">
        <f>E3-E5</f>
        <v>35104.36</v>
      </c>
      <c r="F6" s="1968"/>
      <c r="G6" s="1197"/>
      <c r="H6" s="275" t="s">
        <v>860</v>
      </c>
      <c r="I6" s="1960">
        <f>ROUND(F31/D31,2)</f>
        <v>2.2999999999999998</v>
      </c>
      <c r="J6" s="1968"/>
      <c r="K6" s="1968"/>
      <c r="L6" s="1968"/>
    </row>
    <row r="7" spans="1:16" ht="15">
      <c r="A7" s="3277"/>
      <c r="B7" s="3278"/>
      <c r="C7" s="3279"/>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25410.37</v>
      </c>
      <c r="E8" s="116">
        <f>SUMIF('数据-基础表'!BB10:BK10,"地上",'数据-基础表'!BB5:BK5)</f>
        <v>78230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9024.81</v>
      </c>
      <c r="E13" s="116">
        <f>SUMPRODUCT(('数据-基础表'!BB10:BK10="地下")*('数据-基础表'!BB11:BK11="车库")*('数据-基础表'!BB5:BK5))</f>
        <v>27784.36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34435.18</v>
      </c>
      <c r="E16" s="120">
        <f>SUM(E8:E15)</f>
        <v>106014.36</v>
      </c>
      <c r="F16" s="1968"/>
      <c r="G16" s="1970"/>
      <c r="H16" s="968" t="s">
        <v>219</v>
      </c>
      <c r="I16" s="969"/>
      <c r="J16" s="1968"/>
      <c r="K16" s="3271" t="s">
        <v>2564</v>
      </c>
      <c r="L16" s="3272"/>
      <c r="M16" s="3272"/>
      <c r="N16" s="3272"/>
      <c r="O16" s="3272"/>
      <c r="P16" s="3273"/>
    </row>
    <row r="17" spans="1:19" ht="15">
      <c r="A17" s="121" t="s">
        <v>216</v>
      </c>
      <c r="B17" s="122" t="s">
        <v>217</v>
      </c>
      <c r="C17" s="2282" t="s">
        <v>2311</v>
      </c>
      <c r="D17" s="108" t="s">
        <v>204</v>
      </c>
      <c r="E17" s="124" t="s">
        <v>205</v>
      </c>
      <c r="F17" s="125"/>
      <c r="G17" s="1361"/>
      <c r="H17" s="970" t="s">
        <v>218</v>
      </c>
      <c r="I17" s="971" t="s">
        <v>2310</v>
      </c>
      <c r="J17" s="1968"/>
      <c r="K17" s="3274" t="s">
        <v>2565</v>
      </c>
      <c r="L17" s="3275"/>
      <c r="M17" s="3276"/>
      <c r="N17" s="3274" t="s">
        <v>2566</v>
      </c>
      <c r="O17" s="3275"/>
      <c r="P17" s="3276"/>
      <c r="R17" s="2283" t="s">
        <v>2309</v>
      </c>
      <c r="S17" s="144"/>
    </row>
    <row r="18" spans="1:19" ht="15">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3019</v>
      </c>
      <c r="D19" s="111">
        <f t="shared" ref="D19:D26" si="1">ROUND($D$3*E19/$E$3,2)</f>
        <v>2755.87</v>
      </c>
      <c r="E19" s="134">
        <f t="shared" ref="E19:E26" si="2">SUM(F19:G19)</f>
        <v>8484.39</v>
      </c>
      <c r="F19" s="135">
        <f>Sheet1!D2</f>
        <v>8484.39</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2755.87</v>
      </c>
      <c r="S19" s="2285">
        <f t="shared" si="5"/>
        <v>8484.39</v>
      </c>
    </row>
    <row r="20" spans="1:19">
      <c r="A20" s="138"/>
      <c r="B20" s="115" t="s">
        <v>226</v>
      </c>
      <c r="C20" s="2976" t="s">
        <v>3020</v>
      </c>
      <c r="D20" s="111">
        <f t="shared" si="1"/>
        <v>22173.77</v>
      </c>
      <c r="E20" s="134">
        <f t="shared" si="2"/>
        <v>68265.61</v>
      </c>
      <c r="F20" s="135">
        <f>Sheet1!E2</f>
        <v>68265.61</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22173.77</v>
      </c>
      <c r="S20" s="2285">
        <f t="shared" si="5"/>
        <v>68265.61</v>
      </c>
    </row>
    <row r="21" spans="1:19">
      <c r="A21" s="138"/>
      <c r="B21" s="115" t="s">
        <v>226</v>
      </c>
      <c r="C21" s="2976" t="s">
        <v>3009</v>
      </c>
      <c r="D21" s="111">
        <f t="shared" si="1"/>
        <v>480.73</v>
      </c>
      <c r="E21" s="134">
        <f t="shared" si="2"/>
        <v>1480</v>
      </c>
      <c r="F21" s="135">
        <f>'数据-基础表'!K13</f>
        <v>1480</v>
      </c>
      <c r="G21" s="1363"/>
      <c r="H21" s="974">
        <f t="shared" si="6"/>
        <v>0</v>
      </c>
      <c r="I21" s="116">
        <f t="shared" si="7"/>
        <v>0</v>
      </c>
      <c r="J21" s="1968"/>
      <c r="K21" s="2571">
        <f t="shared" si="3"/>
        <v>0</v>
      </c>
      <c r="L21" s="275">
        <f t="shared" si="4"/>
        <v>0</v>
      </c>
      <c r="M21" s="2572">
        <f t="shared" si="8"/>
        <v>0</v>
      </c>
      <c r="N21" s="2573"/>
      <c r="O21" s="2574"/>
      <c r="P21" s="2575">
        <f t="shared" si="9"/>
        <v>0</v>
      </c>
      <c r="R21" s="275">
        <f t="shared" si="5"/>
        <v>480.73</v>
      </c>
      <c r="S21" s="2285">
        <f t="shared" si="5"/>
        <v>1480</v>
      </c>
    </row>
    <row r="22" spans="1:19">
      <c r="A22" s="138"/>
      <c r="B22" s="115" t="s">
        <v>226</v>
      </c>
      <c r="C22" s="3190" t="s">
        <v>3021</v>
      </c>
      <c r="D22" s="111">
        <f t="shared" si="1"/>
        <v>9024.81</v>
      </c>
      <c r="E22" s="134">
        <f t="shared" si="2"/>
        <v>27784.36</v>
      </c>
      <c r="F22" s="140"/>
      <c r="G22" s="1364">
        <f>'数据-基础表'!M13</f>
        <v>27784.36</v>
      </c>
      <c r="H22" s="974">
        <f t="shared" si="6"/>
        <v>0</v>
      </c>
      <c r="I22" s="116">
        <f t="shared" si="7"/>
        <v>0</v>
      </c>
      <c r="J22" s="1968"/>
      <c r="K22" s="2571">
        <f t="shared" si="3"/>
        <v>0</v>
      </c>
      <c r="L22" s="275">
        <f t="shared" si="4"/>
        <v>0</v>
      </c>
      <c r="M22" s="2572">
        <f t="shared" si="8"/>
        <v>0</v>
      </c>
      <c r="N22" s="2573"/>
      <c r="O22" s="2574"/>
      <c r="P22" s="2575">
        <f t="shared" si="9"/>
        <v>0</v>
      </c>
      <c r="R22" s="275">
        <f t="shared" si="5"/>
        <v>9024.81</v>
      </c>
      <c r="S22" s="2285">
        <f t="shared" si="5"/>
        <v>27784.36</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215</v>
      </c>
      <c r="D27" s="134">
        <f>SUM(D19:D26)</f>
        <v>34435.18</v>
      </c>
      <c r="E27" s="143">
        <f>IF(SUM(E19:E26)='数据-基础表'!BA5,SUM(E19:E26),IF(F27="地上面积有误","面积有误","地下面积有误"))</f>
        <v>106014.36</v>
      </c>
      <c r="F27" s="134">
        <f>IF(SUM(F19:F26)=E8,SUM(F19:F26),"地上面积有误")</f>
        <v>78230</v>
      </c>
      <c r="G27" s="112">
        <f>SUM(G19:G26)</f>
        <v>27784.36</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t="str">
        <f>IF(SUM(R19:R26)=$D$3,SUM(R19:R26),SUM(R19:R26)&amp;"误差"&amp;ROUND(SUM(R19:R26)-$D$3,2))</f>
        <v>34435.18误差-1896.92</v>
      </c>
      <c r="S27" s="275" t="str">
        <f>IF(SUM(S19:S26)=$E$3,SUM(S19:S26),SUM(S19:S26)&amp;"误差"&amp;ROUND(SUM(S19:S26)-E3,2))</f>
        <v>106014.36误差-5840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1896.93</v>
      </c>
      <c r="E29" s="134">
        <f>SUM(F29:G29)</f>
        <v>5840</v>
      </c>
      <c r="F29" s="144">
        <f>'数据-基础表'!BM5+'数据-基础表'!BO5</f>
        <v>5370</v>
      </c>
      <c r="G29" s="146">
        <f>'数据-基础表'!BN5+'数据-基础表'!BP5</f>
        <v>470</v>
      </c>
      <c r="H29" s="1968"/>
      <c r="I29" s="1968"/>
      <c r="J29" s="1968"/>
      <c r="K29" s="1968"/>
      <c r="L29" s="1968"/>
    </row>
    <row r="30" spans="1:19">
      <c r="A30" s="138"/>
      <c r="B30" s="111"/>
      <c r="C30" s="147" t="s">
        <v>215</v>
      </c>
      <c r="D30" s="134">
        <f>SUM(D28:D29)</f>
        <v>1896.93</v>
      </c>
      <c r="E30" s="134">
        <f>SUM(E28:E29)</f>
        <v>5840</v>
      </c>
      <c r="F30" s="134">
        <f>SUM(F28:F29)</f>
        <v>5370</v>
      </c>
      <c r="G30" s="112">
        <f>SUM(G28:G29)</f>
        <v>470</v>
      </c>
      <c r="H30" s="1968"/>
      <c r="I30" s="1968"/>
      <c r="J30" s="1968"/>
      <c r="K30" s="1968"/>
      <c r="L30" s="1968"/>
    </row>
    <row r="31" spans="1:19" ht="32.25" customHeight="1" thickBot="1">
      <c r="A31" s="1365"/>
      <c r="B31" s="1366" t="s">
        <v>229</v>
      </c>
      <c r="C31" s="2314" t="s">
        <v>2320</v>
      </c>
      <c r="D31" s="1367">
        <f>D27+D30</f>
        <v>36332.11</v>
      </c>
      <c r="E31" s="1367">
        <f>E27+E30</f>
        <v>111854.36</v>
      </c>
      <c r="F31" s="1368">
        <f>F27+F30</f>
        <v>83600</v>
      </c>
      <c r="G31" s="1369">
        <f>G27+G30</f>
        <v>28254.36</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2" sqref="O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43909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洋房</v>
      </c>
      <c r="B6" s="2321" t="str">
        <f>IF(A6=0,"","经营性")</f>
        <v>经营性</v>
      </c>
      <c r="C6" s="173" t="s">
        <v>923</v>
      </c>
      <c r="D6" s="2292">
        <f>SUMIF(项目基本情况!D$15:I$15,C6,项目基本情况!D$18:I$18)</f>
        <v>70</v>
      </c>
      <c r="E6" s="2293">
        <f>IF(B6="","",SUMIF(项目基本情况!D$15:I$15,C6,项目基本情况!D$17:I$17))</f>
        <v>68443</v>
      </c>
      <c r="F6" s="174">
        <f>SUMIF(项目基本情况!D$15:I$15,C6,项目基本情况!D$19:I$19)</f>
        <v>67.209999999999994</v>
      </c>
      <c r="G6" s="175">
        <f>IF(ISERROR(ROUND(POWER(1+H6,D6-F6)*(POWER(1+H6,F6)-1)/(POWER(1+H6,D6)-1),3)),0,ROUND(POWER(1+H6,D6-F6)*(POWER(1+H6,F6)-1)/(POWER(1+H6,D6)-1),3))</f>
        <v>0.99399999999999999</v>
      </c>
      <c r="H6" s="2977">
        <v>4.4999999999999998E-2</v>
      </c>
      <c r="I6" s="2977">
        <v>0.05</v>
      </c>
      <c r="J6" s="176">
        <v>0.08</v>
      </c>
      <c r="K6" s="179">
        <f>SUMIF('数据-汇总表'!C$19:C$33,'数据-取费表'!A6,'数据-汇总表'!E$19:E$33)</f>
        <v>8484.39</v>
      </c>
      <c r="L6" s="2978">
        <v>2800</v>
      </c>
      <c r="M6" s="177">
        <f t="shared" ref="M6:M14" si="0">ROUND(K6*L6/10000,0)</f>
        <v>2376</v>
      </c>
      <c r="N6" s="2979">
        <v>0</v>
      </c>
      <c r="O6" s="177">
        <f>IF($N$5="成新度","——",ROUND(M6*N6,0))</f>
        <v>0</v>
      </c>
      <c r="P6" s="178">
        <f>IF($N$5="成新度","——",M6-O6)</f>
        <v>2376</v>
      </c>
      <c r="Q6" s="2980">
        <v>0.05</v>
      </c>
      <c r="R6" s="179">
        <f>SUMIF('数据-汇总表'!C$19:C$33,A6,'数据-汇总表'!R$19:R$33)</f>
        <v>2755.87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0.94799999999999995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高层</v>
      </c>
      <c r="B7" s="2321" t="str">
        <f t="shared" ref="B7:B13" si="1">IF(A7=0,"","经营性")</f>
        <v>经营性</v>
      </c>
      <c r="C7" s="173" t="s">
        <v>923</v>
      </c>
      <c r="D7" s="2292">
        <f>SUMIF(项目基本情况!D$15:I$15,C7,项目基本情况!D$18:I$18)</f>
        <v>70</v>
      </c>
      <c r="E7" s="2293">
        <f>IF(B7="","",SUMIF(项目基本情况!D$15:I$15,C7,项目基本情况!D$17:I$17))</f>
        <v>68443</v>
      </c>
      <c r="F7" s="174">
        <f>SUMIF(项目基本情况!D$15:I$15,C7,项目基本情况!D$19:I$19)</f>
        <v>67.209999999999994</v>
      </c>
      <c r="G7" s="175">
        <f t="shared" ref="G7:G11" si="2">IF(ISERROR(ROUND(POWER(1+H7,D7-F7)*(POWER(1+H7,F7)-1)/(POWER(1+H7,D7)-1),3)),0,ROUND(POWER(1+H7,D7-F7)*(POWER(1+H7,F7)-1)/(POWER(1+H7,D7)-1),3))</f>
        <v>0.99399999999999999</v>
      </c>
      <c r="H7" s="2977">
        <v>4.4999999999999998E-2</v>
      </c>
      <c r="I7" s="2977">
        <v>0.05</v>
      </c>
      <c r="J7" s="176">
        <v>0.08</v>
      </c>
      <c r="K7" s="179">
        <f>SUMIF('数据-汇总表'!C$19:C$33,'数据-取费表'!A7,'数据-汇总表'!E$19:E$33)</f>
        <v>68265.61</v>
      </c>
      <c r="L7" s="2978">
        <v>3200</v>
      </c>
      <c r="M7" s="177">
        <f t="shared" si="0"/>
        <v>21845</v>
      </c>
      <c r="N7" s="2979">
        <v>0</v>
      </c>
      <c r="O7" s="177">
        <f t="shared" ref="O7:O14" si="3">IF($N$5="成新度","——",ROUND(M7*N7,0))</f>
        <v>0</v>
      </c>
      <c r="P7" s="178">
        <f t="shared" ref="P7:P14" si="4">IF($N$5="成新度","——",M7-O7)</f>
        <v>21845</v>
      </c>
      <c r="Q7" s="2980">
        <v>0.05</v>
      </c>
      <c r="R7" s="179">
        <f>SUMIF('数据-汇总表'!C$19:C$33,A7,'数据-汇总表'!R$19:R$33)</f>
        <v>22173.77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0.94799999999999995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商业</v>
      </c>
      <c r="B8" s="2321" t="str">
        <f t="shared" si="1"/>
        <v>经营性</v>
      </c>
      <c r="C8" s="173" t="s">
        <v>2999</v>
      </c>
      <c r="D8" s="2292">
        <f>SUMIF(项目基本情况!D$15:I$15,C8,项目基本情况!D$18:I$18)</f>
        <v>40</v>
      </c>
      <c r="E8" s="2293">
        <f>IF(B8="","",SUMIF(项目基本情况!D$15:I$15,C8,项目基本情况!D$17:I$17))</f>
        <v>57486</v>
      </c>
      <c r="F8" s="174">
        <f>SUMIF(项目基本情况!D$15:I$15,C8,项目基本情况!D$19:I$19)</f>
        <v>37.19</v>
      </c>
      <c r="G8" s="175">
        <f t="shared" si="2"/>
        <v>0.97799999999999998</v>
      </c>
      <c r="H8" s="2977">
        <v>5.5E-2</v>
      </c>
      <c r="I8" s="2977">
        <v>0.06</v>
      </c>
      <c r="J8" s="176">
        <v>0.08</v>
      </c>
      <c r="K8" s="179">
        <f>SUMIF('数据-汇总表'!C$19:C$33,'数据-取费表'!A8,'数据-汇总表'!E$19:E$33)</f>
        <v>1480</v>
      </c>
      <c r="L8" s="2978">
        <v>2600</v>
      </c>
      <c r="M8" s="177">
        <f>ROUND(K8*L8/10000,0)</f>
        <v>385</v>
      </c>
      <c r="N8" s="2979">
        <v>0</v>
      </c>
      <c r="O8" s="177">
        <f t="shared" si="3"/>
        <v>0</v>
      </c>
      <c r="P8" s="178">
        <f t="shared" si="4"/>
        <v>385</v>
      </c>
      <c r="Q8" s="2980">
        <v>0.05</v>
      </c>
      <c r="R8" s="179">
        <f>SUMIF('数据-汇总表'!C$19:C$33,A8,'数据-汇总表'!R$19:R$33)</f>
        <v>480.73</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0.86299999999999999</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地下车库</v>
      </c>
      <c r="B9" s="2321" t="str">
        <f t="shared" si="1"/>
        <v>经营性</v>
      </c>
      <c r="C9" s="173" t="s">
        <v>3007</v>
      </c>
      <c r="D9" s="2292">
        <f>SUMIF(项目基本情况!D$15:I$15,C9,项目基本情况!D$18:I$18)</f>
        <v>50</v>
      </c>
      <c r="E9" s="2293">
        <f>IF(B9="","",SUMIF(项目基本情况!D$15:I$15,C9,项目基本情况!D$17:I$17))</f>
        <v>61138</v>
      </c>
      <c r="F9" s="174">
        <f>SUMIF(项目基本情况!D$15:I$15,C9,项目基本情况!D$19:I$19)</f>
        <v>47.2</v>
      </c>
      <c r="G9" s="175">
        <f t="shared" si="2"/>
        <v>0.98099999999999998</v>
      </c>
      <c r="H9" s="176">
        <v>0.04</v>
      </c>
      <c r="I9" s="176">
        <v>4.4999999999999998E-2</v>
      </c>
      <c r="J9" s="176">
        <v>0.08</v>
      </c>
      <c r="K9" s="179">
        <f>SUMIF('数据-汇总表'!C$19:C$33,'数据-取费表'!A9,'数据-汇总表'!E$19:E$33)</f>
        <v>27784.36</v>
      </c>
      <c r="L9" s="193">
        <v>2200</v>
      </c>
      <c r="M9" s="177">
        <f t="shared" si="0"/>
        <v>6113</v>
      </c>
      <c r="N9" s="194">
        <v>0</v>
      </c>
      <c r="O9" s="177">
        <f t="shared" si="3"/>
        <v>0</v>
      </c>
      <c r="P9" s="178">
        <f t="shared" si="4"/>
        <v>6113</v>
      </c>
      <c r="Q9" s="192">
        <v>0.02</v>
      </c>
      <c r="R9" s="179">
        <f>SUMIF('数据-汇总表'!C$19:C$33,A9,'数据-汇总表'!R$19:R$33)</f>
        <v>9024.81</v>
      </c>
      <c r="S9" s="132">
        <f>IF('数据-汇总表'!$I$17="按面积比例",SUMIF('数据-汇总表'!C$19:C$33,A9,'数据-汇总表'!K$19:K$33),SUMIF('数据-汇总表'!C$19:C$33,A9,'数据-汇总表'!N$19:N$33))</f>
        <v>0</v>
      </c>
      <c r="T9" s="2218" t="str">
        <f t="shared" si="5"/>
        <v>0</v>
      </c>
      <c r="U9" s="180">
        <v>0.6</v>
      </c>
      <c r="V9" s="181">
        <v>0.02</v>
      </c>
      <c r="W9" s="181">
        <v>0.1</v>
      </c>
      <c r="X9" s="2305"/>
      <c r="Y9" s="182">
        <v>1</v>
      </c>
      <c r="Z9" s="183"/>
      <c r="AA9" s="176"/>
      <c r="AB9" s="176"/>
      <c r="AC9" s="2308"/>
      <c r="AD9" s="184"/>
      <c r="AE9" s="972">
        <f t="shared" ca="1" si="6"/>
        <v>45.2</v>
      </c>
      <c r="AF9" s="141"/>
      <c r="AG9" s="1209">
        <f t="shared" si="7"/>
        <v>0</v>
      </c>
      <c r="AH9" s="141"/>
      <c r="AI9" s="187">
        <v>365</v>
      </c>
      <c r="AJ9" s="188"/>
      <c r="AK9" s="189">
        <v>1.4999999999999999E-2</v>
      </c>
      <c r="AL9" s="190">
        <v>1.5E-3</v>
      </c>
      <c r="AM9" s="2353">
        <v>0.02</v>
      </c>
      <c r="AN9" s="2355" t="s">
        <v>3022</v>
      </c>
      <c r="AO9" s="1984"/>
      <c r="AP9" s="1200">
        <f t="shared" si="8"/>
        <v>0.84299999999999997</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v>2200</v>
      </c>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5840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v>
      </c>
      <c r="H16" s="203">
        <f>ROUND(SUMPRODUCT(H6:H13,K6:K13)/SUMPRODUCT((H6:H13&gt;0)*(K6:K13)),3)</f>
        <v>4.3999999999999997E-2</v>
      </c>
      <c r="I16" s="204"/>
      <c r="J16" s="204"/>
      <c r="K16" s="205">
        <f>SUM(K6:K15)</f>
        <v>111854.36</v>
      </c>
      <c r="L16" s="206">
        <f>ROUND(M16*10000/SUM(K6:K14),0)</f>
        <v>2898</v>
      </c>
      <c r="M16" s="206">
        <f>SUM(M6:M14)</f>
        <v>30719</v>
      </c>
      <c r="N16" s="207">
        <f>ROUND(SUMPRODUCT(M6:M14,N6:N14)/M16,3)</f>
        <v>0</v>
      </c>
      <c r="O16" s="206">
        <f>SUM(O6:O14)</f>
        <v>0</v>
      </c>
      <c r="P16" s="206">
        <f>SUM(P6:P14)</f>
        <v>30719</v>
      </c>
      <c r="Q16" s="208">
        <f>ROUND(SUMPRODUCT(Q6:Q13,K6:K13)/SUMPRODUCT((Q6:Q13&gt;0)*(K6:K13)),2)</f>
        <v>0.04</v>
      </c>
      <c r="R16" s="2295">
        <f>SUM(R6:R13)</f>
        <v>34435.18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0.91900000000000004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412</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480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25</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20</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10</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6" t="s">
        <v>1663</v>
      </c>
      <c r="B1" s="3287"/>
      <c r="C1" s="3287"/>
      <c r="D1" s="3287"/>
      <c r="E1" s="3287"/>
      <c r="F1" s="3287"/>
      <c r="G1" s="328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1.25">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1.25">
      <c r="A5" s="1225"/>
      <c r="B5" s="1227" t="s">
        <v>1669</v>
      </c>
      <c r="C5" s="3033" t="s">
        <v>2922</v>
      </c>
      <c r="D5" s="1993"/>
      <c r="E5" s="1228"/>
      <c r="F5" s="1227" t="s">
        <v>2544</v>
      </c>
      <c r="G5" s="3034" t="s">
        <v>2917</v>
      </c>
      <c r="H5" s="1992"/>
      <c r="I5" s="1992"/>
      <c r="J5" s="1992"/>
      <c r="K5" s="1992"/>
      <c r="L5" s="1992"/>
      <c r="M5" s="1992"/>
      <c r="N5" s="1992"/>
      <c r="O5" s="1992"/>
      <c r="P5" s="1992"/>
      <c r="Q5" s="1992"/>
      <c r="R5" s="1992"/>
    </row>
    <row r="6" spans="1:18" ht="54">
      <c r="A6" s="1225"/>
      <c r="B6" s="1227" t="s">
        <v>1655</v>
      </c>
      <c r="C6" s="3034" t="s">
        <v>2916</v>
      </c>
      <c r="D6" s="1993"/>
      <c r="E6" s="1228"/>
      <c r="F6" s="1227" t="s">
        <v>2545</v>
      </c>
      <c r="G6" s="3034" t="s">
        <v>2914</v>
      </c>
      <c r="H6" s="1992"/>
      <c r="I6" s="1992"/>
      <c r="J6" s="1992"/>
      <c r="K6" s="1992"/>
      <c r="L6" s="1992"/>
      <c r="M6" s="1992"/>
      <c r="N6" s="1992"/>
      <c r="O6" s="1992"/>
      <c r="P6" s="1992"/>
      <c r="Q6" s="1992"/>
      <c r="R6" s="1992"/>
    </row>
    <row r="7" spans="1:18" ht="41.25" thickBot="1">
      <c r="A7" s="1225"/>
      <c r="B7" s="1227" t="s">
        <v>2544</v>
      </c>
      <c r="C7" s="3034" t="s">
        <v>2917</v>
      </c>
      <c r="D7" s="1994"/>
      <c r="E7" s="1230"/>
      <c r="F7" s="1231" t="s">
        <v>1670</v>
      </c>
      <c r="G7" s="3037" t="s">
        <v>2918</v>
      </c>
      <c r="H7" s="1992"/>
      <c r="I7" s="1992"/>
      <c r="J7" s="1992"/>
      <c r="K7" s="1992"/>
      <c r="L7" s="1992"/>
      <c r="M7" s="1992"/>
      <c r="N7" s="1992"/>
      <c r="O7" s="1992"/>
      <c r="P7" s="1992"/>
      <c r="Q7" s="1992"/>
      <c r="R7" s="1992"/>
    </row>
    <row r="8" spans="1:18" ht="27">
      <c r="A8" s="1225"/>
      <c r="B8" s="1227" t="s">
        <v>2545</v>
      </c>
      <c r="C8" s="3034" t="s">
        <v>2914</v>
      </c>
      <c r="D8" s="1994"/>
      <c r="E8" s="1994"/>
      <c r="F8" s="1539"/>
      <c r="G8" s="1539"/>
      <c r="H8" s="1992"/>
      <c r="I8" s="1992"/>
      <c r="J8" s="1992"/>
      <c r="K8" s="1992"/>
      <c r="L8" s="1992"/>
      <c r="M8" s="1992"/>
      <c r="N8" s="1992"/>
      <c r="O8" s="1992"/>
      <c r="P8" s="1992"/>
      <c r="Q8" s="1992"/>
      <c r="R8" s="1992"/>
    </row>
    <row r="9" spans="1:18" ht="40.5">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111854.36</v>
      </c>
      <c r="C1" s="2997"/>
      <c r="D1" s="2997"/>
      <c r="E1" s="2997"/>
      <c r="F1" s="2997"/>
    </row>
    <row r="2" spans="1:9" ht="16.5">
      <c r="A2" s="2996" t="s">
        <v>2842</v>
      </c>
      <c r="B2" s="2996">
        <f>SUM(C14:C23)</f>
        <v>36332.1</v>
      </c>
      <c r="C2" s="2997"/>
      <c r="D2" s="2997"/>
      <c r="E2" s="2997"/>
      <c r="F2" s="2997"/>
    </row>
    <row r="3" spans="1:9" ht="16.5">
      <c r="A3" s="2996" t="s">
        <v>2843</v>
      </c>
      <c r="B3" s="2998">
        <f>项目基本情况!D3</f>
        <v>43909</v>
      </c>
      <c r="C3" s="2997"/>
      <c r="D3" s="2997"/>
      <c r="E3" s="2997"/>
      <c r="F3" s="2997"/>
    </row>
    <row r="4" spans="1:9" ht="33">
      <c r="A4" s="2996" t="s">
        <v>2844</v>
      </c>
      <c r="B4" s="2996" t="s">
        <v>2845</v>
      </c>
      <c r="C4" s="2996" t="s">
        <v>2846</v>
      </c>
      <c r="D4" s="2996" t="s">
        <v>2847</v>
      </c>
      <c r="E4" s="2997"/>
      <c r="F4" s="2997"/>
    </row>
    <row r="5" spans="1:9" ht="16.5">
      <c r="A5" s="2996" t="s">
        <v>2848</v>
      </c>
      <c r="B5" s="2996">
        <f ca="1">SUM(D14:D23)</f>
        <v>236347</v>
      </c>
      <c r="C5" s="2996">
        <f ca="1">ROUND(B5*10000/$B$1,0)</f>
        <v>21130</v>
      </c>
      <c r="D5" s="2996">
        <f ca="1">ROUND(B5*10000/$B$2,0)</f>
        <v>65052</v>
      </c>
      <c r="E5" s="2997"/>
      <c r="F5" s="2997"/>
    </row>
    <row r="6" spans="1:9" ht="16.5">
      <c r="A6" s="2996" t="s">
        <v>2849</v>
      </c>
      <c r="B6" s="2996">
        <f ca="1">SUM(G14:G23)</f>
        <v>236347</v>
      </c>
      <c r="C6" s="2996">
        <f t="shared" ref="C6:C8" ca="1" si="0">ROUND(B6*10000/$B$1,0)</f>
        <v>21130</v>
      </c>
      <c r="D6" s="2996">
        <f t="shared" ref="D6:D8" ca="1" si="1">ROUND(B6*10000/$B$2,0)</f>
        <v>65052</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111854.36</v>
      </c>
      <c r="C14" s="3000">
        <f>结果表!K38</f>
        <v>36332.1</v>
      </c>
      <c r="D14" s="3000">
        <f ca="1">结果表!C42</f>
        <v>236347</v>
      </c>
      <c r="E14" s="3000">
        <f ca="1">ROUND(D14*10000/B14,0)</f>
        <v>21130</v>
      </c>
      <c r="F14" s="3000">
        <f ca="1">ROUND(D14*10000/C14,0)</f>
        <v>65052</v>
      </c>
      <c r="G14" s="3000">
        <f ca="1">结果表!C44</f>
        <v>236347</v>
      </c>
      <c r="H14" s="3000" t="str">
        <f>结果表!C45</f>
        <v>——</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3" sqref="L13"/>
    </sheetView>
  </sheetViews>
  <sheetFormatPr defaultColWidth="12.625" defaultRowHeight="21.75" customHeight="1"/>
  <cols>
    <col min="1" max="2" width="12.75" style="1246" bestFit="1" customWidth="1"/>
    <col min="3" max="3" width="25.25" style="1246" customWidth="1"/>
    <col min="4" max="4" width="16.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33" t="str">
        <f>项目基本情况!K2</f>
        <v>出让国有建设用地使用权</v>
      </c>
      <c r="B2" s="3334"/>
      <c r="C2" s="3335"/>
      <c r="D2" s="3335"/>
      <c r="E2" s="3335"/>
      <c r="F2" s="3335"/>
      <c r="G2" s="3334"/>
      <c r="H2" s="3334"/>
      <c r="I2" s="3336"/>
      <c r="J2" s="2014"/>
      <c r="K2" s="2013"/>
      <c r="L2" s="2013"/>
      <c r="M2" s="2013"/>
      <c r="N2" s="2013"/>
      <c r="O2" s="2013"/>
      <c r="P2" s="2013"/>
      <c r="Q2" s="2013"/>
      <c r="R2" s="2013"/>
      <c r="S2" s="2013"/>
      <c r="T2" s="2013"/>
      <c r="U2" s="2013"/>
      <c r="V2" s="2013"/>
    </row>
    <row r="3" spans="1:22" ht="14.25">
      <c r="A3" s="3344" t="s">
        <v>298</v>
      </c>
      <c r="B3" s="3345"/>
      <c r="C3" s="3345"/>
      <c r="D3" s="3345"/>
      <c r="E3" s="3345"/>
      <c r="F3" s="3345"/>
      <c r="G3" s="3345"/>
      <c r="H3" s="3345"/>
      <c r="I3" s="3345"/>
      <c r="J3" s="2014"/>
      <c r="K3" s="2013"/>
      <c r="L3" s="2013"/>
      <c r="M3" s="2013"/>
      <c r="N3" s="2013"/>
      <c r="O3" s="2013"/>
      <c r="P3" s="2013"/>
      <c r="Q3" s="2013"/>
      <c r="R3" s="2013"/>
      <c r="S3" s="2013"/>
      <c r="T3" s="2013"/>
      <c r="U3" s="2013"/>
      <c r="V3" s="2013"/>
    </row>
    <row r="4" spans="1:22" ht="14.25">
      <c r="A4" s="258" t="s">
        <v>299</v>
      </c>
      <c r="B4" s="259" t="s">
        <v>300</v>
      </c>
      <c r="C4" s="260" t="s">
        <v>3135</v>
      </c>
      <c r="D4" s="260" t="s">
        <v>3070</v>
      </c>
      <c r="E4" s="3308" t="s">
        <v>301</v>
      </c>
      <c r="F4" s="3350"/>
      <c r="G4" s="3350"/>
      <c r="H4" s="3350"/>
      <c r="I4" s="3309"/>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7" t="s">
        <v>302</v>
      </c>
      <c r="B5" s="3338">
        <v>25</v>
      </c>
      <c r="C5" s="3346"/>
      <c r="D5" s="3349"/>
      <c r="E5" s="261" t="s">
        <v>303</v>
      </c>
      <c r="F5" s="262"/>
      <c r="G5" s="262"/>
      <c r="H5" s="262"/>
      <c r="I5" s="263"/>
      <c r="J5" s="2014"/>
      <c r="K5" s="2013"/>
      <c r="L5" s="2013"/>
      <c r="M5" s="2013"/>
      <c r="N5" s="2013"/>
      <c r="O5" s="2013"/>
      <c r="P5" s="2013"/>
      <c r="Q5" s="2013"/>
      <c r="R5" s="2013"/>
      <c r="S5" s="2013"/>
      <c r="T5" s="2013"/>
      <c r="U5" s="2013"/>
      <c r="V5" s="2013"/>
    </row>
    <row r="6" spans="1:22" ht="14.25">
      <c r="A6" s="3337"/>
      <c r="B6" s="3338"/>
      <c r="C6" s="3347"/>
      <c r="D6" s="3349"/>
      <c r="E6" s="261" t="s">
        <v>304</v>
      </c>
      <c r="F6" s="262"/>
      <c r="G6" s="262"/>
      <c r="H6" s="262"/>
      <c r="I6" s="263"/>
      <c r="J6" s="2014"/>
      <c r="K6" s="2013"/>
      <c r="L6" s="2013"/>
      <c r="M6" s="2013"/>
      <c r="N6" s="2013"/>
      <c r="O6" s="2013"/>
      <c r="P6" s="2013"/>
      <c r="Q6" s="2013"/>
      <c r="R6" s="2013"/>
      <c r="S6" s="2013"/>
      <c r="T6" s="2013"/>
      <c r="U6" s="2013"/>
      <c r="V6" s="2013"/>
    </row>
    <row r="7" spans="1:22" ht="14.25">
      <c r="A7" s="3337"/>
      <c r="B7" s="3338"/>
      <c r="C7" s="3348"/>
      <c r="D7" s="3349"/>
      <c r="E7" s="261" t="s">
        <v>305</v>
      </c>
      <c r="F7" s="262"/>
      <c r="G7" s="262"/>
      <c r="H7" s="262"/>
      <c r="I7" s="263"/>
      <c r="J7" s="2014"/>
      <c r="K7" s="2013"/>
      <c r="L7" s="2013"/>
      <c r="M7" s="2013"/>
      <c r="N7" s="2013"/>
      <c r="O7" s="2013"/>
      <c r="P7" s="2013"/>
      <c r="Q7" s="2013"/>
      <c r="R7" s="2013"/>
      <c r="S7" s="2013"/>
      <c r="T7" s="2013"/>
      <c r="U7" s="2013"/>
      <c r="V7" s="2013"/>
    </row>
    <row r="8" spans="1:22" ht="14.25">
      <c r="A8" s="3337" t="s">
        <v>306</v>
      </c>
      <c r="B8" s="3338">
        <v>15</v>
      </c>
      <c r="C8" s="3346"/>
      <c r="D8" s="3349"/>
      <c r="E8" s="261" t="s">
        <v>307</v>
      </c>
      <c r="F8" s="262"/>
      <c r="G8" s="262"/>
      <c r="H8" s="262"/>
      <c r="I8" s="263"/>
      <c r="J8" s="2014"/>
      <c r="K8" s="2013"/>
      <c r="L8" s="2013"/>
      <c r="M8" s="2013"/>
      <c r="N8" s="2013"/>
      <c r="O8" s="2013"/>
      <c r="P8" s="2013"/>
      <c r="Q8" s="2013"/>
      <c r="R8" s="2013"/>
      <c r="S8" s="2013"/>
      <c r="T8" s="2013"/>
      <c r="U8" s="2013"/>
      <c r="V8" s="2013"/>
    </row>
    <row r="9" spans="1:22" ht="14.25">
      <c r="A9" s="3337"/>
      <c r="B9" s="3338"/>
      <c r="C9" s="3348"/>
      <c r="D9" s="3349"/>
      <c r="E9" s="261" t="s">
        <v>308</v>
      </c>
      <c r="F9" s="262"/>
      <c r="G9" s="262"/>
      <c r="H9" s="262"/>
      <c r="I9" s="263"/>
      <c r="J9" s="2014"/>
      <c r="K9" s="2013"/>
      <c r="L9" s="2013"/>
      <c r="M9" s="2013"/>
      <c r="N9" s="2013"/>
      <c r="O9" s="2013"/>
      <c r="P9" s="2013"/>
      <c r="Q9" s="2013"/>
      <c r="R9" s="2013"/>
      <c r="S9" s="2013"/>
      <c r="T9" s="2013"/>
      <c r="U9" s="2013"/>
      <c r="V9" s="2013"/>
    </row>
    <row r="10" spans="1:22" ht="14.25">
      <c r="A10" s="3337" t="s">
        <v>309</v>
      </c>
      <c r="B10" s="3338">
        <v>15</v>
      </c>
      <c r="C10" s="3346"/>
      <c r="D10" s="3349"/>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7"/>
      <c r="B11" s="3338"/>
      <c r="C11" s="3348"/>
      <c r="D11" s="334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7" t="s">
        <v>312</v>
      </c>
      <c r="B12" s="3338">
        <v>15</v>
      </c>
      <c r="C12" s="3346"/>
      <c r="D12" s="3349"/>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7"/>
      <c r="B13" s="3338"/>
      <c r="C13" s="3348"/>
      <c r="D13" s="334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7" t="s">
        <v>315</v>
      </c>
      <c r="B14" s="3338">
        <v>30</v>
      </c>
      <c r="C14" s="3346">
        <v>5</v>
      </c>
      <c r="D14" s="3349">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7"/>
      <c r="B15" s="3338"/>
      <c r="C15" s="3347"/>
      <c r="D15" s="334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7"/>
      <c r="B16" s="3338"/>
      <c r="C16" s="3348"/>
      <c r="D16" s="334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226922</v>
      </c>
      <c r="D19" s="271">
        <f ca="1">SUMIF(INDIRECT("'"&amp;D4&amp;"'"&amp;"!A:A"),结果表!B19,INDIRECT("'"&amp;D4&amp;"'"&amp;"!B:B"))</f>
        <v>245771</v>
      </c>
      <c r="E19" s="268" t="s">
        <v>323</v>
      </c>
      <c r="F19" s="269" t="s">
        <v>322</v>
      </c>
      <c r="G19" s="272">
        <f ca="1">ROUND(C19*$C$18+D19*$D$18,0)</f>
        <v>236347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20287</v>
      </c>
      <c r="D20" s="277">
        <f ca="1">SUMIF(INDIRECT("'"&amp;D4&amp;"'"&amp;"!A:A"),结果表!B20,INDIRECT("'"&amp;D4&amp;"'"&amp;"!B:B"))</f>
        <v>21972</v>
      </c>
      <c r="E20" s="274"/>
      <c r="F20" s="275" t="s">
        <v>325</v>
      </c>
      <c r="G20" s="278">
        <f ca="1">ROUND(C20*$C$18+D20*$D$18,0)</f>
        <v>21130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62458</v>
      </c>
      <c r="D21" s="151">
        <f ca="1">SUMIF(INDIRECT("'"&amp;D4&amp;"'"&amp;"!A:A"),结果表!B21,INDIRECT("'"&amp;D4&amp;"'"&amp;"!B:B"))</f>
        <v>67646</v>
      </c>
      <c r="E21" s="274"/>
      <c r="F21" s="280" t="s">
        <v>327</v>
      </c>
      <c r="G21" s="282">
        <f ca="1">ROUND(C21*$C$18+D21*$D$18,0)</f>
        <v>65052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8.3063784031517374E-2</v>
      </c>
      <c r="E22" s="284"/>
      <c r="F22" s="285"/>
      <c r="G22" s="286">
        <f ca="1">ROUND(G19/('数据-汇总表'!D3/666.67),0)</f>
        <v>4337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0"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2"/>
      <c r="B25" s="1317" t="s">
        <v>331</v>
      </c>
      <c r="C25" s="290">
        <f>IF(B30=0,0,C30)</f>
        <v>0</v>
      </c>
      <c r="D25" s="291"/>
      <c r="E25" s="311"/>
      <c r="F25" s="311"/>
      <c r="G25" s="311"/>
      <c r="H25" s="311"/>
      <c r="I25" s="311"/>
      <c r="J25" s="2013"/>
      <c r="K25" s="1251" t="str">
        <f ca="1">项目基本情况!B16&amp;"国有建设用地使用权价格："&amp;O38&amp;"万元"</f>
        <v>出让国有建设用地使用权价格：236347万元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大写金额：人民币贰拾叁亿陆仟叁佰肆拾柒万元整</v>
      </c>
      <c r="L26" s="1248"/>
      <c r="M26" s="1248"/>
      <c r="N26" s="1248"/>
      <c r="O26" s="1247"/>
      <c r="P26" s="2013"/>
      <c r="Q26" s="2013"/>
      <c r="R26" s="2013"/>
      <c r="S26" s="2013"/>
      <c r="T26" s="2013"/>
      <c r="U26" s="2013"/>
      <c r="V26" s="2013"/>
      <c r="W26" s="292"/>
      <c r="X26" s="292"/>
      <c r="Y26" s="292"/>
      <c r="Z26" s="292"/>
    </row>
    <row r="27" spans="1:26" ht="18">
      <c r="A27" s="293"/>
      <c r="B27" s="294"/>
      <c r="C27" s="294"/>
      <c r="D27" s="295">
        <f ca="1">G19/'数据-汇总表'!F31</f>
        <v>2.8271172248803826</v>
      </c>
      <c r="E27" s="311"/>
      <c r="F27" s="311"/>
      <c r="G27" s="311"/>
      <c r="H27" s="311"/>
      <c r="I27" s="311"/>
      <c r="J27" s="2013"/>
      <c r="K27" s="1254" t="str">
        <f ca="1">"单位面积地价："&amp;M38&amp;"元/平方米"</f>
        <v>单位面积地价：65052元/平方米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楼面地价：21130元/平方米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抵押价格：236347万元</v>
      </c>
      <c r="L29" s="1248"/>
      <c r="M29" s="1248"/>
      <c r="N29" s="1248"/>
      <c r="O29" s="1247"/>
      <c r="P29" s="2013"/>
      <c r="V29" s="2013"/>
    </row>
    <row r="30" spans="1:26" ht="18.75" thickBot="1">
      <c r="A30" s="3081" t="s">
        <v>336</v>
      </c>
      <c r="B30" s="309"/>
      <c r="C30" s="309"/>
      <c r="D30" s="310"/>
      <c r="E30" s="3082" t="s">
        <v>2966</v>
      </c>
      <c r="F30" s="311"/>
      <c r="G30" s="311"/>
      <c r="H30" s="311"/>
      <c r="I30" s="311"/>
      <c r="J30" s="2013"/>
      <c r="K30" s="1254" t="str">
        <f ca="1">IF(K29="——","——","大写金额：人民币"&amp;NUMBERSTRING(INT(O39*10000),2)&amp;"元整")</f>
        <v>大写金额：人民币贰拾叁亿陆仟叁佰肆拾柒万元整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236347</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21130</v>
      </c>
      <c r="D33" s="1381" t="s">
        <v>1691</v>
      </c>
      <c r="E33" s="3310"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65052</v>
      </c>
      <c r="D34" s="1383" t="s">
        <v>1691</v>
      </c>
      <c r="E34" s="3311"/>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4337</v>
      </c>
      <c r="D35" s="1386" t="s">
        <v>1693</v>
      </c>
      <c r="E35" s="3312"/>
      <c r="F35" s="301" t="s">
        <v>342</v>
      </c>
      <c r="G35" s="982"/>
      <c r="H35" s="981" t="s">
        <v>343</v>
      </c>
      <c r="I35" s="311"/>
      <c r="J35" s="2013"/>
      <c r="K35" s="3316" t="s">
        <v>350</v>
      </c>
      <c r="L35" s="3316" t="s">
        <v>351</v>
      </c>
      <c r="M35" s="1260" t="s">
        <v>352</v>
      </c>
      <c r="N35" s="3316" t="s">
        <v>353</v>
      </c>
      <c r="O35" s="3316" t="s">
        <v>354</v>
      </c>
      <c r="P35" s="2013"/>
      <c r="V35" s="2013"/>
    </row>
    <row r="36" spans="1:26" ht="16.5" customHeight="1">
      <c r="A36" s="303" t="s">
        <v>344</v>
      </c>
      <c r="B36" s="304" t="s">
        <v>333</v>
      </c>
      <c r="C36" s="305" t="s">
        <v>345</v>
      </c>
      <c r="D36" s="305" t="s">
        <v>346</v>
      </c>
      <c r="E36" s="306" t="s">
        <v>347</v>
      </c>
      <c r="F36" s="311"/>
      <c r="G36" s="311"/>
      <c r="H36" s="311"/>
      <c r="I36" s="311"/>
      <c r="J36" s="2015"/>
      <c r="K36" s="3317"/>
      <c r="L36" s="3317"/>
      <c r="M36" s="1262" t="s">
        <v>355</v>
      </c>
      <c r="N36" s="3317"/>
      <c r="O36" s="3317"/>
      <c r="P36" s="2013"/>
      <c r="V36" s="2013"/>
    </row>
    <row r="37" spans="1:26" ht="16.5" customHeight="1" thickBot="1">
      <c r="A37" s="1256" t="s">
        <v>348</v>
      </c>
      <c r="B37" s="307"/>
      <c r="C37" s="294"/>
      <c r="D37" s="294"/>
      <c r="E37" s="295"/>
      <c r="F37" s="311"/>
      <c r="G37" s="311"/>
      <c r="H37" s="311"/>
      <c r="I37" s="311"/>
      <c r="J37" s="2015"/>
      <c r="K37" s="3318"/>
      <c r="L37" s="3318"/>
      <c r="M37" s="1263"/>
      <c r="N37" s="3318"/>
      <c r="O37" s="3318"/>
      <c r="P37" s="2013"/>
      <c r="V37" s="2013"/>
    </row>
    <row r="38" spans="1:26" ht="16.5" customHeight="1" thickBot="1">
      <c r="A38" s="1256" t="s">
        <v>349</v>
      </c>
      <c r="B38" s="307"/>
      <c r="C38" s="294"/>
      <c r="D38" s="294"/>
      <c r="E38" s="295"/>
      <c r="F38" s="311"/>
      <c r="G38" s="311"/>
      <c r="H38" s="311"/>
      <c r="I38" s="311"/>
      <c r="J38" s="2015"/>
      <c r="K38" s="1264">
        <f>'数据-汇总表'!D3</f>
        <v>36332.1</v>
      </c>
      <c r="L38" s="1265">
        <f>'数据-汇总表'!E3</f>
        <v>111854.36</v>
      </c>
      <c r="M38" s="1265">
        <f ca="1">C34</f>
        <v>65052</v>
      </c>
      <c r="N38" s="1265">
        <f ca="1">C33</f>
        <v>21130</v>
      </c>
      <c r="O38" s="1266">
        <f ca="1">C32</f>
        <v>236347</v>
      </c>
      <c r="P38" s="2013"/>
      <c r="V38" s="2013"/>
    </row>
    <row r="39" spans="1:26" ht="16.5" customHeight="1" thickBot="1">
      <c r="A39" s="1261"/>
      <c r="B39" s="308"/>
      <c r="C39" s="309"/>
      <c r="D39" s="309"/>
      <c r="E39" s="310"/>
      <c r="F39" s="311"/>
      <c r="G39" s="311"/>
      <c r="H39" s="311"/>
      <c r="I39" s="311"/>
      <c r="J39" s="2015"/>
      <c r="K39" s="3293" t="str">
        <f>MID(A44,3,LEN(A44)-2)</f>
        <v>抵押价格</v>
      </c>
      <c r="L39" s="3294"/>
      <c r="M39" s="3294"/>
      <c r="N39" s="3295"/>
      <c r="O39" s="1388">
        <f ca="1">C44</f>
        <v>236347</v>
      </c>
      <c r="P39" s="2013"/>
      <c r="V39" s="2013"/>
    </row>
    <row r="40" spans="1:26" ht="19.5" thickBot="1">
      <c r="A40" s="104" t="s">
        <v>873</v>
      </c>
      <c r="B40" s="311"/>
      <c r="C40" s="311"/>
      <c r="D40" s="311"/>
      <c r="E40" s="311"/>
      <c r="F40" s="311"/>
      <c r="G40" s="311"/>
      <c r="H40" s="311"/>
      <c r="I40" s="311"/>
      <c r="J40" s="2015"/>
      <c r="K40" s="3293" t="str">
        <f t="shared" ref="K40:K41" si="0">MID(A45,3,LEN(A45)-2)</f>
        <v/>
      </c>
      <c r="L40" s="3294"/>
      <c r="M40" s="3294"/>
      <c r="N40" s="3295"/>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3" t="str">
        <f t="shared" si="0"/>
        <v/>
      </c>
      <c r="L41" s="3294"/>
      <c r="M41" s="3294"/>
      <c r="N41" s="3295"/>
      <c r="O41" s="1388" t="str">
        <f>C46</f>
        <v>——</v>
      </c>
      <c r="P41" s="2013"/>
      <c r="V41" s="2013"/>
    </row>
    <row r="42" spans="1:26" ht="29.25">
      <c r="A42" s="3353" t="s">
        <v>2065</v>
      </c>
      <c r="B42" s="3354"/>
      <c r="C42" s="264">
        <f ca="1">C32</f>
        <v>236347</v>
      </c>
      <c r="D42" s="317">
        <f ca="1">C33</f>
        <v>21130</v>
      </c>
      <c r="E42" s="317">
        <f ca="1">C34</f>
        <v>65052</v>
      </c>
      <c r="F42" s="318">
        <f ca="1">C35</f>
        <v>4337</v>
      </c>
      <c r="G42" s="311"/>
      <c r="H42" s="311"/>
      <c r="I42" s="319"/>
      <c r="J42" s="2015"/>
      <c r="K42" s="1267" t="s">
        <v>361</v>
      </c>
      <c r="L42" s="2032" t="s">
        <v>362</v>
      </c>
      <c r="M42" s="1268" t="s">
        <v>363</v>
      </c>
      <c r="N42" s="2033" t="s">
        <v>364</v>
      </c>
      <c r="O42" s="2034" t="s">
        <v>365</v>
      </c>
      <c r="P42" s="2013"/>
      <c r="V42" s="2013"/>
    </row>
    <row r="43" spans="1:26" ht="30">
      <c r="A43" s="3363" t="s">
        <v>2727</v>
      </c>
      <c r="B43" s="3364"/>
      <c r="C43" s="264">
        <f>IF(H33="正常操作",G33+G34+G35,G34+G35)</f>
        <v>0</v>
      </c>
      <c r="D43" s="317" t="s">
        <v>43</v>
      </c>
      <c r="E43" s="317" t="s">
        <v>44</v>
      </c>
      <c r="F43" s="318" t="s">
        <v>44</v>
      </c>
      <c r="G43" s="2821" t="s">
        <v>952</v>
      </c>
      <c r="H43" s="311"/>
      <c r="I43" s="319"/>
      <c r="J43" s="2015"/>
      <c r="K43" s="1269" t="str">
        <f>C4</f>
        <v>比较法-住宅、综合-高案例</v>
      </c>
      <c r="L43" s="1270">
        <f ca="1">IF(L42="估价结果/万元",C19,C20)</f>
        <v>226922</v>
      </c>
      <c r="M43" s="1271">
        <f>C18</f>
        <v>0.5</v>
      </c>
      <c r="N43" s="1272">
        <f ca="1">IF(N42="测算结果/万元",G19,G20)</f>
        <v>236347</v>
      </c>
      <c r="O43" s="1273">
        <f ca="1">IF(O42="最终结果/万元",C32,C33)</f>
        <v>236347</v>
      </c>
      <c r="P43" s="2013"/>
      <c r="V43" s="2013"/>
    </row>
    <row r="44" spans="1:26" ht="30.75" thickBot="1">
      <c r="A44" s="3353" t="str">
        <f>IF(OR(项目基本情况!E8="抵押价格",项目基本情况!E8="已注销及未注销"),"3.抵押价格","——")</f>
        <v>3.抵押价格</v>
      </c>
      <c r="B44" s="3354"/>
      <c r="C44" s="264">
        <f ca="1">IF(A44="——","——",C42-C43)</f>
        <v>236347</v>
      </c>
      <c r="D44" s="317">
        <f ca="1">ROUND(C44*10000/'数据-汇总表'!E3,0)</f>
        <v>21130</v>
      </c>
      <c r="E44" s="317">
        <f ca="1">ROUND(C44*10000/'数据-汇总表'!D3,0)</f>
        <v>65052</v>
      </c>
      <c r="F44" s="318">
        <f ca="1">ROUND(C44/('数据-汇总表'!D3/666.67),0)</f>
        <v>4337</v>
      </c>
      <c r="G44" s="311"/>
      <c r="H44" s="311"/>
      <c r="I44" s="319"/>
      <c r="J44" s="2015"/>
      <c r="K44" s="1274" t="str">
        <f>D4</f>
        <v>剩余法-待开发</v>
      </c>
      <c r="L44" s="1275">
        <f ca="1">IF(L42="估价结果/万元",D19,D20)</f>
        <v>245771</v>
      </c>
      <c r="M44" s="1276">
        <f>D18</f>
        <v>0.5</v>
      </c>
      <c r="N44" s="1277"/>
      <c r="O44" s="1278"/>
      <c r="P44" s="2013"/>
      <c r="V44" s="2013"/>
    </row>
    <row r="45" spans="1:26" ht="15">
      <c r="A45" s="3358" t="str">
        <f>IF(项目基本情况!E8="已注销及未注销","4.抵押担保权已注销时的抵押价格",IF(项目基本情况!E8="已注销","3.抵押担保权已注销时的抵押价格","——"))</f>
        <v>——</v>
      </c>
      <c r="B45" s="3359"/>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5" t="str">
        <f>IF(项目基本情况!E9="抵押净值",IF(A45="——","4.抵押净值","5.抵押净值"),"——")</f>
        <v>——</v>
      </c>
      <c r="B46" s="335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1" t="s">
        <v>374</v>
      </c>
      <c r="B63" s="3322"/>
      <c r="C63" s="3323"/>
      <c r="D63" s="341">
        <f ca="1">ROUND(C42*F63,0)</f>
        <v>141808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0" t="s">
        <v>378</v>
      </c>
      <c r="B64" s="3361"/>
      <c r="C64" s="3361"/>
      <c r="D64" s="3361"/>
      <c r="E64" s="3361"/>
      <c r="F64" s="3361"/>
      <c r="G64" s="3362"/>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57" t="s">
        <v>386</v>
      </c>
      <c r="B66" s="3328"/>
      <c r="C66" s="3328"/>
      <c r="D66" s="261">
        <f ca="1">IF(H66="情况1",0,IF(H66="情况2",D70,IF(H66="情况3",D71,IF(H66="情况4",D72))))</f>
        <v>7631</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297" t="s">
        <v>385</v>
      </c>
      <c r="M66" s="3298"/>
      <c r="N66" s="2422"/>
      <c r="O66" s="2423"/>
      <c r="P66" s="2424"/>
      <c r="Q66" s="2013"/>
      <c r="R66" s="2013"/>
      <c r="S66" s="2013"/>
      <c r="T66" s="2013"/>
      <c r="U66" s="2013"/>
      <c r="V66" s="2013"/>
    </row>
    <row r="67" spans="1:22" ht="25.5" customHeight="1">
      <c r="A67" s="352" t="s">
        <v>390</v>
      </c>
      <c r="B67" s="3340" t="s">
        <v>391</v>
      </c>
      <c r="C67" s="3340"/>
      <c r="D67" s="353">
        <v>0</v>
      </c>
      <c r="E67" s="41" t="s">
        <v>392</v>
      </c>
      <c r="F67" s="62" t="s">
        <v>21</v>
      </c>
      <c r="G67" s="3324"/>
      <c r="H67" s="311"/>
      <c r="I67" s="1288"/>
      <c r="J67" s="2020"/>
      <c r="K67" s="1961">
        <v>2</v>
      </c>
      <c r="L67" s="3296" t="s">
        <v>389</v>
      </c>
      <c r="M67" s="3296"/>
      <c r="N67" s="1321">
        <f>'数据-取费表'!B2</f>
        <v>43909</v>
      </c>
      <c r="O67" s="1321"/>
      <c r="P67" s="1321"/>
      <c r="Q67" s="2013"/>
      <c r="R67" s="2013"/>
      <c r="S67" s="2013"/>
      <c r="T67" s="2013"/>
      <c r="U67" s="2013"/>
      <c r="V67" s="2013"/>
    </row>
    <row r="68" spans="1:22" ht="25.5" customHeight="1">
      <c r="A68" s="354"/>
      <c r="B68" s="3340" t="s">
        <v>394</v>
      </c>
      <c r="C68" s="3340"/>
      <c r="D68" s="355"/>
      <c r="E68" s="77"/>
      <c r="F68" s="356"/>
      <c r="G68" s="3325"/>
      <c r="H68" s="311"/>
      <c r="I68" s="1288"/>
      <c r="J68" s="2020"/>
      <c r="K68" s="1961">
        <v>3</v>
      </c>
      <c r="L68" s="3296" t="s">
        <v>393</v>
      </c>
      <c r="M68" s="3296"/>
      <c r="N68" s="1289">
        <f ca="1">C42</f>
        <v>236347</v>
      </c>
      <c r="O68" s="1289"/>
      <c r="P68" s="1289"/>
      <c r="Q68" s="2013"/>
      <c r="R68" s="2013"/>
      <c r="S68" s="2013"/>
      <c r="T68" s="2013"/>
      <c r="U68" s="2013"/>
      <c r="V68" s="2013"/>
    </row>
    <row r="69" spans="1:22" ht="12" customHeight="1">
      <c r="A69" s="357"/>
      <c r="B69" s="3340" t="s">
        <v>395</v>
      </c>
      <c r="C69" s="3340"/>
      <c r="D69" s="358"/>
      <c r="E69" s="73"/>
      <c r="F69" s="356"/>
      <c r="G69" s="3326"/>
      <c r="H69" s="311"/>
      <c r="I69" s="1288"/>
      <c r="J69" s="2020"/>
      <c r="K69" s="1290">
        <v>4</v>
      </c>
      <c r="L69" s="3302" t="s">
        <v>2880</v>
      </c>
      <c r="M69" s="3303"/>
      <c r="N69" s="1291">
        <f ca="1">C44</f>
        <v>236347</v>
      </c>
      <c r="O69" s="1291"/>
      <c r="P69" s="1291"/>
      <c r="Q69" s="2013"/>
      <c r="R69" s="2013"/>
      <c r="S69" s="2013"/>
      <c r="T69" s="2013"/>
      <c r="U69" s="2013"/>
      <c r="V69" s="2013"/>
    </row>
    <row r="70" spans="1:22" ht="24" customHeight="1">
      <c r="A70" s="359" t="s">
        <v>396</v>
      </c>
      <c r="B70" s="3340" t="s">
        <v>397</v>
      </c>
      <c r="C70" s="3340"/>
      <c r="D70" s="358">
        <f ca="1">ROUND(D63*'数据-取费表'!B41/(1+'数据-取费表'!C42),0)</f>
        <v>7631</v>
      </c>
      <c r="E70" s="17" t="s">
        <v>398</v>
      </c>
      <c r="F70" s="360">
        <f>'数据-取费表'!B41</f>
        <v>5.6500000000000002E-2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339" t="s">
        <v>405</v>
      </c>
      <c r="C71" s="3351"/>
      <c r="D71" s="358">
        <f ca="1">ROUND(D63*'数据-取费表'!B41/(1+'数据-取费表'!C42),0)</f>
        <v>7631</v>
      </c>
      <c r="E71" s="17" t="s">
        <v>398</v>
      </c>
      <c r="F71" s="360">
        <f>'数据-取费表'!B41</f>
        <v>5.6500000000000002E-2</v>
      </c>
      <c r="G71" s="361"/>
      <c r="H71" s="311"/>
      <c r="I71" s="1288"/>
      <c r="J71" s="2020"/>
      <c r="K71" s="3012" t="s">
        <v>399</v>
      </c>
      <c r="L71" s="3304" t="s">
        <v>400</v>
      </c>
      <c r="M71" s="3304"/>
      <c r="N71" s="3012" t="s">
        <v>401</v>
      </c>
      <c r="O71" s="3012" t="s">
        <v>402</v>
      </c>
      <c r="P71" s="3012" t="s">
        <v>403</v>
      </c>
      <c r="Q71" s="2013"/>
      <c r="R71" s="2013"/>
      <c r="S71" s="2013"/>
      <c r="T71" s="2013"/>
      <c r="U71" s="2013"/>
      <c r="V71" s="2013"/>
    </row>
    <row r="72" spans="1:22" ht="12" customHeight="1">
      <c r="A72" s="359" t="s">
        <v>407</v>
      </c>
      <c r="B72" s="3339" t="s">
        <v>408</v>
      </c>
      <c r="C72" s="3351"/>
      <c r="D72" s="358">
        <f ca="1">C86</f>
        <v>7518</v>
      </c>
      <c r="E72" s="73" t="s">
        <v>409</v>
      </c>
      <c r="F72" s="360">
        <f>'数据-取费表'!B41</f>
        <v>5.6500000000000002E-2</v>
      </c>
      <c r="G72" s="361"/>
      <c r="H72" s="1294"/>
      <c r="I72" s="1288"/>
      <c r="J72" s="2020"/>
      <c r="K72" s="1961">
        <v>1</v>
      </c>
      <c r="L72" s="3301" t="s">
        <v>406</v>
      </c>
      <c r="M72" s="3301"/>
      <c r="N72" s="1292">
        <f ca="1">D66</f>
        <v>7631</v>
      </c>
      <c r="O72" s="1844" t="str">
        <f>E66</f>
        <v>销售额×税（费）率</v>
      </c>
      <c r="P72" s="1293">
        <f>F66</f>
        <v>5.6500000000000002E-2</v>
      </c>
      <c r="Q72" s="2013"/>
      <c r="R72" s="2013"/>
      <c r="S72" s="2013"/>
      <c r="T72" s="2013"/>
      <c r="U72" s="2013"/>
      <c r="V72" s="2013"/>
    </row>
    <row r="73" spans="1:22" ht="24" customHeight="1">
      <c r="A73" s="3327" t="s">
        <v>411</v>
      </c>
      <c r="B73" s="3328"/>
      <c r="C73" s="3328"/>
      <c r="D73" s="362">
        <f>IF(H73="个人住宅",0,ROUND(D63*I73,0))</f>
        <v>0</v>
      </c>
      <c r="E73" s="17" t="s">
        <v>412</v>
      </c>
      <c r="F73" s="360" t="str">
        <f>IF(H73="正常",I73,"免征")</f>
        <v>免征</v>
      </c>
      <c r="G73" s="361"/>
      <c r="H73" s="191" t="s">
        <v>2453</v>
      </c>
      <c r="I73" s="360">
        <f>'数据-取费表'!B49</f>
        <v>5.0000000000000001E-4</v>
      </c>
      <c r="J73" s="2020"/>
      <c r="K73" s="1961">
        <v>2</v>
      </c>
      <c r="L73" s="3301" t="s">
        <v>410</v>
      </c>
      <c r="M73" s="3301"/>
      <c r="N73" s="1292">
        <f t="shared" ref="N73:P74" si="1">D73</f>
        <v>0</v>
      </c>
      <c r="O73" s="1844" t="str">
        <f t="shared" si="1"/>
        <v>销售额×税（费）率</v>
      </c>
      <c r="P73" s="1293" t="str">
        <f t="shared" si="1"/>
        <v>免征</v>
      </c>
      <c r="Q73" s="2013"/>
      <c r="R73" s="2013"/>
      <c r="S73" s="2013"/>
      <c r="T73" s="2013"/>
      <c r="U73" s="2013"/>
      <c r="V73" s="2013"/>
    </row>
    <row r="74" spans="1:22" ht="24.75">
      <c r="A74" s="3327" t="s">
        <v>415</v>
      </c>
      <c r="B74" s="3328"/>
      <c r="C74" s="3328"/>
      <c r="D74" s="362">
        <f ca="1">IF(H74="个人住宅",D75,D76)</f>
        <v>79543</v>
      </c>
      <c r="E74" s="17" t="s">
        <v>416</v>
      </c>
      <c r="F74" s="360" t="str">
        <f>IF(H74="正常",F76,"免征")</f>
        <v>——</v>
      </c>
      <c r="G74" s="983" t="s">
        <v>417</v>
      </c>
      <c r="H74" s="363" t="s">
        <v>413</v>
      </c>
      <c r="I74" s="42"/>
      <c r="J74" s="2020"/>
      <c r="K74" s="1961">
        <v>3</v>
      </c>
      <c r="L74" s="3301" t="s">
        <v>414</v>
      </c>
      <c r="M74" s="3301"/>
      <c r="N74" s="1292">
        <f t="shared" ca="1" si="1"/>
        <v>79543</v>
      </c>
      <c r="O74" s="1844" t="str">
        <f t="shared" si="1"/>
        <v>增值额×税（费）率</v>
      </c>
      <c r="P74" s="1295" t="str">
        <f t="shared" si="1"/>
        <v>——</v>
      </c>
      <c r="Q74" s="2013"/>
      <c r="R74" s="2013"/>
      <c r="S74" s="2013"/>
      <c r="T74" s="2013"/>
      <c r="U74" s="2013"/>
      <c r="V74" s="2013"/>
    </row>
    <row r="75" spans="1:22" ht="24">
      <c r="A75" s="359" t="s">
        <v>418</v>
      </c>
      <c r="B75" s="3308" t="s">
        <v>419</v>
      </c>
      <c r="C75" s="3309"/>
      <c r="D75" s="364">
        <v>0</v>
      </c>
      <c r="E75" s="41" t="s">
        <v>420</v>
      </c>
      <c r="F75" s="365"/>
      <c r="G75" s="361"/>
      <c r="H75" s="42"/>
      <c r="I75" s="42"/>
      <c r="J75" s="2020"/>
      <c r="K75" s="3005">
        <f>IF(H77="非个人房产","",4)</f>
        <v>4</v>
      </c>
      <c r="L75" s="3301" t="str">
        <f>IF(H77="非个人房产","——","个人所得税")</f>
        <v>个人所得税</v>
      </c>
      <c r="M75" s="3301"/>
      <c r="N75" s="1296">
        <f ca="1">D77</f>
        <v>1418</v>
      </c>
      <c r="O75" s="1857" t="str">
        <f>E77</f>
        <v>销售额×税（费）率</v>
      </c>
      <c r="P75" s="1297">
        <f>F77</f>
        <v>0.01</v>
      </c>
      <c r="Q75" s="2013"/>
      <c r="R75" s="2013"/>
      <c r="S75" s="2013"/>
      <c r="T75" s="2013"/>
      <c r="U75" s="2013"/>
      <c r="V75" s="2013"/>
    </row>
    <row r="76" spans="1:22" ht="24.75">
      <c r="A76" s="359" t="s">
        <v>396</v>
      </c>
      <c r="B76" s="3308" t="s">
        <v>422</v>
      </c>
      <c r="C76" s="3350"/>
      <c r="D76" s="362">
        <f ca="1">IF(H76="转让取得",C99,C115)</f>
        <v>79543</v>
      </c>
      <c r="E76" s="17" t="s">
        <v>423</v>
      </c>
      <c r="F76" s="53" t="s">
        <v>21</v>
      </c>
      <c r="G76" s="361"/>
      <c r="H76" s="363" t="s">
        <v>424</v>
      </c>
      <c r="I76" s="42"/>
      <c r="J76" s="2020"/>
      <c r="K76" s="3005" t="str">
        <f>IF(项目基本情况!K6="上海银行",IF(K75="",4,K75+1),"")</f>
        <v/>
      </c>
      <c r="L76" s="3289" t="str">
        <f>IF(项目基本情况!K6="上海银行","其他处置费用","")</f>
        <v/>
      </c>
      <c r="M76" s="3290"/>
      <c r="N76" s="1292" t="str">
        <f>IF(项目基本情况!K6="上海银行",N89,"")</f>
        <v/>
      </c>
      <c r="O76" s="3291" t="str">
        <f>IF(项目基本情况!K6="上海银行","包含处置中涉及的律师、诉讼、拍卖、评估等费用","")</f>
        <v/>
      </c>
      <c r="P76" s="3292"/>
      <c r="Q76" s="2013"/>
      <c r="R76" s="2013"/>
      <c r="S76" s="2013"/>
      <c r="T76" s="2013"/>
      <c r="U76" s="2013"/>
      <c r="V76" s="2013"/>
    </row>
    <row r="77" spans="1:22" ht="26.25" thickBot="1">
      <c r="A77" s="3319" t="s">
        <v>426</v>
      </c>
      <c r="B77" s="3320"/>
      <c r="C77" s="3320"/>
      <c r="D77" s="366">
        <f ca="1">IF(H77="非个人房产","——",IF(H77="个人住宅",0,ROUND(D63*I77,0)))</f>
        <v>1418</v>
      </c>
      <c r="E77" s="367" t="str">
        <f>IF(H77="非个人房产","——","销售额×税（费）率")</f>
        <v>销售额×税（费）率</v>
      </c>
      <c r="F77" s="368">
        <f>IF(H77="非个人房产","——",IF(H77="个人住宅","免征",I77))</f>
        <v>0.01</v>
      </c>
      <c r="G77" s="984" t="s">
        <v>417</v>
      </c>
      <c r="H77" s="363" t="s">
        <v>2881</v>
      </c>
      <c r="I77" s="369">
        <v>0.01</v>
      </c>
      <c r="J77" s="2020"/>
      <c r="K77" s="3315">
        <f>IF(AND(K75="",K76=""),4,IF(项目基本情况!K6="上海银行",K76+1,K75+1))</f>
        <v>5</v>
      </c>
      <c r="L77" s="3301" t="s">
        <v>2882</v>
      </c>
      <c r="M77" s="3011" t="s">
        <v>421</v>
      </c>
      <c r="N77" s="1298"/>
      <c r="O77" s="1299">
        <f ca="1">SUMIF(N72:N76,"&lt;9e307")</f>
        <v>88592</v>
      </c>
      <c r="P77" s="1300"/>
      <c r="Q77" s="3009">
        <f ca="1">O77/N69</f>
        <v>0.37483869056937469</v>
      </c>
      <c r="R77" s="2013"/>
      <c r="S77" s="2013"/>
      <c r="T77" s="2013"/>
      <c r="U77" s="2013"/>
      <c r="V77" s="2013"/>
    </row>
    <row r="78" spans="1:22" ht="12" customHeight="1">
      <c r="A78" s="1301"/>
      <c r="B78" s="311"/>
      <c r="C78" s="311"/>
      <c r="D78" s="311"/>
      <c r="E78" s="42"/>
      <c r="F78" s="42"/>
      <c r="G78" s="42"/>
      <c r="H78" s="1003"/>
      <c r="I78" s="311"/>
      <c r="J78" s="2020"/>
      <c r="K78" s="3315"/>
      <c r="L78" s="3301"/>
      <c r="M78" s="3011" t="s">
        <v>425</v>
      </c>
      <c r="N78" s="1298"/>
      <c r="O78" s="1299" t="str">
        <f ca="1">NUMBERSTRING(INT(O77*10000),2)&amp;"元整"</f>
        <v>捌亿捌仟伍佰玖拾贰万元整</v>
      </c>
      <c r="P78" s="1300"/>
      <c r="Q78" s="2013"/>
      <c r="R78" s="2013"/>
      <c r="S78" s="2013"/>
      <c r="T78" s="2013"/>
      <c r="U78" s="2013"/>
      <c r="V78" s="2013"/>
    </row>
    <row r="79" spans="1:22" ht="13.5" thickBot="1">
      <c r="A79" s="3305" t="s">
        <v>427</v>
      </c>
      <c r="B79" s="3305"/>
      <c r="C79" s="3305"/>
      <c r="D79" s="3305"/>
      <c r="E79" s="3305"/>
      <c r="F79" s="42"/>
      <c r="G79" s="42"/>
      <c r="H79" s="1003"/>
      <c r="I79" s="311"/>
      <c r="J79" s="2020"/>
      <c r="K79" s="3299">
        <f>K77+1</f>
        <v>6</v>
      </c>
      <c r="L79" s="3301" t="s">
        <v>2883</v>
      </c>
      <c r="M79" s="3011" t="s">
        <v>421</v>
      </c>
      <c r="N79" s="1298"/>
      <c r="O79" s="1299">
        <f ca="1">N69-O77</f>
        <v>147755</v>
      </c>
      <c r="P79" s="1300"/>
      <c r="Q79" s="2013"/>
      <c r="R79" s="2013"/>
      <c r="S79" s="2013"/>
      <c r="T79" s="2013"/>
      <c r="U79" s="2013"/>
      <c r="V79" s="2013"/>
    </row>
    <row r="80" spans="1:22" ht="25.5">
      <c r="A80" s="3306" t="s">
        <v>428</v>
      </c>
      <c r="B80" s="3307"/>
      <c r="C80" s="994"/>
      <c r="D80" s="994" t="s">
        <v>429</v>
      </c>
      <c r="E80" s="370" t="s">
        <v>430</v>
      </c>
      <c r="F80" s="42"/>
      <c r="G80" s="42"/>
      <c r="H80" s="1003"/>
      <c r="I80" s="311"/>
      <c r="J80" s="2013"/>
      <c r="K80" s="3300"/>
      <c r="L80" s="3301"/>
      <c r="M80" s="3011" t="s">
        <v>425</v>
      </c>
      <c r="N80" s="1298"/>
      <c r="O80" s="1299" t="str">
        <f ca="1">NUMBERSTRING(INT(O79*10000),2)&amp;"元整"</f>
        <v>壹拾肆亿柒仟柒佰伍拾伍万元整</v>
      </c>
      <c r="P80" s="1300"/>
      <c r="Q80" s="2013"/>
      <c r="R80" s="2013"/>
      <c r="S80" s="2013"/>
      <c r="T80" s="2013"/>
      <c r="U80" s="2013"/>
      <c r="V80" s="2013"/>
    </row>
    <row r="81" spans="1:26" ht="13.5" thickBot="1">
      <c r="A81" s="381" t="s">
        <v>1823</v>
      </c>
      <c r="B81" s="371" t="s">
        <v>431</v>
      </c>
      <c r="C81" s="372">
        <f ca="1">ROUND((C82+C83)/(1+'数据-取费表'!C42),0)</f>
        <v>135055</v>
      </c>
      <c r="D81" s="373"/>
      <c r="E81" s="374"/>
      <c r="F81" s="42"/>
      <c r="G81" s="42"/>
      <c r="H81" s="1003"/>
      <c r="I81" s="311"/>
      <c r="J81" s="2013"/>
      <c r="K81" s="3005">
        <f>K79+1</f>
        <v>7</v>
      </c>
      <c r="L81" s="3313" t="s">
        <v>2884</v>
      </c>
      <c r="M81" s="3314"/>
      <c r="N81" s="1302"/>
      <c r="O81" s="1303">
        <f ca="1">ROUND(O79*10000/'数据-汇总表'!E3,0)</f>
        <v>13210</v>
      </c>
      <c r="P81" s="1304"/>
      <c r="Q81" s="2013"/>
      <c r="R81" s="2013"/>
      <c r="S81" s="2013"/>
      <c r="T81" s="2013"/>
      <c r="U81" s="2013"/>
      <c r="V81" s="2013"/>
    </row>
    <row r="82" spans="1:26" ht="13.5" thickTop="1">
      <c r="A82" s="375" t="s">
        <v>1824</v>
      </c>
      <c r="B82" s="376" t="s">
        <v>432</v>
      </c>
      <c r="C82" s="377">
        <f ca="1">D63</f>
        <v>141808</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88" t="s">
        <v>2871</v>
      </c>
      <c r="L83" s="3017" t="s">
        <v>2872</v>
      </c>
      <c r="M83" s="3007">
        <f ca="1">IF(N69&gt;10000,N69*0.5%,IF(AND(N69&gt;1000,N69&lt;=10000),N69*1%,IF(AND(N69&gt;100,N69&lt;=1000),N69*3%,IF(AND(N69&gt;10,N69&lt;=100),N69*5%,N69*8%))))</f>
        <v>1181.7350000000001</v>
      </c>
      <c r="N83" s="53">
        <f ca="1">ROUND(M83,1)</f>
        <v>1181.7</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3"/>
      <c r="I84" s="311"/>
      <c r="J84" s="2013"/>
      <c r="K84" s="3288"/>
      <c r="L84" s="3017" t="s">
        <v>2873</v>
      </c>
      <c r="M84" s="3007">
        <f ca="1">IF(N69&gt;2000,N69*0.5%,IF(AND(N69&gt;1000,N69&lt;=2000),N69*0.6%,IF(AND(N69&gt;500,N69&lt;=1000),N69*0.7%,IF(AND(N69&gt;200,N69&lt;=500),N69*0.8%,IF(AND(N69&gt;100,N69&lt;=200),N69*0.9%,IF(AND(N69&gt;50,N69&lt;=100),N69*1%,IF(AND(N69&gt;20,N69&lt;=50),N69*1.5%,IF(AND(N69&gt;10,N69&lt;=20),N69*2%,IF(AND(N69&gt;1,N69&lt;=10),N69*2.5%)))))))))</f>
        <v>1181.7350000000001</v>
      </c>
      <c r="N84" s="53">
        <f t="shared" ref="N84:N85" ca="1" si="2">ROUND(M84,1)</f>
        <v>1181.7</v>
      </c>
      <c r="O84" s="2013" t="s">
        <v>2874</v>
      </c>
      <c r="P84" s="2013"/>
      <c r="Q84" s="2013"/>
      <c r="R84" s="2013"/>
      <c r="S84" s="2013"/>
      <c r="T84" s="2013"/>
      <c r="U84" s="2013"/>
      <c r="V84" s="2013"/>
    </row>
    <row r="85" spans="1:26" ht="12.75">
      <c r="A85" s="381" t="s">
        <v>1827</v>
      </c>
      <c r="B85" s="382" t="s">
        <v>435</v>
      </c>
      <c r="C85" s="385">
        <f ca="1">C81-C84</f>
        <v>133055</v>
      </c>
      <c r="D85" s="378" t="s">
        <v>19</v>
      </c>
      <c r="E85" s="379"/>
      <c r="F85" s="42"/>
      <c r="G85" s="42"/>
      <c r="H85" s="1003"/>
      <c r="I85" s="311"/>
      <c r="J85" s="2013"/>
      <c r="K85" s="3288"/>
      <c r="L85" s="3017" t="s">
        <v>2875</v>
      </c>
      <c r="M85" s="3007">
        <f ca="1">IF(N69&gt;1000,N69*0.1%,IF(AND(N69&gt;500,N69&lt;=1000),N69*0.5%,IF(AND(N69&gt;50,N69&lt;=500),N69*1%,IF(AND(N69&gt;1,N69&lt;=50),N69*1.5%))))</f>
        <v>236.34700000000001</v>
      </c>
      <c r="N85" s="53">
        <f t="shared" ca="1" si="2"/>
        <v>236.3</v>
      </c>
      <c r="O85" s="2013" t="s">
        <v>2874</v>
      </c>
      <c r="P85" s="2013"/>
      <c r="Q85" s="2013"/>
      <c r="R85" s="2013"/>
      <c r="S85" s="2013"/>
      <c r="T85" s="2013"/>
      <c r="U85" s="2013"/>
      <c r="V85" s="2013"/>
    </row>
    <row r="86" spans="1:26" ht="13.5" thickBot="1">
      <c r="A86" s="386" t="s">
        <v>1828</v>
      </c>
      <c r="B86" s="387" t="s">
        <v>436</v>
      </c>
      <c r="C86" s="388">
        <f ca="1">IF(C85&lt;=0,0,ROUND(C85*D86,0))</f>
        <v>7518</v>
      </c>
      <c r="D86" s="389">
        <f>'数据-取费表'!B41</f>
        <v>5.6500000000000002E-2</v>
      </c>
      <c r="E86" s="390"/>
      <c r="F86" s="42"/>
      <c r="G86" s="42"/>
      <c r="H86" s="1003"/>
      <c r="I86" s="311"/>
      <c r="J86" s="2013"/>
      <c r="K86" s="3288"/>
      <c r="L86" s="3017" t="s">
        <v>2876</v>
      </c>
      <c r="M86" s="3007">
        <f ca="1">N69*0.5%</f>
        <v>1181.7350000000001</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8"/>
      <c r="L87" s="3017" t="s">
        <v>2878</v>
      </c>
      <c r="M87" s="3007">
        <f ca="1">IF(N69&gt;=10000,(8.25+(N69-10000)*0.01%),IF(AND(N69&gt;=8000,N69&lt;10000),(7.85+(N69-8000)*0.02%),IF(AND(N69&gt;=5000,N69&lt;8000),(6.65+(N69-5000)*0.04%),IF(AND(N69&gt;=2000,N69&lt;5000),(4.25+(PN69-2000)*0.08%),IF(AND(N69&gt;=1000,N69&lt;2000),(2.75+(N69-1000)*0.15%),IF(AND(N69&gt;=100,N69&lt;1000),(0.5+(N69-100)*0.25%),IF(AND(N69&gt;0,N69&lt;100),N69*0.5%)))))))</f>
        <v>30.884700000000002</v>
      </c>
      <c r="N87" s="53">
        <f ca="1">ROUND(M87*0.9,1)</f>
        <v>27.8</v>
      </c>
      <c r="O87" s="3010"/>
      <c r="P87" s="311"/>
      <c r="Q87" s="2013"/>
      <c r="R87" s="2013"/>
      <c r="S87" s="2013"/>
      <c r="T87" s="2013"/>
      <c r="U87" s="2013"/>
      <c r="V87" s="2013"/>
      <c r="W87" s="292"/>
      <c r="X87" s="292"/>
      <c r="Y87" s="292"/>
      <c r="Z87" s="292"/>
    </row>
    <row r="88" spans="1:26" s="1310" customFormat="1" ht="15" thickBot="1">
      <c r="A88" s="3342" t="s">
        <v>437</v>
      </c>
      <c r="B88" s="3343"/>
      <c r="C88" s="3343"/>
      <c r="D88" s="3343"/>
      <c r="E88" s="3343"/>
      <c r="F88" s="3343"/>
      <c r="G88" s="3343"/>
      <c r="H88" s="3343"/>
      <c r="I88" s="1311"/>
      <c r="J88" s="2021"/>
      <c r="K88" s="3288"/>
      <c r="L88" s="3017" t="s">
        <v>2879</v>
      </c>
      <c r="M88" s="3007">
        <f ca="1">IF(N69&gt;10000,N69*0.5%,IF(AND(N69&gt;5000,N69&lt;=10000),N69*1%,IF(AND(N69&gt;1000,N69&lt;=5000),N69*2%,IF(AND(N69&gt;200,N69&lt;=1000),N69*3%,N69*5%))))</f>
        <v>1181.7350000000001</v>
      </c>
      <c r="N88" s="53">
        <f ca="1">ROUND(M88,1)</f>
        <v>1181.7</v>
      </c>
      <c r="O88" s="3010"/>
      <c r="P88" s="11"/>
      <c r="Q88" s="2018"/>
      <c r="R88" s="2018"/>
      <c r="S88" s="2018"/>
      <c r="T88" s="2018"/>
      <c r="U88" s="2018"/>
      <c r="V88" s="2018"/>
      <c r="W88" s="2022"/>
      <c r="X88" s="2022"/>
      <c r="Y88" s="2022"/>
      <c r="Z88" s="2022"/>
    </row>
    <row r="89" spans="1:26" s="1310" customFormat="1" ht="14.25">
      <c r="A89" s="3306" t="s">
        <v>428</v>
      </c>
      <c r="B89" s="3307"/>
      <c r="C89" s="994"/>
      <c r="D89" s="994" t="s">
        <v>429</v>
      </c>
      <c r="E89" s="391" t="s">
        <v>438</v>
      </c>
      <c r="F89" s="392"/>
      <c r="G89" s="392"/>
      <c r="H89" s="393"/>
      <c r="I89" s="1312"/>
      <c r="J89" s="2023"/>
      <c r="K89" s="3288"/>
      <c r="L89" s="3017" t="s">
        <v>27</v>
      </c>
      <c r="M89" s="3008"/>
      <c r="N89" s="53">
        <f ca="1">ROUND(SUM(N83:N88),0)</f>
        <v>3810</v>
      </c>
      <c r="O89" s="3018">
        <f ca="1">N89/N69</f>
        <v>1.6120365394948953E-2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135055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3439</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39" t="s">
        <v>447</v>
      </c>
      <c r="F94" s="3340"/>
      <c r="G94" s="3340"/>
      <c r="H94" s="334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878</v>
      </c>
      <c r="D96" s="406">
        <f>'数据-取费表'!B43</f>
        <v>6.5000000000000006E-3</v>
      </c>
      <c r="E96" s="3329" t="s">
        <v>2426</v>
      </c>
      <c r="F96" s="3330"/>
      <c r="G96" s="3330"/>
      <c r="H96" s="333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131616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38.271590578656586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77766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2" t="s">
        <v>454</v>
      </c>
      <c r="B101" s="3343"/>
      <c r="C101" s="3343"/>
      <c r="D101" s="3343"/>
      <c r="E101" s="3343"/>
      <c r="F101" s="3343"/>
      <c r="G101" s="3343"/>
      <c r="H101" s="3343"/>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6" t="s">
        <v>428</v>
      </c>
      <c r="B102" s="330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135055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1568</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32" t="s">
        <v>462</v>
      </c>
      <c r="F109" s="3330"/>
      <c r="G109" s="3330"/>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32" t="s">
        <v>464</v>
      </c>
      <c r="F110" s="3330"/>
      <c r="G110" s="3330"/>
      <c r="H110" s="333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878</v>
      </c>
      <c r="D111" s="406">
        <f>'数据-取费表'!B43</f>
        <v>6.5000000000000006E-3</v>
      </c>
      <c r="E111" s="3329" t="s">
        <v>2426</v>
      </c>
      <c r="F111" s="3330"/>
      <c r="G111" s="3330"/>
      <c r="H111" s="333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2" t="s">
        <v>2451</v>
      </c>
      <c r="F112" s="3330"/>
      <c r="G112" s="3330"/>
      <c r="H112" s="333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133487</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85.132015306122454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79543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27" sqref="L2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116727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10436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32128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2142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7" t="s">
        <v>522</v>
      </c>
      <c r="D6" s="3388"/>
      <c r="E6" s="3387" t="s">
        <v>523</v>
      </c>
      <c r="F6" s="3388"/>
      <c r="G6" s="3387" t="s">
        <v>524</v>
      </c>
      <c r="H6" s="3388"/>
      <c r="I6" s="3387" t="s">
        <v>525</v>
      </c>
      <c r="J6" s="3388"/>
      <c r="K6" s="514" t="s">
        <v>526</v>
      </c>
      <c r="L6" s="2118"/>
      <c r="M6" s="2117"/>
      <c r="N6" s="2117"/>
      <c r="O6" s="2119"/>
      <c r="P6" s="3389" t="s">
        <v>527</v>
      </c>
      <c r="Q6" s="3390"/>
      <c r="R6" s="3375" t="s">
        <v>523</v>
      </c>
      <c r="S6" s="3376"/>
      <c r="T6" s="3375" t="s">
        <v>524</v>
      </c>
      <c r="U6" s="3376"/>
      <c r="V6" s="3395" t="s">
        <v>525</v>
      </c>
      <c r="W6" s="3395"/>
      <c r="X6" s="1553"/>
      <c r="Y6" s="3375" t="s">
        <v>527</v>
      </c>
      <c r="Z6" s="3376"/>
      <c r="AA6" s="3370" t="s">
        <v>523</v>
      </c>
      <c r="AB6" s="3371" t="s">
        <v>524</v>
      </c>
      <c r="AC6" s="3370" t="s">
        <v>525</v>
      </c>
    </row>
    <row r="7" spans="1:30" ht="20.25">
      <c r="A7" s="515"/>
      <c r="B7" s="516"/>
      <c r="C7" s="3398" t="s">
        <v>2928</v>
      </c>
      <c r="D7" s="3399"/>
      <c r="E7" s="3398" t="str">
        <f>Sheet2!$A$2</f>
        <v>河东区晨阳道与靖江路交口</v>
      </c>
      <c r="F7" s="3399"/>
      <c r="G7" s="3398" t="str">
        <f>Sheet2!$A$3</f>
        <v>河北区金钟河大街与万柳村大街交口东北侧</v>
      </c>
      <c r="H7" s="3399"/>
      <c r="I7" s="3398" t="str">
        <f>Sheet2!$A$5</f>
        <v>红桥区红旗路与邵公庄大街交口东南侧</v>
      </c>
      <c r="J7" s="3399"/>
      <c r="K7" s="514"/>
      <c r="L7" s="2118"/>
      <c r="M7" s="2117"/>
      <c r="N7" s="2117"/>
      <c r="O7" s="2119"/>
      <c r="P7" s="3391"/>
      <c r="Q7" s="3392"/>
      <c r="R7" s="3377"/>
      <c r="S7" s="3378"/>
      <c r="T7" s="3377"/>
      <c r="U7" s="3378"/>
      <c r="V7" s="3395"/>
      <c r="W7" s="3395"/>
      <c r="X7" s="1553"/>
      <c r="Y7" s="3377"/>
      <c r="Z7" s="3378"/>
      <c r="AA7" s="3371"/>
      <c r="AB7" s="3371"/>
      <c r="AC7" s="3371"/>
    </row>
    <row r="8" spans="1:30" ht="21" thickBot="1">
      <c r="A8" s="515"/>
      <c r="B8" s="516"/>
      <c r="C8" s="3400" t="s">
        <v>2932</v>
      </c>
      <c r="D8" s="3401"/>
      <c r="E8" s="3400" t="s">
        <v>2932</v>
      </c>
      <c r="F8" s="3401"/>
      <c r="G8" s="3396" t="s">
        <v>2932</v>
      </c>
      <c r="H8" s="3397"/>
      <c r="I8" s="3396" t="s">
        <v>2932</v>
      </c>
      <c r="J8" s="3397"/>
      <c r="K8" s="514" t="s">
        <v>528</v>
      </c>
      <c r="L8" s="2118"/>
      <c r="M8" s="2117"/>
      <c r="N8" s="2117"/>
      <c r="O8" s="2119"/>
      <c r="P8" s="3393"/>
      <c r="Q8" s="3394"/>
      <c r="R8" s="3377"/>
      <c r="S8" s="3378"/>
      <c r="T8" s="3379"/>
      <c r="U8" s="3380"/>
      <c r="V8" s="3395"/>
      <c r="W8" s="3395"/>
      <c r="X8" s="1553"/>
      <c r="Y8" s="3379"/>
      <c r="Z8" s="3380"/>
      <c r="AA8" s="3372"/>
      <c r="AB8" s="3372"/>
      <c r="AC8" s="3372"/>
    </row>
    <row r="9" spans="1:30" s="1216" customFormat="1" ht="21" thickBot="1">
      <c r="A9" s="2867"/>
      <c r="B9" s="2874" t="s">
        <v>529</v>
      </c>
      <c r="C9" s="2866">
        <f>'数据-取费表'!B2</f>
        <v>43909</v>
      </c>
      <c r="D9" s="520">
        <v>100</v>
      </c>
      <c r="E9" s="521" t="str">
        <f>Sheet2!$H$2</f>
        <v>2020-03-05</v>
      </c>
      <c r="F9" s="522">
        <f>SUMIF(72:72,YEAR(E9)&amp;"-"&amp;INT((MONTH(E9)+2)/3),73:73)</f>
        <v>100</v>
      </c>
      <c r="G9" s="523" t="str">
        <f>Sheet2!H3</f>
        <v>2019-10-23</v>
      </c>
      <c r="H9" s="520">
        <f>SUMIF(72:72,YEAR(G9)&amp;"-"&amp;INT((MONTH(G9)+2)/3),73:73)</f>
        <v>99.5</v>
      </c>
      <c r="I9" s="523" t="str">
        <f>Sheet2!H5</f>
        <v>2019-05-15</v>
      </c>
      <c r="J9" s="520">
        <f>SUMIF(72:72,YEAR(I9)&amp;"-"&amp;INT((MONTH(I9)+2)/3),73:73)</f>
        <v>98.5</v>
      </c>
      <c r="K9" s="524"/>
      <c r="L9" s="2120"/>
      <c r="M9" s="2117"/>
      <c r="N9" s="2117"/>
      <c r="O9" s="2121"/>
      <c r="P9" s="3373" t="s">
        <v>530</v>
      </c>
      <c r="Q9" s="3382"/>
      <c r="R9" s="1554" t="s">
        <v>8</v>
      </c>
      <c r="S9" s="1555">
        <f t="shared" ref="S9:S17" si="0">F9</f>
        <v>100</v>
      </c>
      <c r="T9" s="1554" t="s">
        <v>8</v>
      </c>
      <c r="U9" s="1555">
        <f t="shared" ref="U9:U17" si="1">H9</f>
        <v>99.5</v>
      </c>
      <c r="V9" s="1554" t="s">
        <v>8</v>
      </c>
      <c r="W9" s="1555">
        <f t="shared" ref="W9:W17" si="2">J9</f>
        <v>98.5</v>
      </c>
      <c r="X9" s="1556"/>
      <c r="Y9" s="3373" t="s">
        <v>530</v>
      </c>
      <c r="Z9" s="3374"/>
      <c r="AA9" s="1557">
        <f>D9/F9</f>
        <v>1</v>
      </c>
      <c r="AB9" s="1557">
        <f>D9/H9</f>
        <v>1.0050251256281406</v>
      </c>
      <c r="AC9" s="1557">
        <f>D9/J9</f>
        <v>1.015228426395939</v>
      </c>
    </row>
    <row r="10" spans="1:30" s="1216" customFormat="1" ht="21" thickBot="1">
      <c r="A10" s="2868"/>
      <c r="B10" s="2875" t="s">
        <v>531</v>
      </c>
      <c r="C10" s="856" t="s">
        <v>532</v>
      </c>
      <c r="D10" s="520">
        <v>100</v>
      </c>
      <c r="E10" s="525" t="s">
        <v>3064</v>
      </c>
      <c r="F10" s="522">
        <f>SUMIF(75:75,E10,76:76)-SUMIF(75:75,C10,76:76)+100</f>
        <v>100</v>
      </c>
      <c r="G10" s="3196" t="s">
        <v>3065</v>
      </c>
      <c r="H10" s="520">
        <f>SUMIF(75:75,G10,76:76)-SUMIF(75:75,C10,76:76)+100</f>
        <v>100</v>
      </c>
      <c r="I10" s="3196" t="s">
        <v>3065</v>
      </c>
      <c r="J10" s="520">
        <f>SUMIF(75:75,I10,76:76)-SUMIF(75:75,C10,76:76)+100</f>
        <v>100</v>
      </c>
      <c r="K10" s="524"/>
      <c r="L10" s="2120"/>
      <c r="M10" s="2117"/>
      <c r="N10" s="2117"/>
      <c r="O10" s="2121"/>
      <c r="P10" s="3373" t="s">
        <v>533</v>
      </c>
      <c r="Q10" s="3374"/>
      <c r="R10" s="1554" t="s">
        <v>8</v>
      </c>
      <c r="S10" s="1555">
        <f t="shared" si="0"/>
        <v>100</v>
      </c>
      <c r="T10" s="1554" t="s">
        <v>8</v>
      </c>
      <c r="U10" s="1555">
        <f t="shared" si="1"/>
        <v>100</v>
      </c>
      <c r="V10" s="1554" t="s">
        <v>8</v>
      </c>
      <c r="W10" s="1555">
        <f t="shared" si="2"/>
        <v>100</v>
      </c>
      <c r="X10" s="1556"/>
      <c r="Y10" s="3373" t="s">
        <v>533</v>
      </c>
      <c r="Z10" s="3374"/>
      <c r="AA10" s="1557">
        <f t="shared" ref="AA10:AA47" si="3">D10/F10</f>
        <v>1</v>
      </c>
      <c r="AB10" s="1557">
        <f t="shared" ref="AB10:AB47" si="4">D10/H10</f>
        <v>1</v>
      </c>
      <c r="AC10" s="1557">
        <f t="shared" ref="AC10:AC47" si="5">D10/J10</f>
        <v>1</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1" t="s">
        <v>535</v>
      </c>
      <c r="Q11" s="1147" t="str">
        <f t="shared" ref="Q11:Q17" si="6">B11</f>
        <v>用途</v>
      </c>
      <c r="R11" s="1554" t="s">
        <v>8</v>
      </c>
      <c r="S11" s="1555">
        <f t="shared" si="0"/>
        <v>100</v>
      </c>
      <c r="T11" s="1554" t="s">
        <v>8</v>
      </c>
      <c r="U11" s="1555">
        <f t="shared" si="1"/>
        <v>100</v>
      </c>
      <c r="V11" s="1554" t="s">
        <v>8</v>
      </c>
      <c r="W11" s="1555">
        <f t="shared" si="2"/>
        <v>100</v>
      </c>
      <c r="X11" s="1556"/>
      <c r="Y11" s="3338" t="s">
        <v>536</v>
      </c>
      <c r="Z11" s="1146"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81"/>
      <c r="Q12" s="1147" t="str">
        <f t="shared" si="6"/>
        <v>土地使用年限（年）</v>
      </c>
      <c r="R12" s="1554" t="s">
        <v>8</v>
      </c>
      <c r="S12" s="1555">
        <f t="shared" si="0"/>
        <v>101</v>
      </c>
      <c r="T12" s="1554" t="s">
        <v>8</v>
      </c>
      <c r="U12" s="1555">
        <f t="shared" si="1"/>
        <v>101</v>
      </c>
      <c r="V12" s="1554" t="s">
        <v>8</v>
      </c>
      <c r="W12" s="1555">
        <f t="shared" si="2"/>
        <v>101</v>
      </c>
      <c r="X12" s="1556"/>
      <c r="Y12" s="3338"/>
      <c r="Z12" s="1146"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2.2999999999999998</v>
      </c>
      <c r="D13" s="255">
        <v>100</v>
      </c>
      <c r="E13" s="533">
        <f>Sheet2!F2</f>
        <v>3</v>
      </c>
      <c r="F13" s="255">
        <f>LOOKUP(E13,82:82,83:83)-LOOKUP(C13,82:82,83:83)+100</f>
        <v>98</v>
      </c>
      <c r="G13" s="534">
        <f>Sheet2!F3</f>
        <v>1.69</v>
      </c>
      <c r="H13" s="255">
        <f>LOOKUP(G13,82:82,83:83)-LOOKUP(C13,82:82,83:83)+100</f>
        <v>102</v>
      </c>
      <c r="I13" s="533">
        <f>Sheet2!F5</f>
        <v>2.86</v>
      </c>
      <c r="J13" s="255">
        <f>LOOKUP(I13,82:82,83:83)-LOOKUP(C13,82:82,83:83)+100</f>
        <v>100</v>
      </c>
      <c r="K13" s="535">
        <v>2</v>
      </c>
      <c r="L13" s="2125"/>
      <c r="M13" s="2117"/>
      <c r="N13" s="2117"/>
      <c r="O13" s="2126"/>
      <c r="P13" s="3381"/>
      <c r="Q13" s="1147" t="str">
        <f t="shared" si="6"/>
        <v>容积率</v>
      </c>
      <c r="R13" s="1554" t="s">
        <v>8</v>
      </c>
      <c r="S13" s="1555">
        <f t="shared" si="0"/>
        <v>98</v>
      </c>
      <c r="T13" s="1554" t="s">
        <v>8</v>
      </c>
      <c r="U13" s="1555">
        <f t="shared" si="1"/>
        <v>102</v>
      </c>
      <c r="V13" s="1554" t="s">
        <v>8</v>
      </c>
      <c r="W13" s="1555">
        <f t="shared" si="2"/>
        <v>100</v>
      </c>
      <c r="X13" s="1556"/>
      <c r="Y13" s="3338"/>
      <c r="Z13" s="1146" t="str">
        <f t="shared" si="7"/>
        <v>容积率</v>
      </c>
      <c r="AA13" s="1557">
        <f t="shared" si="3"/>
        <v>1.0204081632653061</v>
      </c>
      <c r="AB13" s="1557">
        <f t="shared" si="4"/>
        <v>0.98039215686274506</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1"/>
      <c r="Q14" s="1147" t="str">
        <f t="shared" si="6"/>
        <v>配建</v>
      </c>
      <c r="R14" s="1554" t="s">
        <v>8</v>
      </c>
      <c r="S14" s="1555">
        <f t="shared" si="0"/>
        <v>100</v>
      </c>
      <c r="T14" s="1554" t="s">
        <v>8</v>
      </c>
      <c r="U14" s="1555">
        <f t="shared" si="1"/>
        <v>100</v>
      </c>
      <c r="V14" s="1554" t="s">
        <v>8</v>
      </c>
      <c r="W14" s="1555">
        <f t="shared" si="2"/>
        <v>100</v>
      </c>
      <c r="X14" s="1556"/>
      <c r="Y14" s="3338"/>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1"/>
      <c r="Q15" s="1147">
        <f t="shared" si="6"/>
        <v>111</v>
      </c>
      <c r="R15" s="1554" t="s">
        <v>8</v>
      </c>
      <c r="S15" s="1555">
        <f t="shared" si="0"/>
        <v>100</v>
      </c>
      <c r="T15" s="1554" t="s">
        <v>8</v>
      </c>
      <c r="U15" s="1555">
        <f t="shared" si="1"/>
        <v>100</v>
      </c>
      <c r="V15" s="1554" t="s">
        <v>8</v>
      </c>
      <c r="W15" s="1555">
        <f t="shared" si="2"/>
        <v>100</v>
      </c>
      <c r="X15" s="1556"/>
      <c r="Y15" s="3338"/>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1"/>
      <c r="Q16" s="1147">
        <f t="shared" si="6"/>
        <v>111</v>
      </c>
      <c r="R16" s="1554" t="s">
        <v>8</v>
      </c>
      <c r="S16" s="1555">
        <f t="shared" si="0"/>
        <v>100</v>
      </c>
      <c r="T16" s="1554" t="s">
        <v>8</v>
      </c>
      <c r="U16" s="1555">
        <f t="shared" si="1"/>
        <v>100</v>
      </c>
      <c r="V16" s="1554" t="s">
        <v>8</v>
      </c>
      <c r="W16" s="1555">
        <f t="shared" si="2"/>
        <v>100</v>
      </c>
      <c r="X16" s="1556"/>
      <c r="Y16" s="3338"/>
      <c r="Z16" s="1146">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83" t="s">
        <v>540</v>
      </c>
      <c r="Q17" s="1558" t="str">
        <f t="shared" si="6"/>
        <v>居住社区成熟度</v>
      </c>
      <c r="R17" s="1559" t="s">
        <v>8</v>
      </c>
      <c r="S17" s="1560">
        <f t="shared" si="0"/>
        <v>100</v>
      </c>
      <c r="T17" s="1559" t="s">
        <v>8</v>
      </c>
      <c r="U17" s="1560">
        <f t="shared" si="1"/>
        <v>100</v>
      </c>
      <c r="V17" s="1559" t="s">
        <v>8</v>
      </c>
      <c r="W17" s="1560">
        <f t="shared" si="2"/>
        <v>100</v>
      </c>
      <c r="X17" s="1553"/>
      <c r="Y17" s="3383"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84"/>
      <c r="Q18" s="1558"/>
      <c r="R18" s="1559"/>
      <c r="S18" s="1560"/>
      <c r="T18" s="1559"/>
      <c r="U18" s="1560"/>
      <c r="V18" s="1559"/>
      <c r="W18" s="1560"/>
      <c r="X18" s="1553"/>
      <c r="Y18" s="3384"/>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4"/>
      <c r="Q19" s="1558" t="str">
        <f>B19</f>
        <v>商业繁华度</v>
      </c>
      <c r="R19" s="1559" t="s">
        <v>8</v>
      </c>
      <c r="S19" s="1560">
        <f>F19</f>
        <v>100</v>
      </c>
      <c r="T19" s="1559" t="s">
        <v>8</v>
      </c>
      <c r="U19" s="1560">
        <f>H19</f>
        <v>100</v>
      </c>
      <c r="V19" s="1559" t="s">
        <v>8</v>
      </c>
      <c r="W19" s="1560">
        <f>J19</f>
        <v>100</v>
      </c>
      <c r="X19" s="1553"/>
      <c r="Y19" s="3384"/>
      <c r="Z19" s="1561" t="str">
        <f>Q19</f>
        <v>商业繁华度</v>
      </c>
      <c r="AA19" s="1562">
        <f t="shared" si="3"/>
        <v>1</v>
      </c>
      <c r="AB19" s="1562">
        <f t="shared" si="4"/>
        <v>1</v>
      </c>
      <c r="AC19" s="1562">
        <f t="shared" si="5"/>
        <v>1</v>
      </c>
    </row>
    <row r="20" spans="1:29" ht="20.25" hidden="1">
      <c r="A20" s="532"/>
      <c r="B20" s="566"/>
      <c r="C20" s="567"/>
      <c r="D20" s="563"/>
      <c r="E20" s="569"/>
      <c r="F20" s="559"/>
      <c r="G20" s="568"/>
      <c r="H20" s="555"/>
      <c r="I20" s="569"/>
      <c r="J20" s="555"/>
      <c r="K20" s="531"/>
      <c r="L20" s="2127"/>
      <c r="M20" s="2117"/>
      <c r="N20" s="2117"/>
      <c r="O20" s="2126"/>
      <c r="P20" s="3384"/>
      <c r="Q20" s="1558"/>
      <c r="R20" s="1559"/>
      <c r="S20" s="1560"/>
      <c r="T20" s="1559"/>
      <c r="U20" s="1560"/>
      <c r="V20" s="1559"/>
      <c r="W20" s="1560"/>
      <c r="X20" s="1553"/>
      <c r="Y20" s="3384"/>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4"/>
      <c r="Q21" s="1558" t="str">
        <f>B21</f>
        <v>办公集聚程度</v>
      </c>
      <c r="R21" s="1559" t="s">
        <v>8</v>
      </c>
      <c r="S21" s="1560">
        <f>F21</f>
        <v>100</v>
      </c>
      <c r="T21" s="1559" t="s">
        <v>8</v>
      </c>
      <c r="U21" s="1560">
        <f>H21</f>
        <v>100</v>
      </c>
      <c r="V21" s="1559" t="s">
        <v>8</v>
      </c>
      <c r="W21" s="1560">
        <f>J21</f>
        <v>100</v>
      </c>
      <c r="X21" s="1553"/>
      <c r="Y21" s="3384"/>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384"/>
      <c r="Q22" s="1558"/>
      <c r="R22" s="1559"/>
      <c r="S22" s="1560"/>
      <c r="T22" s="1559"/>
      <c r="U22" s="1560"/>
      <c r="V22" s="1559"/>
      <c r="W22" s="1560"/>
      <c r="X22" s="1553"/>
      <c r="Y22" s="3384"/>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7"/>
      <c r="M23" s="2117"/>
      <c r="N23" s="2117"/>
      <c r="O23" s="2126"/>
      <c r="P23" s="3384"/>
      <c r="Q23" s="1558" t="str">
        <f>B23</f>
        <v>交通便捷度</v>
      </c>
      <c r="R23" s="1559" t="s">
        <v>8</v>
      </c>
      <c r="S23" s="1560">
        <f>F23</f>
        <v>100</v>
      </c>
      <c r="T23" s="1559" t="s">
        <v>8</v>
      </c>
      <c r="U23" s="1560">
        <f>H23</f>
        <v>98</v>
      </c>
      <c r="V23" s="1559" t="s">
        <v>8</v>
      </c>
      <c r="W23" s="1560">
        <f>J23</f>
        <v>100</v>
      </c>
      <c r="X23" s="1553"/>
      <c r="Y23" s="3384"/>
      <c r="Z23" s="1561" t="str">
        <f>Q23</f>
        <v>交通便捷度</v>
      </c>
      <c r="AA23" s="1562">
        <f t="shared" si="3"/>
        <v>1</v>
      </c>
      <c r="AB23" s="1562">
        <f t="shared" si="4"/>
        <v>1.0204081632653061</v>
      </c>
      <c r="AC23" s="1562">
        <f t="shared" si="5"/>
        <v>1</v>
      </c>
    </row>
    <row r="24" spans="1:29" ht="20.25">
      <c r="A24" s="532"/>
      <c r="B24" s="578"/>
      <c r="C24" s="3197" t="s">
        <v>3066</v>
      </c>
      <c r="D24" s="557"/>
      <c r="E24" s="3198" t="s">
        <v>3067</v>
      </c>
      <c r="F24" s="555"/>
      <c r="G24" s="3199" t="s">
        <v>3068</v>
      </c>
      <c r="H24" s="555"/>
      <c r="I24" s="3198" t="s">
        <v>3066</v>
      </c>
      <c r="J24" s="555"/>
      <c r="K24" s="531"/>
      <c r="L24" s="2127"/>
      <c r="M24" s="2117"/>
      <c r="N24" s="2117"/>
      <c r="O24" s="2126"/>
      <c r="P24" s="3384"/>
      <c r="Q24" s="1558"/>
      <c r="R24" s="1559"/>
      <c r="S24" s="1560"/>
      <c r="T24" s="1559"/>
      <c r="U24" s="1560"/>
      <c r="V24" s="1559"/>
      <c r="W24" s="1560"/>
      <c r="X24" s="1553"/>
      <c r="Y24" s="3384"/>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4"/>
      <c r="Q25" s="1558" t="str">
        <f t="shared" ref="Q25:Q39" si="8">B25</f>
        <v>区域土地利用方向</v>
      </c>
      <c r="R25" s="1559" t="s">
        <v>8</v>
      </c>
      <c r="S25" s="1560">
        <f>F25</f>
        <v>100</v>
      </c>
      <c r="T25" s="1559" t="s">
        <v>8</v>
      </c>
      <c r="U25" s="1560">
        <f>H25</f>
        <v>100</v>
      </c>
      <c r="V25" s="1559" t="s">
        <v>8</v>
      </c>
      <c r="W25" s="1560">
        <f>J25</f>
        <v>100</v>
      </c>
      <c r="X25" s="1553"/>
      <c r="Y25" s="3384"/>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384"/>
      <c r="Q26" s="1558"/>
      <c r="R26" s="1559"/>
      <c r="S26" s="1560"/>
      <c r="T26" s="1559"/>
      <c r="U26" s="1560"/>
      <c r="V26" s="1559"/>
      <c r="W26" s="1560"/>
      <c r="X26" s="1553"/>
      <c r="Y26" s="3384"/>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84"/>
      <c r="Q27" s="1558" t="str">
        <f t="shared" si="8"/>
        <v>自然及人文环境状况</v>
      </c>
      <c r="R27" s="1559" t="s">
        <v>8</v>
      </c>
      <c r="S27" s="1560">
        <f>F27</f>
        <v>100</v>
      </c>
      <c r="T27" s="1559" t="s">
        <v>8</v>
      </c>
      <c r="U27" s="1560">
        <f>H27</f>
        <v>100</v>
      </c>
      <c r="V27" s="1559" t="s">
        <v>8</v>
      </c>
      <c r="W27" s="1560">
        <f>J27</f>
        <v>100</v>
      </c>
      <c r="X27" s="1553"/>
      <c r="Y27" s="3384"/>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84"/>
      <c r="Q28" s="1558"/>
      <c r="R28" s="1559"/>
      <c r="S28" s="1560"/>
      <c r="T28" s="1559"/>
      <c r="U28" s="1560"/>
      <c r="V28" s="1559"/>
      <c r="W28" s="1560"/>
      <c r="X28" s="1553"/>
      <c r="Y28" s="3384"/>
      <c r="Z28" s="1561"/>
      <c r="AA28" s="1562">
        <v>1</v>
      </c>
      <c r="AB28" s="1562">
        <v>1</v>
      </c>
      <c r="AC28" s="1562">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84"/>
      <c r="Q29" s="1147" t="str">
        <f t="shared" si="8"/>
        <v>公共配套设施</v>
      </c>
      <c r="R29" s="1554" t="s">
        <v>8</v>
      </c>
      <c r="S29" s="1555">
        <f>F29</f>
        <v>100</v>
      </c>
      <c r="T29" s="1554" t="s">
        <v>8</v>
      </c>
      <c r="U29" s="1555">
        <f>H29</f>
        <v>100</v>
      </c>
      <c r="V29" s="1554" t="s">
        <v>8</v>
      </c>
      <c r="W29" s="1555">
        <f>J29</f>
        <v>100</v>
      </c>
      <c r="X29" s="1556"/>
      <c r="Y29" s="3384"/>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384"/>
      <c r="Q30" s="1147"/>
      <c r="R30" s="1554"/>
      <c r="S30" s="1555"/>
      <c r="T30" s="1554"/>
      <c r="U30" s="1555"/>
      <c r="V30" s="1554"/>
      <c r="W30" s="1555"/>
      <c r="X30" s="1556"/>
      <c r="Y30" s="3384"/>
      <c r="Z30" s="1146"/>
      <c r="AA30" s="1562">
        <v>1</v>
      </c>
      <c r="AB30" s="1562">
        <v>1</v>
      </c>
      <c r="AC30" s="1562">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84"/>
      <c r="Q31" s="2542" t="str">
        <f t="shared" ref="Q31" si="9">B31</f>
        <v>基础设施水平</v>
      </c>
      <c r="R31" s="1554" t="s">
        <v>8</v>
      </c>
      <c r="S31" s="1555">
        <f>F31</f>
        <v>100</v>
      </c>
      <c r="T31" s="1554" t="s">
        <v>8</v>
      </c>
      <c r="U31" s="1555">
        <f>H31</f>
        <v>100</v>
      </c>
      <c r="V31" s="1554" t="s">
        <v>8</v>
      </c>
      <c r="W31" s="1555">
        <f>J31</f>
        <v>100</v>
      </c>
      <c r="X31" s="1556"/>
      <c r="Y31" s="3384"/>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384"/>
      <c r="Q32" s="2542"/>
      <c r="R32" s="1554"/>
      <c r="S32" s="1555"/>
      <c r="T32" s="1554"/>
      <c r="U32" s="1555"/>
      <c r="V32" s="1554"/>
      <c r="W32" s="1555"/>
      <c r="X32" s="1556"/>
      <c r="Y32" s="3384"/>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4"/>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4"/>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4"/>
      <c r="Q34" s="1558" t="str">
        <f t="shared" si="8"/>
        <v>毗邻道路的类型与等级</v>
      </c>
      <c r="R34" s="1559" t="s">
        <v>8</v>
      </c>
      <c r="S34" s="1560">
        <f t="shared" si="10"/>
        <v>100</v>
      </c>
      <c r="T34" s="1559" t="s">
        <v>8</v>
      </c>
      <c r="U34" s="1560">
        <f t="shared" si="11"/>
        <v>100</v>
      </c>
      <c r="V34" s="1559" t="s">
        <v>8</v>
      </c>
      <c r="W34" s="1560">
        <f t="shared" si="12"/>
        <v>100</v>
      </c>
      <c r="X34" s="1553"/>
      <c r="Y34" s="3384"/>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84"/>
      <c r="Q35" s="1558"/>
      <c r="R35" s="1559"/>
      <c r="S35" s="1560"/>
      <c r="T35" s="1559"/>
      <c r="U35" s="1560"/>
      <c r="V35" s="1559"/>
      <c r="W35" s="1560"/>
      <c r="X35" s="1553"/>
      <c r="Y35" s="3384"/>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4"/>
      <c r="Q36" s="1558" t="str">
        <f t="shared" si="8"/>
        <v>土地级别</v>
      </c>
      <c r="R36" s="1559" t="s">
        <v>8</v>
      </c>
      <c r="S36" s="1560">
        <f t="shared" si="10"/>
        <v>100</v>
      </c>
      <c r="T36" s="1559" t="s">
        <v>8</v>
      </c>
      <c r="U36" s="1560">
        <f t="shared" si="11"/>
        <v>100</v>
      </c>
      <c r="V36" s="1559" t="s">
        <v>8</v>
      </c>
      <c r="W36" s="1560">
        <f t="shared" si="12"/>
        <v>100</v>
      </c>
      <c r="X36" s="1553"/>
      <c r="Y36" s="3384"/>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4"/>
      <c r="Q37" s="1558">
        <f t="shared" si="8"/>
        <v>111</v>
      </c>
      <c r="R37" s="1559" t="s">
        <v>8</v>
      </c>
      <c r="S37" s="1560">
        <f t="shared" si="10"/>
        <v>100</v>
      </c>
      <c r="T37" s="1559" t="s">
        <v>8</v>
      </c>
      <c r="U37" s="1560">
        <f t="shared" si="11"/>
        <v>100</v>
      </c>
      <c r="V37" s="1559" t="s">
        <v>8</v>
      </c>
      <c r="W37" s="1560">
        <f t="shared" si="12"/>
        <v>100</v>
      </c>
      <c r="X37" s="1553"/>
      <c r="Y37" s="3384"/>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5" t="s">
        <v>550</v>
      </c>
      <c r="Q38" s="1558">
        <f t="shared" si="8"/>
        <v>111</v>
      </c>
      <c r="R38" s="1559" t="s">
        <v>8</v>
      </c>
      <c r="S38" s="1560">
        <f t="shared" si="10"/>
        <v>100</v>
      </c>
      <c r="T38" s="1559" t="s">
        <v>8</v>
      </c>
      <c r="U38" s="1560">
        <f t="shared" si="11"/>
        <v>100</v>
      </c>
      <c r="V38" s="1559" t="s">
        <v>8</v>
      </c>
      <c r="W38" s="1560">
        <f t="shared" si="12"/>
        <v>100</v>
      </c>
      <c r="X38" s="1553"/>
      <c r="Y38" s="3386"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6"/>
      <c r="Q39" s="1558">
        <f t="shared" si="8"/>
        <v>111</v>
      </c>
      <c r="R39" s="1563" t="s">
        <v>8</v>
      </c>
      <c r="S39" s="1564">
        <f t="shared" si="10"/>
        <v>100</v>
      </c>
      <c r="T39" s="1563" t="s">
        <v>8</v>
      </c>
      <c r="U39" s="1564">
        <f t="shared" si="11"/>
        <v>100</v>
      </c>
      <c r="V39" s="1563" t="s">
        <v>8</v>
      </c>
      <c r="W39" s="1564">
        <f t="shared" si="12"/>
        <v>100</v>
      </c>
      <c r="X39" s="1565"/>
      <c r="Y39" s="3386"/>
      <c r="Z39" s="1566">
        <f t="shared" si="13"/>
        <v>111</v>
      </c>
      <c r="AA39" s="1562">
        <f t="shared" si="3"/>
        <v>1</v>
      </c>
      <c r="AB39" s="1562">
        <f t="shared" si="4"/>
        <v>1</v>
      </c>
      <c r="AC39" s="1562">
        <f t="shared" si="5"/>
        <v>1</v>
      </c>
    </row>
    <row r="40" spans="1:29" ht="20.25">
      <c r="A40" s="2862" t="s">
        <v>2752</v>
      </c>
      <c r="B40" s="595" t="s">
        <v>552</v>
      </c>
      <c r="C40" s="596">
        <f>'数据-基础表'!A3</f>
        <v>36332.1</v>
      </c>
      <c r="D40" s="597">
        <v>100</v>
      </c>
      <c r="E40" s="596">
        <f>Sheet2!D2</f>
        <v>60494.7</v>
      </c>
      <c r="F40" s="597">
        <f>LOOKUP(E40,119:119,120:120)-LOOKUP(C40,119:119,120:120)+100</f>
        <v>106</v>
      </c>
      <c r="G40" s="596">
        <f>Sheet2!D3</f>
        <v>26998.1</v>
      </c>
      <c r="H40" s="597">
        <f>LOOKUP(G40,119:119,120:120)-LOOKUP(C40,119:119,120:120)+100</f>
        <v>98</v>
      </c>
      <c r="I40" s="598">
        <f>Sheet2!D5</f>
        <v>33433.300000000003</v>
      </c>
      <c r="J40" s="597">
        <f>LOOKUP(I40,119:119,120:120)-LOOKUP(C40,119:119,120:120)+100</f>
        <v>100</v>
      </c>
      <c r="K40" s="581"/>
      <c r="L40" s="2127"/>
      <c r="M40" s="2117"/>
      <c r="N40" s="2117"/>
      <c r="O40" s="2126"/>
      <c r="P40" s="3386"/>
      <c r="Q40" s="1558" t="str">
        <f>B40</f>
        <v>宗地面积</v>
      </c>
      <c r="R40" s="1559" t="s">
        <v>8</v>
      </c>
      <c r="S40" s="1560">
        <f t="shared" si="10"/>
        <v>106</v>
      </c>
      <c r="T40" s="1559" t="s">
        <v>8</v>
      </c>
      <c r="U40" s="1560">
        <f t="shared" si="11"/>
        <v>98</v>
      </c>
      <c r="V40" s="1559" t="s">
        <v>8</v>
      </c>
      <c r="W40" s="1560">
        <f t="shared" si="12"/>
        <v>100</v>
      </c>
      <c r="X40" s="1553"/>
      <c r="Y40" s="3386"/>
      <c r="Z40" s="1561" t="str">
        <f t="shared" si="13"/>
        <v>宗地面积</v>
      </c>
      <c r="AA40" s="1562">
        <f t="shared" si="3"/>
        <v>0.94339622641509435</v>
      </c>
      <c r="AB40" s="1562">
        <f t="shared" si="4"/>
        <v>1.0204081632653061</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86"/>
      <c r="Q41" s="1558" t="str">
        <f t="shared" ref="Q41:Q47" si="14">B41</f>
        <v>宗地形状</v>
      </c>
      <c r="R41" s="1559" t="s">
        <v>8</v>
      </c>
      <c r="S41" s="1560">
        <f t="shared" si="10"/>
        <v>100</v>
      </c>
      <c r="T41" s="1559" t="s">
        <v>8</v>
      </c>
      <c r="U41" s="1560">
        <f t="shared" si="11"/>
        <v>100</v>
      </c>
      <c r="V41" s="1559" t="s">
        <v>8</v>
      </c>
      <c r="W41" s="1560">
        <f t="shared" si="12"/>
        <v>100</v>
      </c>
      <c r="X41" s="1553"/>
      <c r="Y41" s="3386"/>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6"/>
      <c r="Q42" s="1558" t="str">
        <f t="shared" si="14"/>
        <v>临街宽度及深度</v>
      </c>
      <c r="R42" s="1559" t="s">
        <v>8</v>
      </c>
      <c r="S42" s="1560">
        <f t="shared" si="10"/>
        <v>100</v>
      </c>
      <c r="T42" s="1559" t="s">
        <v>8</v>
      </c>
      <c r="U42" s="1560">
        <f t="shared" si="11"/>
        <v>100</v>
      </c>
      <c r="V42" s="1559" t="s">
        <v>8</v>
      </c>
      <c r="W42" s="1560">
        <f t="shared" si="12"/>
        <v>100</v>
      </c>
      <c r="X42" s="1553"/>
      <c r="Y42" s="3386"/>
      <c r="Z42" s="1561" t="str">
        <f t="shared" si="13"/>
        <v>临街宽度及深度</v>
      </c>
      <c r="AA42" s="1562">
        <f t="shared" si="3"/>
        <v>1</v>
      </c>
      <c r="AB42" s="1562">
        <f t="shared" si="4"/>
        <v>1</v>
      </c>
      <c r="AC42" s="1562">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6"/>
      <c r="Q43" s="1558" t="str">
        <f t="shared" si="14"/>
        <v>宗地开发程度</v>
      </c>
      <c r="R43" s="1554" t="s">
        <v>8</v>
      </c>
      <c r="S43" s="1555">
        <f t="shared" si="10"/>
        <v>100</v>
      </c>
      <c r="T43" s="1554" t="s">
        <v>8</v>
      </c>
      <c r="U43" s="1555">
        <f t="shared" si="11"/>
        <v>100</v>
      </c>
      <c r="V43" s="1554" t="s">
        <v>8</v>
      </c>
      <c r="W43" s="1555">
        <f t="shared" si="12"/>
        <v>100</v>
      </c>
      <c r="X43" s="1556"/>
      <c r="Y43" s="3386"/>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6" t="s">
        <v>550</v>
      </c>
      <c r="Q44" s="1558" t="str">
        <f t="shared" si="14"/>
        <v>工程地质条件</v>
      </c>
      <c r="R44" s="1559" t="s">
        <v>8</v>
      </c>
      <c r="S44" s="1560">
        <f t="shared" si="10"/>
        <v>100</v>
      </c>
      <c r="T44" s="1559" t="s">
        <v>8</v>
      </c>
      <c r="U44" s="1560">
        <f t="shared" si="11"/>
        <v>100</v>
      </c>
      <c r="V44" s="1559" t="s">
        <v>8</v>
      </c>
      <c r="W44" s="1560">
        <f t="shared" si="12"/>
        <v>100</v>
      </c>
      <c r="X44" s="1553"/>
      <c r="Y44" s="3386"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6"/>
      <c r="Q45" s="1558">
        <f t="shared" si="14"/>
        <v>111</v>
      </c>
      <c r="R45" s="1559" t="s">
        <v>8</v>
      </c>
      <c r="S45" s="1560">
        <f t="shared" si="10"/>
        <v>100</v>
      </c>
      <c r="T45" s="1559" t="s">
        <v>8</v>
      </c>
      <c r="U45" s="1560">
        <f t="shared" si="11"/>
        <v>100</v>
      </c>
      <c r="V45" s="1559" t="s">
        <v>8</v>
      </c>
      <c r="W45" s="1560">
        <f t="shared" si="12"/>
        <v>100</v>
      </c>
      <c r="X45" s="1553"/>
      <c r="Y45" s="3386"/>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6"/>
      <c r="Q46" s="1558">
        <f t="shared" si="14"/>
        <v>111</v>
      </c>
      <c r="R46" s="1559" t="s">
        <v>8</v>
      </c>
      <c r="S46" s="1560">
        <f t="shared" si="10"/>
        <v>100</v>
      </c>
      <c r="T46" s="1559" t="s">
        <v>8</v>
      </c>
      <c r="U46" s="1560">
        <f t="shared" si="11"/>
        <v>100</v>
      </c>
      <c r="V46" s="1559" t="s">
        <v>8</v>
      </c>
      <c r="W46" s="1560">
        <f t="shared" si="12"/>
        <v>100</v>
      </c>
      <c r="X46" s="1553"/>
      <c r="Y46" s="3386"/>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6"/>
      <c r="Q47" s="1558">
        <f t="shared" si="14"/>
        <v>111</v>
      </c>
      <c r="R47" s="1563" t="s">
        <v>8</v>
      </c>
      <c r="S47" s="1564">
        <f t="shared" si="10"/>
        <v>100</v>
      </c>
      <c r="T47" s="1563" t="s">
        <v>8</v>
      </c>
      <c r="U47" s="1564">
        <f t="shared" si="11"/>
        <v>100</v>
      </c>
      <c r="V47" s="1563" t="s">
        <v>8</v>
      </c>
      <c r="W47" s="1564">
        <f t="shared" si="12"/>
        <v>100</v>
      </c>
      <c r="X47" s="1565"/>
      <c r="Y47" s="3386"/>
      <c r="Z47" s="1566">
        <f t="shared" si="13"/>
        <v>111</v>
      </c>
      <c r="AA47" s="1562">
        <f t="shared" si="3"/>
        <v>1</v>
      </c>
      <c r="AB47" s="1562">
        <f t="shared" si="4"/>
        <v>1</v>
      </c>
      <c r="AC47" s="1562">
        <f t="shared" si="5"/>
        <v>1</v>
      </c>
    </row>
    <row r="48" spans="1:29" ht="20.25">
      <c r="A48" s="607" t="s">
        <v>556</v>
      </c>
      <c r="B48" s="608" t="s">
        <v>3069</v>
      </c>
      <c r="C48" s="609" t="s">
        <v>1</v>
      </c>
      <c r="D48" s="610"/>
      <c r="E48" s="611">
        <f>Sheet2!O2</f>
        <v>14050</v>
      </c>
      <c r="F48" s="612"/>
      <c r="G48" s="613">
        <f>Sheet2!O3</f>
        <v>15864</v>
      </c>
      <c r="H48" s="614"/>
      <c r="I48" s="611">
        <f>Sheet2!O5</f>
        <v>15180</v>
      </c>
      <c r="J48" s="614"/>
      <c r="K48" s="1336"/>
      <c r="L48" s="2129"/>
      <c r="M48" s="2117"/>
      <c r="N48" s="2117"/>
      <c r="O48" s="2130"/>
      <c r="P48" s="3381" t="str">
        <f>A48</f>
        <v>成交单价</v>
      </c>
      <c r="Q48" s="3381"/>
      <c r="R48" s="3395">
        <f>E48</f>
        <v>14050</v>
      </c>
      <c r="S48" s="3395"/>
      <c r="T48" s="3395">
        <f>G48</f>
        <v>15864</v>
      </c>
      <c r="U48" s="3395"/>
      <c r="V48" s="3395">
        <f>I48</f>
        <v>15180</v>
      </c>
      <c r="W48" s="3395"/>
      <c r="X48" s="1545"/>
      <c r="Y48" s="1567"/>
      <c r="Z48" s="1545"/>
      <c r="AA48" s="1545"/>
      <c r="AB48" s="1545"/>
      <c r="AC48" s="1545"/>
    </row>
    <row r="49" spans="1:29" ht="21" thickBot="1">
      <c r="A49" s="615" t="s">
        <v>2690</v>
      </c>
      <c r="B49" s="616"/>
      <c r="C49" s="617">
        <f>R50</f>
        <v>14921</v>
      </c>
      <c r="D49" s="618"/>
      <c r="E49" s="617">
        <f>R49</f>
        <v>13391</v>
      </c>
      <c r="F49" s="619"/>
      <c r="G49" s="620">
        <f>T49</f>
        <v>16114</v>
      </c>
      <c r="H49" s="618"/>
      <c r="I49" s="617">
        <f>V49</f>
        <v>15259</v>
      </c>
      <c r="J49" s="618"/>
      <c r="K49" s="1337"/>
      <c r="L49" s="2129"/>
      <c r="M49" s="2117"/>
      <c r="N49" s="2117"/>
      <c r="O49" s="2130"/>
      <c r="P49" s="3381" t="str">
        <f>A49</f>
        <v>比较价格（元/平方米）</v>
      </c>
      <c r="Q49" s="3381"/>
      <c r="R49" s="3405">
        <f>ROUND(PRODUCT(R48,AA9:AA47),0)</f>
        <v>13391</v>
      </c>
      <c r="S49" s="3405"/>
      <c r="T49" s="3405">
        <f>ROUND(PRODUCT(T48,AB9:AB47),0)</f>
        <v>16114</v>
      </c>
      <c r="U49" s="3405"/>
      <c r="V49" s="3405">
        <f>ROUND(PRODUCT(V48,AC9:AC47),0)</f>
        <v>15259</v>
      </c>
      <c r="W49" s="3405"/>
      <c r="X49" s="1545"/>
      <c r="Y49" s="1545"/>
      <c r="Z49" s="1545"/>
      <c r="AA49" s="1545"/>
      <c r="AB49" s="1545"/>
      <c r="AC49" s="1545"/>
    </row>
    <row r="50" spans="1:29" ht="21" thickBot="1">
      <c r="A50" s="621" t="s">
        <v>2934</v>
      </c>
      <c r="B50" s="622"/>
      <c r="C50" s="623">
        <f>R50</f>
        <v>14921</v>
      </c>
      <c r="D50" s="623"/>
      <c r="E50" s="623"/>
      <c r="F50" s="623"/>
      <c r="G50" s="623"/>
      <c r="H50" s="623"/>
      <c r="I50" s="623"/>
      <c r="J50" s="623"/>
      <c r="K50" s="1338"/>
      <c r="L50" s="2129"/>
      <c r="M50" s="2117"/>
      <c r="N50" s="2117"/>
      <c r="O50" s="2130"/>
      <c r="P50" s="3402" t="str">
        <f>A50</f>
        <v>估价对象XX用房的比较价格（楼面单价，元/平方米）</v>
      </c>
      <c r="Q50" s="3403"/>
      <c r="R50" s="3404">
        <f>ROUND(AVERAGE(R49:V49),0)</f>
        <v>14921</v>
      </c>
      <c r="S50" s="3404"/>
      <c r="T50" s="3404"/>
      <c r="U50" s="3404"/>
      <c r="V50" s="3404"/>
      <c r="W50" s="3404"/>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4.9212157419162184E-2</v>
      </c>
      <c r="F53" s="627" t="str">
        <f>IF(OR(E53&gt;=0.3,E53&lt;=-0.3),"超过30%","")</f>
        <v/>
      </c>
      <c r="G53" s="626">
        <f>IF(G48&lt;G49,G49/G48-1,G48/G49-1)</f>
        <v>1.5758951084215767E-2</v>
      </c>
      <c r="H53" s="627" t="str">
        <f>IF(OR(G53&gt;=0.3,G53&lt;=-0.3),"超过30%","")</f>
        <v/>
      </c>
      <c r="I53" s="626">
        <f>IF(I48&lt;I49,I49/I48-1,I48/I49-1)</f>
        <v>5.2042160737812981E-3</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0.20334553058024052</v>
      </c>
      <c r="F54" s="627" t="str">
        <f>IF(OR(E54&gt;=0.2,E54&lt;=-0.2),"超过20%","")</f>
        <v>超过20%</v>
      </c>
      <c r="G54" s="626">
        <f>IF(G49&lt;I49,I49/G49-1,G49/I49-1)</f>
        <v>5.6032505406645283E-2</v>
      </c>
      <c r="H54" s="627" t="str">
        <f>IF(OR(G54&gt;=0.2,G54&lt;=-0.2),"超过20%","")</f>
        <v/>
      </c>
      <c r="I54" s="626">
        <f>IF(I49&lt;E49,E49/I49-1,I49/E49-1)</f>
        <v>0.13949667687252632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0.12911032028469749</v>
      </c>
      <c r="F55" s="627" t="str">
        <f>IF(OR(E55&gt;=0.3,E55&lt;=-0.3),"超过30%","")</f>
        <v/>
      </c>
      <c r="G55" s="626">
        <f>IF(G48&lt;I48,I48/G48-1,G48/I48-1)</f>
        <v>4.5059288537549369E-2</v>
      </c>
      <c r="H55" s="627" t="str">
        <f>IF(OR(G55&gt;=0.3,G55&lt;=-0.3),"超过30%","")</f>
        <v/>
      </c>
      <c r="I55" s="626">
        <f>IF(I48&lt;E48,E48/I48-1,I48/E48-1)</f>
        <v>8.0427046263345181E-2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65" t="s">
        <v>2279</v>
      </c>
      <c r="H57" s="3366"/>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14921</v>
      </c>
      <c r="C58" s="635">
        <v>1</v>
      </c>
      <c r="D58" s="2213">
        <v>1</v>
      </c>
      <c r="E58" s="635">
        <f>'数据-汇总表'!E8+'数据-汇总表'!E9</f>
        <v>78230</v>
      </c>
      <c r="F58" s="636">
        <f t="shared" ref="F58:F67" si="15">ROUND(B58*E58/10000,0)</f>
        <v>116727</v>
      </c>
      <c r="G58" s="3367"/>
      <c r="H58" s="336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69"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69"/>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69"/>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69"/>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27784.36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106014.36</v>
      </c>
      <c r="F68" s="644">
        <f>IF(B48="楼面地价",SUM(F58:F67),ROUND(C50*E68/10000,0))</f>
        <v>116727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44" t="str">
        <f t="shared" si="25"/>
        <v>70000(含)-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0</v>
      </c>
      <c r="D120" s="726">
        <v>102</v>
      </c>
      <c r="E120" s="726">
        <v>104</v>
      </c>
      <c r="F120" s="726">
        <v>106</v>
      </c>
      <c r="G120" s="726">
        <v>108</v>
      </c>
      <c r="H120" s="726">
        <v>110</v>
      </c>
      <c r="I120" s="726">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0" t="str">
        <f>项目基本情况!B1</f>
        <v>出让国有建设用地使用权抵押价格预评估</v>
      </c>
      <c r="C37" s="3200"/>
      <c r="D37" s="3200"/>
      <c r="E37" s="3200"/>
      <c r="F37" s="3200"/>
      <c r="G37" s="3200"/>
      <c r="H37" s="3200"/>
      <c r="I37" s="3200"/>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M22" sqref="M22"/>
    </sheetView>
  </sheetViews>
  <sheetFormatPr defaultRowHeight="13.5"/>
  <cols>
    <col min="1" max="1" width="27.125" customWidth="1"/>
    <col min="13" max="13" width="19.25" customWidth="1"/>
  </cols>
  <sheetData>
    <row r="1" spans="1:15">
      <c r="A1" s="3192" t="s">
        <v>3027</v>
      </c>
      <c r="B1" s="3192" t="s">
        <v>3028</v>
      </c>
      <c r="C1" s="3192" t="s">
        <v>3029</v>
      </c>
      <c r="D1" s="3192" t="s">
        <v>3030</v>
      </c>
      <c r="E1" s="3192" t="s">
        <v>3031</v>
      </c>
      <c r="F1" s="3192" t="s">
        <v>2030</v>
      </c>
      <c r="G1" s="3192" t="s">
        <v>3032</v>
      </c>
      <c r="H1" s="3192" t="s">
        <v>3033</v>
      </c>
      <c r="I1" s="3192" t="s">
        <v>3034</v>
      </c>
      <c r="J1" s="3192" t="s">
        <v>3035</v>
      </c>
      <c r="K1" s="3192" t="s">
        <v>3036</v>
      </c>
      <c r="L1" s="3192" t="s">
        <v>3037</v>
      </c>
      <c r="M1" s="3192" t="s">
        <v>3038</v>
      </c>
      <c r="N1" s="3192" t="s">
        <v>3039</v>
      </c>
    </row>
    <row r="2" spans="1:15" s="3194" customFormat="1">
      <c r="A2" s="3193" t="s">
        <v>3040</v>
      </c>
      <c r="B2" s="3193" t="s">
        <v>3041</v>
      </c>
      <c r="C2" s="3193" t="s">
        <v>3042</v>
      </c>
      <c r="D2" s="3193">
        <v>60494.7</v>
      </c>
      <c r="E2" s="3193">
        <v>181500</v>
      </c>
      <c r="F2" s="3193">
        <f>ROUND(E2/D2,2)</f>
        <v>3</v>
      </c>
      <c r="G2" s="3193" t="s">
        <v>3043</v>
      </c>
      <c r="H2" s="3193" t="s">
        <v>3044</v>
      </c>
      <c r="I2" s="3193">
        <v>255000</v>
      </c>
      <c r="J2" s="3193">
        <v>255000</v>
      </c>
      <c r="K2" s="3193">
        <v>14049.59</v>
      </c>
      <c r="L2" s="3193">
        <v>0</v>
      </c>
      <c r="M2" s="3193" t="s">
        <v>3045</v>
      </c>
      <c r="N2" s="3193" t="s">
        <v>3046</v>
      </c>
      <c r="O2" s="3194">
        <v>14050</v>
      </c>
    </row>
    <row r="3" spans="1:15" s="3194" customFormat="1">
      <c r="A3" s="3193" t="s">
        <v>3047</v>
      </c>
      <c r="B3" s="3193" t="s">
        <v>3041</v>
      </c>
      <c r="C3" s="3193" t="s">
        <v>3042</v>
      </c>
      <c r="D3" s="3193">
        <v>26998.1</v>
      </c>
      <c r="E3" s="3193">
        <v>45700</v>
      </c>
      <c r="F3" s="3193">
        <f t="shared" ref="F3:F5" si="0">ROUND(E3/D3,2)</f>
        <v>1.69</v>
      </c>
      <c r="G3" s="3193" t="s">
        <v>3043</v>
      </c>
      <c r="H3" s="3193" t="s">
        <v>3048</v>
      </c>
      <c r="I3" s="3193">
        <v>72500</v>
      </c>
      <c r="J3" s="3193">
        <v>72500</v>
      </c>
      <c r="K3" s="3193">
        <v>15864.32</v>
      </c>
      <c r="L3" s="3193">
        <v>0</v>
      </c>
      <c r="M3" s="3193" t="s">
        <v>3049</v>
      </c>
      <c r="N3" s="3193" t="s">
        <v>3046</v>
      </c>
      <c r="O3" s="3194">
        <v>15864</v>
      </c>
    </row>
    <row r="4" spans="1:15" s="3191" customFormat="1">
      <c r="A4" s="3195" t="s">
        <v>3050</v>
      </c>
      <c r="B4" s="3195" t="s">
        <v>3041</v>
      </c>
      <c r="C4" s="3195" t="s">
        <v>3042</v>
      </c>
      <c r="D4" s="3195">
        <v>33156.6</v>
      </c>
      <c r="E4" s="3195">
        <v>72600</v>
      </c>
      <c r="F4" s="3193">
        <f t="shared" si="0"/>
        <v>2.19</v>
      </c>
      <c r="G4" s="3195" t="s">
        <v>3043</v>
      </c>
      <c r="H4" s="3195" t="s">
        <v>3051</v>
      </c>
      <c r="I4" s="3195">
        <v>130000</v>
      </c>
      <c r="J4" s="3195">
        <v>130000</v>
      </c>
      <c r="K4" s="3195">
        <v>17906.34</v>
      </c>
      <c r="L4" s="3195">
        <v>0</v>
      </c>
      <c r="M4" s="3195" t="s">
        <v>3052</v>
      </c>
      <c r="N4" s="3195" t="s">
        <v>3046</v>
      </c>
    </row>
    <row r="5" spans="1:15" s="3194" customFormat="1">
      <c r="A5" s="3193" t="s">
        <v>3053</v>
      </c>
      <c r="B5" s="3193" t="s">
        <v>3041</v>
      </c>
      <c r="C5" s="3193" t="s">
        <v>3042</v>
      </c>
      <c r="D5" s="3193">
        <v>33433.300000000003</v>
      </c>
      <c r="E5" s="3193">
        <v>95522</v>
      </c>
      <c r="F5" s="3193">
        <f t="shared" si="0"/>
        <v>2.86</v>
      </c>
      <c r="G5" s="3193" t="s">
        <v>3043</v>
      </c>
      <c r="H5" s="3193" t="s">
        <v>3054</v>
      </c>
      <c r="I5" s="3193">
        <v>144000</v>
      </c>
      <c r="J5" s="3193">
        <v>145000</v>
      </c>
      <c r="K5" s="3193">
        <v>15179.75</v>
      </c>
      <c r="L5" s="3193">
        <v>0.69</v>
      </c>
      <c r="M5" s="3193" t="s">
        <v>3055</v>
      </c>
      <c r="N5" s="3193" t="s">
        <v>3056</v>
      </c>
      <c r="O5" s="3194">
        <v>15180</v>
      </c>
    </row>
    <row r="6" spans="1:15">
      <c r="A6" s="3192" t="s">
        <v>3057</v>
      </c>
      <c r="B6" s="3192" t="s">
        <v>3041</v>
      </c>
      <c r="C6" s="3192" t="s">
        <v>3042</v>
      </c>
      <c r="D6" s="3192">
        <v>11899.9</v>
      </c>
      <c r="E6" s="3192">
        <v>37800</v>
      </c>
      <c r="F6" s="3192" t="s">
        <v>3058</v>
      </c>
      <c r="G6" s="3192" t="s">
        <v>3043</v>
      </c>
      <c r="H6" s="3192" t="s">
        <v>3059</v>
      </c>
      <c r="I6" s="3192">
        <v>61500</v>
      </c>
      <c r="J6" s="3192">
        <v>78500</v>
      </c>
      <c r="K6" s="3192">
        <v>20767.2</v>
      </c>
      <c r="L6" s="3192">
        <v>27.64</v>
      </c>
      <c r="M6" s="3192" t="s">
        <v>3049</v>
      </c>
      <c r="N6" s="3192" t="s">
        <v>3046</v>
      </c>
    </row>
    <row r="7" spans="1:15">
      <c r="A7" s="3192" t="s">
        <v>3047</v>
      </c>
      <c r="B7" s="3192" t="s">
        <v>3041</v>
      </c>
      <c r="C7" s="3192" t="s">
        <v>3042</v>
      </c>
      <c r="D7" s="3192">
        <v>29122.2</v>
      </c>
      <c r="E7" s="3192">
        <v>57700</v>
      </c>
      <c r="F7" s="3192">
        <v>0.12</v>
      </c>
      <c r="G7" s="3192" t="s">
        <v>3043</v>
      </c>
      <c r="H7" s="3192" t="s">
        <v>3059</v>
      </c>
      <c r="I7" s="3192">
        <v>105000</v>
      </c>
      <c r="J7" s="3192">
        <v>116000</v>
      </c>
      <c r="K7" s="3192">
        <v>20103.990000000002</v>
      </c>
      <c r="L7" s="3192">
        <v>10.48</v>
      </c>
      <c r="M7" s="3192" t="s">
        <v>3049</v>
      </c>
      <c r="N7" s="3192" t="s">
        <v>3046</v>
      </c>
    </row>
    <row r="8" spans="1:15">
      <c r="A8" s="3192" t="s">
        <v>3060</v>
      </c>
      <c r="B8" s="3192" t="s">
        <v>3041</v>
      </c>
      <c r="C8" s="3192" t="s">
        <v>3042</v>
      </c>
      <c r="D8" s="3192">
        <v>95814.6</v>
      </c>
      <c r="E8" s="3192">
        <v>258400</v>
      </c>
      <c r="F8" s="3192" t="s">
        <v>3061</v>
      </c>
      <c r="G8" s="3192" t="s">
        <v>3043</v>
      </c>
      <c r="H8" s="3192" t="s">
        <v>3062</v>
      </c>
      <c r="I8" s="3192">
        <v>475000</v>
      </c>
      <c r="J8" s="3192">
        <v>475000</v>
      </c>
      <c r="K8" s="3192">
        <v>18382.34</v>
      </c>
      <c r="L8" s="3192">
        <v>0</v>
      </c>
      <c r="M8" s="3192" t="s">
        <v>3063</v>
      </c>
      <c r="N8" s="3192" t="s">
        <v>3046</v>
      </c>
    </row>
    <row r="22" spans="13:13">
      <c r="M22">
        <f>3*'数据-汇总表'!F31</f>
        <v>250800</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17" sqref="M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226922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20287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62458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4164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7" t="s">
        <v>522</v>
      </c>
      <c r="D6" s="3388"/>
      <c r="E6" s="3387" t="s">
        <v>523</v>
      </c>
      <c r="F6" s="3388"/>
      <c r="G6" s="3387" t="s">
        <v>524</v>
      </c>
      <c r="H6" s="3388"/>
      <c r="I6" s="3387" t="s">
        <v>525</v>
      </c>
      <c r="J6" s="3388"/>
      <c r="K6" s="514" t="s">
        <v>526</v>
      </c>
      <c r="L6" s="2118"/>
      <c r="M6" s="2117"/>
      <c r="N6" s="2117"/>
      <c r="O6" s="2119"/>
      <c r="P6" s="3389" t="s">
        <v>527</v>
      </c>
      <c r="Q6" s="3390"/>
      <c r="R6" s="3375" t="s">
        <v>523</v>
      </c>
      <c r="S6" s="3376"/>
      <c r="T6" s="3375" t="s">
        <v>524</v>
      </c>
      <c r="U6" s="3376"/>
      <c r="V6" s="3395" t="s">
        <v>525</v>
      </c>
      <c r="W6" s="3395"/>
      <c r="X6" s="3186"/>
      <c r="Y6" s="3375" t="s">
        <v>527</v>
      </c>
      <c r="Z6" s="3376"/>
      <c r="AA6" s="3370" t="s">
        <v>523</v>
      </c>
      <c r="AB6" s="3371" t="s">
        <v>524</v>
      </c>
      <c r="AC6" s="3370" t="s">
        <v>525</v>
      </c>
    </row>
    <row r="7" spans="1:30" ht="20.25">
      <c r="A7" s="515"/>
      <c r="B7" s="516"/>
      <c r="C7" s="3398" t="s">
        <v>2928</v>
      </c>
      <c r="D7" s="3399"/>
      <c r="E7" s="3398" t="str">
        <f>Sheet3!A10</f>
        <v>南开区保泽道与规划岁丰路交口东北侧</v>
      </c>
      <c r="F7" s="3399"/>
      <c r="G7" s="3398" t="str">
        <f>Sheet3!A11</f>
        <v>河北区万柳村大街与金钟河大街交口</v>
      </c>
      <c r="H7" s="3399"/>
      <c r="I7" s="3398" t="str">
        <f>Sheet3!A15</f>
        <v>红桥区西青道与团结路交口东北侧</v>
      </c>
      <c r="J7" s="3399"/>
      <c r="K7" s="514"/>
      <c r="L7" s="2118"/>
      <c r="M7" s="2117"/>
      <c r="N7" s="2117"/>
      <c r="O7" s="2119"/>
      <c r="P7" s="3391"/>
      <c r="Q7" s="3392"/>
      <c r="R7" s="3377"/>
      <c r="S7" s="3378"/>
      <c r="T7" s="3377"/>
      <c r="U7" s="3378"/>
      <c r="V7" s="3395"/>
      <c r="W7" s="3395"/>
      <c r="X7" s="3186"/>
      <c r="Y7" s="3377"/>
      <c r="Z7" s="3378"/>
      <c r="AA7" s="3371"/>
      <c r="AB7" s="3371"/>
      <c r="AC7" s="3371"/>
    </row>
    <row r="8" spans="1:30" ht="21" thickBot="1">
      <c r="A8" s="515"/>
      <c r="B8" s="516"/>
      <c r="C8" s="3400" t="s">
        <v>2932</v>
      </c>
      <c r="D8" s="3401"/>
      <c r="E8" s="3400" t="s">
        <v>2932</v>
      </c>
      <c r="F8" s="3401"/>
      <c r="G8" s="3396" t="s">
        <v>2932</v>
      </c>
      <c r="H8" s="3397"/>
      <c r="I8" s="3396" t="s">
        <v>2932</v>
      </c>
      <c r="J8" s="3397"/>
      <c r="K8" s="514" t="s">
        <v>528</v>
      </c>
      <c r="L8" s="2118"/>
      <c r="M8" s="2117"/>
      <c r="N8" s="2117"/>
      <c r="O8" s="2119"/>
      <c r="P8" s="3393"/>
      <c r="Q8" s="3394"/>
      <c r="R8" s="3377"/>
      <c r="S8" s="3378"/>
      <c r="T8" s="3379"/>
      <c r="U8" s="3380"/>
      <c r="V8" s="3395"/>
      <c r="W8" s="3395"/>
      <c r="X8" s="3186"/>
      <c r="Y8" s="3379"/>
      <c r="Z8" s="3380"/>
      <c r="AA8" s="3372"/>
      <c r="AB8" s="3372"/>
      <c r="AC8" s="3372"/>
    </row>
    <row r="9" spans="1:30" s="1216" customFormat="1" ht="21" thickBot="1">
      <c r="A9" s="2867"/>
      <c r="B9" s="2874" t="s">
        <v>529</v>
      </c>
      <c r="C9" s="2866">
        <f>'数据-取费表'!B2</f>
        <v>43909</v>
      </c>
      <c r="D9" s="520">
        <v>100</v>
      </c>
      <c r="E9" s="521" t="str">
        <f>Sheet3!H10</f>
        <v>2018-04-25</v>
      </c>
      <c r="F9" s="522">
        <f>SUMIF(72:72,YEAR(E9)&amp;"-"&amp;INT((MONTH(E9)+2)/3),73:73)</f>
        <v>96.5</v>
      </c>
      <c r="G9" s="523" t="str">
        <f>Sheet3!H11</f>
        <v>2017-12-20</v>
      </c>
      <c r="H9" s="520">
        <f>SUMIF(72:72,YEAR(G9)&amp;"-"&amp;INT((MONTH(G9)+2)/3),73:73)</f>
        <v>95.5</v>
      </c>
      <c r="I9" s="523" t="str">
        <f>Sheet3!H15</f>
        <v>2017-07-19</v>
      </c>
      <c r="J9" s="520">
        <f>SUMIF(72:72,YEAR(I9)&amp;"-"&amp;INT((MONTH(I9)+2)/3),73:73)</f>
        <v>95</v>
      </c>
      <c r="K9" s="524"/>
      <c r="L9" s="2120"/>
      <c r="M9" s="2117"/>
      <c r="N9" s="2117"/>
      <c r="O9" s="2121"/>
      <c r="P9" s="3373" t="s">
        <v>530</v>
      </c>
      <c r="Q9" s="3382"/>
      <c r="R9" s="1554" t="s">
        <v>8</v>
      </c>
      <c r="S9" s="1555">
        <f t="shared" ref="S9:S17" si="0">F9</f>
        <v>96.5</v>
      </c>
      <c r="T9" s="1554" t="s">
        <v>8</v>
      </c>
      <c r="U9" s="1555">
        <f t="shared" ref="U9:U17" si="1">H9</f>
        <v>95.5</v>
      </c>
      <c r="V9" s="1554" t="s">
        <v>8</v>
      </c>
      <c r="W9" s="1555">
        <f t="shared" ref="W9:W17" si="2">J9</f>
        <v>95</v>
      </c>
      <c r="X9" s="1556"/>
      <c r="Y9" s="3373" t="s">
        <v>530</v>
      </c>
      <c r="Z9" s="3374"/>
      <c r="AA9" s="1557">
        <f>D9/F9</f>
        <v>1.0362694300518134</v>
      </c>
      <c r="AB9" s="1557">
        <f>D9/H9</f>
        <v>1.0471204188481675</v>
      </c>
      <c r="AC9" s="1557">
        <f>D9/J9</f>
        <v>1.0526315789473684</v>
      </c>
    </row>
    <row r="10" spans="1:30" s="1216" customFormat="1" ht="21" thickBot="1">
      <c r="A10" s="2868"/>
      <c r="B10" s="2875" t="s">
        <v>531</v>
      </c>
      <c r="C10" s="856" t="s">
        <v>532</v>
      </c>
      <c r="D10" s="520">
        <v>100</v>
      </c>
      <c r="E10" s="525" t="s">
        <v>3064</v>
      </c>
      <c r="F10" s="522">
        <f>SUMIF(75:75,E10,76:76)-SUMIF(75:75,C10,76:76)+100</f>
        <v>100</v>
      </c>
      <c r="G10" s="3196" t="s">
        <v>3065</v>
      </c>
      <c r="H10" s="520">
        <f>SUMIF(75:75,G10,76:76)-SUMIF(75:75,C10,76:76)+100</f>
        <v>100</v>
      </c>
      <c r="I10" s="3196" t="s">
        <v>3065</v>
      </c>
      <c r="J10" s="520">
        <f>SUMIF(75:75,I10,76:76)-SUMIF(75:75,C10,76:76)+100</f>
        <v>100</v>
      </c>
      <c r="K10" s="524"/>
      <c r="L10" s="2120"/>
      <c r="M10" s="2117"/>
      <c r="N10" s="2117"/>
      <c r="O10" s="2121"/>
      <c r="P10" s="3373" t="s">
        <v>533</v>
      </c>
      <c r="Q10" s="3374"/>
      <c r="R10" s="1554" t="s">
        <v>8</v>
      </c>
      <c r="S10" s="1555">
        <f t="shared" si="0"/>
        <v>100</v>
      </c>
      <c r="T10" s="1554" t="s">
        <v>8</v>
      </c>
      <c r="U10" s="1555">
        <f t="shared" si="1"/>
        <v>100</v>
      </c>
      <c r="V10" s="1554" t="s">
        <v>8</v>
      </c>
      <c r="W10" s="1555">
        <f t="shared" si="2"/>
        <v>100</v>
      </c>
      <c r="X10" s="1556"/>
      <c r="Y10" s="3373" t="s">
        <v>533</v>
      </c>
      <c r="Z10" s="3374"/>
      <c r="AA10" s="1557">
        <f t="shared" ref="AA10:AA47" si="3">D10/F10</f>
        <v>1</v>
      </c>
      <c r="AB10" s="1557">
        <f t="shared" ref="AB10:AB47" si="4">D10/H10</f>
        <v>1</v>
      </c>
      <c r="AC10" s="1557">
        <f t="shared" ref="AC10:AC47" si="5">D10/J10</f>
        <v>1</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1" t="s">
        <v>535</v>
      </c>
      <c r="Q11" s="3183" t="str">
        <f t="shared" ref="Q11:Q17" si="6">B11</f>
        <v>用途</v>
      </c>
      <c r="R11" s="1554" t="s">
        <v>8</v>
      </c>
      <c r="S11" s="1555">
        <f t="shared" si="0"/>
        <v>100</v>
      </c>
      <c r="T11" s="1554" t="s">
        <v>8</v>
      </c>
      <c r="U11" s="1555">
        <f t="shared" si="1"/>
        <v>100</v>
      </c>
      <c r="V11" s="1554" t="s">
        <v>8</v>
      </c>
      <c r="W11" s="1555">
        <f t="shared" si="2"/>
        <v>100</v>
      </c>
      <c r="X11" s="1556"/>
      <c r="Y11" s="3338" t="s">
        <v>536</v>
      </c>
      <c r="Z11" s="3182"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81"/>
      <c r="Q12" s="3183" t="str">
        <f t="shared" si="6"/>
        <v>土地使用年限（年）</v>
      </c>
      <c r="R12" s="1554" t="s">
        <v>8</v>
      </c>
      <c r="S12" s="1555">
        <f t="shared" si="0"/>
        <v>101</v>
      </c>
      <c r="T12" s="1554" t="s">
        <v>8</v>
      </c>
      <c r="U12" s="1555">
        <f t="shared" si="1"/>
        <v>101</v>
      </c>
      <c r="V12" s="1554" t="s">
        <v>8</v>
      </c>
      <c r="W12" s="1555">
        <f t="shared" si="2"/>
        <v>101</v>
      </c>
      <c r="X12" s="1556"/>
      <c r="Y12" s="3338"/>
      <c r="Z12" s="3182"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2.2999999999999998</v>
      </c>
      <c r="D13" s="255">
        <v>100</v>
      </c>
      <c r="E13" s="533">
        <f>Sheet3!F10</f>
        <v>2.0699999999999998</v>
      </c>
      <c r="F13" s="255">
        <f>LOOKUP(E13,82:82,83:83)-LOOKUP(C13,82:82,83:83)+100</f>
        <v>100</v>
      </c>
      <c r="G13" s="534">
        <f>Sheet3!F11</f>
        <v>2.62</v>
      </c>
      <c r="H13" s="255">
        <f>LOOKUP(G13,82:82,83:83)-LOOKUP(C13,82:82,83:83)+100</f>
        <v>100</v>
      </c>
      <c r="I13" s="533">
        <f>Sheet3!F15</f>
        <v>2.0699999999999998</v>
      </c>
      <c r="J13" s="255">
        <f>LOOKUP(I13,82:82,83:83)-LOOKUP(C13,82:82,83:83)+100</f>
        <v>100</v>
      </c>
      <c r="K13" s="535">
        <v>2</v>
      </c>
      <c r="L13" s="2125"/>
      <c r="M13" s="2117"/>
      <c r="N13" s="2117"/>
      <c r="O13" s="2126"/>
      <c r="P13" s="3381"/>
      <c r="Q13" s="3183" t="str">
        <f t="shared" si="6"/>
        <v>容积率</v>
      </c>
      <c r="R13" s="1554" t="s">
        <v>8</v>
      </c>
      <c r="S13" s="1555">
        <f t="shared" si="0"/>
        <v>100</v>
      </c>
      <c r="T13" s="1554" t="s">
        <v>8</v>
      </c>
      <c r="U13" s="1555">
        <f t="shared" si="1"/>
        <v>100</v>
      </c>
      <c r="V13" s="1554" t="s">
        <v>8</v>
      </c>
      <c r="W13" s="1555">
        <f t="shared" si="2"/>
        <v>100</v>
      </c>
      <c r="X13" s="1556"/>
      <c r="Y13" s="3338"/>
      <c r="Z13" s="3182" t="str">
        <f t="shared" si="7"/>
        <v>容积率</v>
      </c>
      <c r="AA13" s="1557">
        <f t="shared" si="3"/>
        <v>1</v>
      </c>
      <c r="AB13" s="1557">
        <f t="shared" si="4"/>
        <v>1</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1"/>
      <c r="Q14" s="3183" t="str">
        <f t="shared" si="6"/>
        <v>配建</v>
      </c>
      <c r="R14" s="1554" t="s">
        <v>8</v>
      </c>
      <c r="S14" s="1555">
        <f t="shared" si="0"/>
        <v>100</v>
      </c>
      <c r="T14" s="1554" t="s">
        <v>8</v>
      </c>
      <c r="U14" s="1555">
        <f t="shared" si="1"/>
        <v>100</v>
      </c>
      <c r="V14" s="1554" t="s">
        <v>8</v>
      </c>
      <c r="W14" s="1555">
        <f t="shared" si="2"/>
        <v>100</v>
      </c>
      <c r="X14" s="1556"/>
      <c r="Y14" s="3338"/>
      <c r="Z14" s="3182"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1"/>
      <c r="Q15" s="3183">
        <f t="shared" si="6"/>
        <v>111</v>
      </c>
      <c r="R15" s="1554" t="s">
        <v>8</v>
      </c>
      <c r="S15" s="1555">
        <f t="shared" si="0"/>
        <v>100</v>
      </c>
      <c r="T15" s="1554" t="s">
        <v>8</v>
      </c>
      <c r="U15" s="1555">
        <f t="shared" si="1"/>
        <v>100</v>
      </c>
      <c r="V15" s="1554" t="s">
        <v>8</v>
      </c>
      <c r="W15" s="1555">
        <f t="shared" si="2"/>
        <v>100</v>
      </c>
      <c r="X15" s="1556"/>
      <c r="Y15" s="3338"/>
      <c r="Z15" s="3182">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1"/>
      <c r="Q16" s="3183">
        <f t="shared" si="6"/>
        <v>111</v>
      </c>
      <c r="R16" s="1554" t="s">
        <v>8</v>
      </c>
      <c r="S16" s="1555">
        <f t="shared" si="0"/>
        <v>100</v>
      </c>
      <c r="T16" s="1554" t="s">
        <v>8</v>
      </c>
      <c r="U16" s="1555">
        <f t="shared" si="1"/>
        <v>100</v>
      </c>
      <c r="V16" s="1554" t="s">
        <v>8</v>
      </c>
      <c r="W16" s="1555">
        <f t="shared" si="2"/>
        <v>100</v>
      </c>
      <c r="X16" s="1556"/>
      <c r="Y16" s="3338"/>
      <c r="Z16" s="3182">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383" t="s">
        <v>540</v>
      </c>
      <c r="Q17" s="3184" t="str">
        <f t="shared" si="6"/>
        <v>居住社区成熟度</v>
      </c>
      <c r="R17" s="1559" t="s">
        <v>8</v>
      </c>
      <c r="S17" s="1560">
        <f t="shared" si="0"/>
        <v>100</v>
      </c>
      <c r="T17" s="1559" t="s">
        <v>8</v>
      </c>
      <c r="U17" s="1560">
        <f t="shared" si="1"/>
        <v>100</v>
      </c>
      <c r="V17" s="1559" t="s">
        <v>8</v>
      </c>
      <c r="W17" s="1560">
        <f t="shared" si="2"/>
        <v>100</v>
      </c>
      <c r="X17" s="3186"/>
      <c r="Y17" s="3383" t="s">
        <v>540</v>
      </c>
      <c r="Z17" s="3185" t="str">
        <f t="shared" si="7"/>
        <v>居住社区成熟度</v>
      </c>
      <c r="AA17" s="3188">
        <f t="shared" si="3"/>
        <v>1</v>
      </c>
      <c r="AB17" s="3188">
        <f t="shared" si="4"/>
        <v>1</v>
      </c>
      <c r="AC17" s="3188">
        <f t="shared" si="5"/>
        <v>1</v>
      </c>
    </row>
    <row r="18" spans="1:29" ht="20.25">
      <c r="A18" s="532"/>
      <c r="B18" s="553"/>
      <c r="C18" s="3197" t="s">
        <v>3136</v>
      </c>
      <c r="D18" s="557"/>
      <c r="E18" s="3198" t="s">
        <v>3137</v>
      </c>
      <c r="F18" s="555"/>
      <c r="G18" s="3199" t="s">
        <v>3137</v>
      </c>
      <c r="H18" s="559"/>
      <c r="I18" s="3198" t="s">
        <v>3137</v>
      </c>
      <c r="J18" s="555"/>
      <c r="K18" s="531"/>
      <c r="L18" s="2127"/>
      <c r="M18" s="2117"/>
      <c r="N18" s="2117"/>
      <c r="O18" s="2126"/>
      <c r="P18" s="3384"/>
      <c r="Q18" s="3184"/>
      <c r="R18" s="1559"/>
      <c r="S18" s="1560"/>
      <c r="T18" s="1559"/>
      <c r="U18" s="1560"/>
      <c r="V18" s="1559"/>
      <c r="W18" s="1560"/>
      <c r="X18" s="3186"/>
      <c r="Y18" s="3384"/>
      <c r="Z18" s="3185"/>
      <c r="AA18" s="3188">
        <v>1</v>
      </c>
      <c r="AB18" s="3188">
        <v>1</v>
      </c>
      <c r="AC18" s="3188">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4"/>
      <c r="Q19" s="3184" t="str">
        <f>B19</f>
        <v>商业繁华度</v>
      </c>
      <c r="R19" s="1559" t="s">
        <v>8</v>
      </c>
      <c r="S19" s="1560">
        <f>F19</f>
        <v>100</v>
      </c>
      <c r="T19" s="1559" t="s">
        <v>8</v>
      </c>
      <c r="U19" s="1560">
        <f>H19</f>
        <v>100</v>
      </c>
      <c r="V19" s="1559" t="s">
        <v>8</v>
      </c>
      <c r="W19" s="1560">
        <f>J19</f>
        <v>100</v>
      </c>
      <c r="X19" s="3186"/>
      <c r="Y19" s="3384"/>
      <c r="Z19" s="3185" t="str">
        <f>Q19</f>
        <v>商业繁华度</v>
      </c>
      <c r="AA19" s="3188">
        <f t="shared" si="3"/>
        <v>1</v>
      </c>
      <c r="AB19" s="3188">
        <f t="shared" si="4"/>
        <v>1</v>
      </c>
      <c r="AC19" s="3188">
        <f t="shared" si="5"/>
        <v>1</v>
      </c>
    </row>
    <row r="20" spans="1:29" ht="20.25" hidden="1">
      <c r="A20" s="532"/>
      <c r="B20" s="566"/>
      <c r="C20" s="567"/>
      <c r="D20" s="563"/>
      <c r="E20" s="569"/>
      <c r="F20" s="559"/>
      <c r="G20" s="568"/>
      <c r="H20" s="555"/>
      <c r="I20" s="569"/>
      <c r="J20" s="555"/>
      <c r="K20" s="531"/>
      <c r="L20" s="2127"/>
      <c r="M20" s="2117"/>
      <c r="N20" s="2117"/>
      <c r="O20" s="2126"/>
      <c r="P20" s="3384"/>
      <c r="Q20" s="3184"/>
      <c r="R20" s="1559"/>
      <c r="S20" s="1560"/>
      <c r="T20" s="1559"/>
      <c r="U20" s="1560"/>
      <c r="V20" s="1559"/>
      <c r="W20" s="1560"/>
      <c r="X20" s="3186"/>
      <c r="Y20" s="3384"/>
      <c r="Z20" s="3185"/>
      <c r="AA20" s="3188">
        <v>1</v>
      </c>
      <c r="AB20" s="3188">
        <v>1</v>
      </c>
      <c r="AC20" s="3188">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4"/>
      <c r="Q21" s="3184" t="str">
        <f>B21</f>
        <v>办公集聚程度</v>
      </c>
      <c r="R21" s="1559" t="s">
        <v>8</v>
      </c>
      <c r="S21" s="1560">
        <f>F21</f>
        <v>100</v>
      </c>
      <c r="T21" s="1559" t="s">
        <v>8</v>
      </c>
      <c r="U21" s="1560">
        <f>H21</f>
        <v>100</v>
      </c>
      <c r="V21" s="1559" t="s">
        <v>8</v>
      </c>
      <c r="W21" s="1560">
        <f>J21</f>
        <v>100</v>
      </c>
      <c r="X21" s="3186"/>
      <c r="Y21" s="3384"/>
      <c r="Z21" s="3185" t="str">
        <f>Q21</f>
        <v>办公集聚程度</v>
      </c>
      <c r="AA21" s="3188">
        <f t="shared" si="3"/>
        <v>1</v>
      </c>
      <c r="AB21" s="3188">
        <f t="shared" si="4"/>
        <v>1</v>
      </c>
      <c r="AC21" s="3188">
        <f t="shared" si="5"/>
        <v>1</v>
      </c>
    </row>
    <row r="22" spans="1:29" ht="20.25" hidden="1">
      <c r="A22" s="532"/>
      <c r="B22" s="566"/>
      <c r="C22" s="554"/>
      <c r="D22" s="557"/>
      <c r="E22" s="558"/>
      <c r="F22" s="555"/>
      <c r="G22" s="556"/>
      <c r="H22" s="555"/>
      <c r="I22" s="558"/>
      <c r="J22" s="555"/>
      <c r="K22" s="531"/>
      <c r="L22" s="2127"/>
      <c r="M22" s="2117"/>
      <c r="N22" s="2117"/>
      <c r="O22" s="2126"/>
      <c r="P22" s="3384"/>
      <c r="Q22" s="3184"/>
      <c r="R22" s="1559"/>
      <c r="S22" s="1560"/>
      <c r="T22" s="1559"/>
      <c r="U22" s="1560"/>
      <c r="V22" s="1559"/>
      <c r="W22" s="1560"/>
      <c r="X22" s="3186"/>
      <c r="Y22" s="3384"/>
      <c r="Z22" s="3185"/>
      <c r="AA22" s="3188">
        <v>1</v>
      </c>
      <c r="AB22" s="3188">
        <v>1</v>
      </c>
      <c r="AC22" s="3188">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384"/>
      <c r="Q23" s="3184" t="str">
        <f>B23</f>
        <v>交通便捷度</v>
      </c>
      <c r="R23" s="1559" t="s">
        <v>8</v>
      </c>
      <c r="S23" s="1560">
        <f>F23</f>
        <v>98</v>
      </c>
      <c r="T23" s="1559" t="s">
        <v>8</v>
      </c>
      <c r="U23" s="1560">
        <f>H23</f>
        <v>98</v>
      </c>
      <c r="V23" s="1559" t="s">
        <v>8</v>
      </c>
      <c r="W23" s="1560">
        <f>J23</f>
        <v>100</v>
      </c>
      <c r="X23" s="3186"/>
      <c r="Y23" s="3384"/>
      <c r="Z23" s="3185" t="str">
        <f>Q23</f>
        <v>交通便捷度</v>
      </c>
      <c r="AA23" s="3188">
        <f t="shared" si="3"/>
        <v>1.0204081632653061</v>
      </c>
      <c r="AB23" s="3188">
        <f t="shared" si="4"/>
        <v>1.0204081632653061</v>
      </c>
      <c r="AC23" s="3188">
        <f t="shared" si="5"/>
        <v>1</v>
      </c>
    </row>
    <row r="24" spans="1:29" ht="20.25">
      <c r="A24" s="532"/>
      <c r="B24" s="578"/>
      <c r="C24" s="3197" t="s">
        <v>3066</v>
      </c>
      <c r="D24" s="557"/>
      <c r="E24" s="3198" t="s">
        <v>3134</v>
      </c>
      <c r="F24" s="555"/>
      <c r="G24" s="3199" t="s">
        <v>3068</v>
      </c>
      <c r="H24" s="555"/>
      <c r="I24" s="3198" t="s">
        <v>3066</v>
      </c>
      <c r="J24" s="555"/>
      <c r="K24" s="531"/>
      <c r="L24" s="2127"/>
      <c r="M24" s="2117"/>
      <c r="N24" s="2117"/>
      <c r="O24" s="2126"/>
      <c r="P24" s="3384"/>
      <c r="Q24" s="3184"/>
      <c r="R24" s="1559"/>
      <c r="S24" s="1560"/>
      <c r="T24" s="1559"/>
      <c r="U24" s="1560"/>
      <c r="V24" s="1559"/>
      <c r="W24" s="1560"/>
      <c r="X24" s="3186"/>
      <c r="Y24" s="3384"/>
      <c r="Z24" s="3185"/>
      <c r="AA24" s="3188">
        <v>1</v>
      </c>
      <c r="AB24" s="3188">
        <v>1</v>
      </c>
      <c r="AC24" s="3188">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384"/>
      <c r="Q25" s="3184" t="str">
        <f t="shared" ref="Q25:Q39" si="8">B25</f>
        <v>区域土地利用方向</v>
      </c>
      <c r="R25" s="1559" t="s">
        <v>8</v>
      </c>
      <c r="S25" s="1560">
        <f>F25</f>
        <v>100</v>
      </c>
      <c r="T25" s="1559" t="s">
        <v>8</v>
      </c>
      <c r="U25" s="1560">
        <f>H25</f>
        <v>100</v>
      </c>
      <c r="V25" s="1559" t="s">
        <v>8</v>
      </c>
      <c r="W25" s="1560">
        <f>J25</f>
        <v>100</v>
      </c>
      <c r="X25" s="3186"/>
      <c r="Y25" s="3384"/>
      <c r="Z25" s="3185" t="str">
        <f>Q25</f>
        <v>区域土地利用方向</v>
      </c>
      <c r="AA25" s="3188">
        <f t="shared" si="3"/>
        <v>1</v>
      </c>
      <c r="AB25" s="3188">
        <f t="shared" si="4"/>
        <v>1</v>
      </c>
      <c r="AC25" s="3188">
        <f t="shared" si="5"/>
        <v>1</v>
      </c>
    </row>
    <row r="26" spans="1:29" ht="20.25">
      <c r="A26" s="515"/>
      <c r="B26" s="1007"/>
      <c r="C26" s="3197" t="s">
        <v>3136</v>
      </c>
      <c r="D26" s="557"/>
      <c r="E26" s="3198" t="s">
        <v>3137</v>
      </c>
      <c r="F26" s="555"/>
      <c r="G26" s="3199" t="s">
        <v>3137</v>
      </c>
      <c r="H26" s="555"/>
      <c r="I26" s="3198" t="s">
        <v>3137</v>
      </c>
      <c r="J26" s="555"/>
      <c r="K26" s="531"/>
      <c r="L26" s="2127"/>
      <c r="M26" s="2117"/>
      <c r="N26" s="2117"/>
      <c r="O26" s="2126"/>
      <c r="P26" s="3384"/>
      <c r="Q26" s="3184"/>
      <c r="R26" s="1559"/>
      <c r="S26" s="1560"/>
      <c r="T26" s="1559"/>
      <c r="U26" s="1560"/>
      <c r="V26" s="1559"/>
      <c r="W26" s="1560"/>
      <c r="X26" s="3186"/>
      <c r="Y26" s="3384"/>
      <c r="Z26" s="3185"/>
      <c r="AA26" s="3188"/>
      <c r="AB26" s="3188"/>
      <c r="AC26" s="3188"/>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84"/>
      <c r="Q27" s="3184" t="str">
        <f t="shared" si="8"/>
        <v>自然及人文环境状况</v>
      </c>
      <c r="R27" s="1559" t="s">
        <v>8</v>
      </c>
      <c r="S27" s="1560">
        <f>F27</f>
        <v>100</v>
      </c>
      <c r="T27" s="1559" t="s">
        <v>8</v>
      </c>
      <c r="U27" s="1560">
        <f>H27</f>
        <v>100</v>
      </c>
      <c r="V27" s="1559" t="s">
        <v>8</v>
      </c>
      <c r="W27" s="1560">
        <f>J27</f>
        <v>100</v>
      </c>
      <c r="X27" s="3186"/>
      <c r="Y27" s="3384"/>
      <c r="Z27" s="3185" t="str">
        <f>Q27</f>
        <v>自然及人文环境状况</v>
      </c>
      <c r="AA27" s="3188">
        <f t="shared" si="3"/>
        <v>1</v>
      </c>
      <c r="AB27" s="3188">
        <f t="shared" si="4"/>
        <v>1</v>
      </c>
      <c r="AC27" s="3188">
        <f t="shared" si="5"/>
        <v>1</v>
      </c>
    </row>
    <row r="28" spans="1:29" ht="20.25">
      <c r="A28" s="515"/>
      <c r="B28" s="566"/>
      <c r="C28" s="3197" t="s">
        <v>3137</v>
      </c>
      <c r="D28" s="557"/>
      <c r="E28" s="3503" t="s">
        <v>3136</v>
      </c>
      <c r="F28" s="555"/>
      <c r="G28" s="3197" t="s">
        <v>3138</v>
      </c>
      <c r="H28" s="555"/>
      <c r="I28" s="3503" t="s">
        <v>3136</v>
      </c>
      <c r="J28" s="555"/>
      <c r="K28" s="531"/>
      <c r="L28" s="2127"/>
      <c r="M28" s="2117"/>
      <c r="N28" s="2117"/>
      <c r="O28" s="2126"/>
      <c r="P28" s="3384"/>
      <c r="Q28" s="3184"/>
      <c r="R28" s="1559"/>
      <c r="S28" s="1560"/>
      <c r="T28" s="1559"/>
      <c r="U28" s="1560"/>
      <c r="V28" s="1559"/>
      <c r="W28" s="1560"/>
      <c r="X28" s="3186"/>
      <c r="Y28" s="3384"/>
      <c r="Z28" s="3185"/>
      <c r="AA28" s="3188">
        <v>1</v>
      </c>
      <c r="AB28" s="3188">
        <v>1</v>
      </c>
      <c r="AC28" s="3188">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384"/>
      <c r="Q29" s="3183" t="str">
        <f t="shared" si="8"/>
        <v>公共配套设施</v>
      </c>
      <c r="R29" s="1554" t="s">
        <v>8</v>
      </c>
      <c r="S29" s="1555">
        <f>F29</f>
        <v>100</v>
      </c>
      <c r="T29" s="1554" t="s">
        <v>8</v>
      </c>
      <c r="U29" s="1555">
        <f>H29</f>
        <v>100</v>
      </c>
      <c r="V29" s="1554" t="s">
        <v>8</v>
      </c>
      <c r="W29" s="1555">
        <f>J29</f>
        <v>100</v>
      </c>
      <c r="X29" s="1556"/>
      <c r="Y29" s="3384"/>
      <c r="Z29" s="3182" t="str">
        <f>Q29</f>
        <v>公共配套设施</v>
      </c>
      <c r="AA29" s="3188">
        <f>D29/F29</f>
        <v>1</v>
      </c>
      <c r="AB29" s="3188">
        <f>D29/H29</f>
        <v>1</v>
      </c>
      <c r="AC29" s="3188">
        <f>D29/J29</f>
        <v>1</v>
      </c>
    </row>
    <row r="30" spans="1:29" s="1216" customFormat="1" ht="20.25">
      <c r="A30" s="577"/>
      <c r="B30" s="566"/>
      <c r="C30" s="3504" t="s">
        <v>3136</v>
      </c>
      <c r="D30" s="557"/>
      <c r="E30" s="3503" t="s">
        <v>3136</v>
      </c>
      <c r="F30" s="555"/>
      <c r="G30" s="3197" t="s">
        <v>3136</v>
      </c>
      <c r="H30" s="555"/>
      <c r="I30" s="3503" t="s">
        <v>3137</v>
      </c>
      <c r="J30" s="555"/>
      <c r="K30" s="531"/>
      <c r="L30" s="2120"/>
      <c r="M30" s="2117"/>
      <c r="N30" s="2117"/>
      <c r="O30" s="2122"/>
      <c r="P30" s="3384"/>
      <c r="Q30" s="3183"/>
      <c r="R30" s="1554"/>
      <c r="S30" s="1555"/>
      <c r="T30" s="1554"/>
      <c r="U30" s="1555"/>
      <c r="V30" s="1554"/>
      <c r="W30" s="1555"/>
      <c r="X30" s="1556"/>
      <c r="Y30" s="3384"/>
      <c r="Z30" s="3182"/>
      <c r="AA30" s="3188">
        <v>1</v>
      </c>
      <c r="AB30" s="3188">
        <v>1</v>
      </c>
      <c r="AC30" s="3188">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384"/>
      <c r="Q31" s="3183" t="str">
        <f t="shared" ref="Q31" si="9">B31</f>
        <v>基础设施水平</v>
      </c>
      <c r="R31" s="1554" t="s">
        <v>8</v>
      </c>
      <c r="S31" s="1555">
        <f>F31</f>
        <v>100</v>
      </c>
      <c r="T31" s="1554" t="s">
        <v>8</v>
      </c>
      <c r="U31" s="1555">
        <f>H31</f>
        <v>100</v>
      </c>
      <c r="V31" s="1554" t="s">
        <v>8</v>
      </c>
      <c r="W31" s="1555">
        <f>J31</f>
        <v>100</v>
      </c>
      <c r="X31" s="1556"/>
      <c r="Y31" s="3384"/>
      <c r="Z31" s="3182" t="str">
        <f>Q31</f>
        <v>基础设施水平</v>
      </c>
      <c r="AA31" s="3188">
        <f>D31/F31</f>
        <v>1</v>
      </c>
      <c r="AB31" s="3188">
        <f>D31/H31</f>
        <v>1</v>
      </c>
      <c r="AC31" s="3188">
        <f>D31/J31</f>
        <v>1</v>
      </c>
    </row>
    <row r="32" spans="1:29" s="1216" customFormat="1" ht="21" thickBot="1">
      <c r="A32" s="577"/>
      <c r="B32" s="566"/>
      <c r="C32" s="3504" t="s">
        <v>3139</v>
      </c>
      <c r="D32" s="557"/>
      <c r="E32" s="3505" t="s">
        <v>3139</v>
      </c>
      <c r="F32" s="555"/>
      <c r="G32" s="3504" t="s">
        <v>3139</v>
      </c>
      <c r="H32" s="555"/>
      <c r="I32" s="3504" t="s">
        <v>3139</v>
      </c>
      <c r="J32" s="555"/>
      <c r="K32" s="531"/>
      <c r="L32" s="2120"/>
      <c r="M32" s="2117"/>
      <c r="N32" s="2117"/>
      <c r="O32" s="2122"/>
      <c r="P32" s="3384"/>
      <c r="Q32" s="3183"/>
      <c r="R32" s="1554"/>
      <c r="S32" s="1555"/>
      <c r="T32" s="1554"/>
      <c r="U32" s="1555"/>
      <c r="V32" s="1554"/>
      <c r="W32" s="1555"/>
      <c r="X32" s="1556"/>
      <c r="Y32" s="3384"/>
      <c r="Z32" s="3182"/>
      <c r="AA32" s="3188">
        <v>1</v>
      </c>
      <c r="AB32" s="3188">
        <v>1</v>
      </c>
      <c r="AC32" s="3188">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4"/>
      <c r="Q33" s="3184" t="str">
        <f t="shared" si="8"/>
        <v>临街状况</v>
      </c>
      <c r="R33" s="1559" t="s">
        <v>8</v>
      </c>
      <c r="S33" s="1560">
        <f t="shared" ref="S33:S47" si="10">F33</f>
        <v>100</v>
      </c>
      <c r="T33" s="1559" t="s">
        <v>8</v>
      </c>
      <c r="U33" s="1560">
        <f t="shared" ref="U33:U47" si="11">H33</f>
        <v>100</v>
      </c>
      <c r="V33" s="1559" t="s">
        <v>8</v>
      </c>
      <c r="W33" s="1560">
        <f t="shared" ref="W33:W47" si="12">J33</f>
        <v>100</v>
      </c>
      <c r="X33" s="3186"/>
      <c r="Y33" s="3384"/>
      <c r="Z33" s="3185" t="str">
        <f t="shared" ref="Z33:Z47" si="13">Q33</f>
        <v>临街状况</v>
      </c>
      <c r="AA33" s="3188">
        <f t="shared" si="3"/>
        <v>1</v>
      </c>
      <c r="AB33" s="3188">
        <f t="shared" si="4"/>
        <v>1</v>
      </c>
      <c r="AC33" s="3188">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4"/>
      <c r="Q34" s="3184" t="str">
        <f t="shared" si="8"/>
        <v>毗邻道路的类型与等级</v>
      </c>
      <c r="R34" s="1559" t="s">
        <v>8</v>
      </c>
      <c r="S34" s="1560">
        <f t="shared" si="10"/>
        <v>100</v>
      </c>
      <c r="T34" s="1559" t="s">
        <v>8</v>
      </c>
      <c r="U34" s="1560">
        <f t="shared" si="11"/>
        <v>100</v>
      </c>
      <c r="V34" s="1559" t="s">
        <v>8</v>
      </c>
      <c r="W34" s="1560">
        <f t="shared" si="12"/>
        <v>100</v>
      </c>
      <c r="X34" s="3186"/>
      <c r="Y34" s="3384"/>
      <c r="Z34" s="3185" t="str">
        <f t="shared" si="13"/>
        <v>毗邻道路的类型与等级</v>
      </c>
      <c r="AA34" s="3188">
        <f t="shared" si="3"/>
        <v>1</v>
      </c>
      <c r="AB34" s="3188">
        <f t="shared" si="4"/>
        <v>1</v>
      </c>
      <c r="AC34" s="3188">
        <f t="shared" si="5"/>
        <v>1</v>
      </c>
    </row>
    <row r="35" spans="1:29" ht="20.25" hidden="1">
      <c r="A35" s="532"/>
      <c r="B35" s="566"/>
      <c r="C35" s="554"/>
      <c r="D35" s="557"/>
      <c r="E35" s="576"/>
      <c r="F35" s="555"/>
      <c r="G35" s="554"/>
      <c r="H35" s="555"/>
      <c r="I35" s="576"/>
      <c r="J35" s="555"/>
      <c r="K35" s="581"/>
      <c r="L35" s="2127"/>
      <c r="M35" s="2117"/>
      <c r="N35" s="2117"/>
      <c r="O35" s="2126"/>
      <c r="P35" s="3384"/>
      <c r="Q35" s="3184"/>
      <c r="R35" s="1559"/>
      <c r="S35" s="1560"/>
      <c r="T35" s="1559"/>
      <c r="U35" s="1560"/>
      <c r="V35" s="1559"/>
      <c r="W35" s="1560"/>
      <c r="X35" s="3186"/>
      <c r="Y35" s="3384"/>
      <c r="Z35" s="3185"/>
      <c r="AA35" s="3188">
        <v>1</v>
      </c>
      <c r="AB35" s="3188">
        <v>1</v>
      </c>
      <c r="AC35" s="3188">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4"/>
      <c r="Q36" s="3184" t="str">
        <f t="shared" si="8"/>
        <v>土地级别</v>
      </c>
      <c r="R36" s="1559" t="s">
        <v>8</v>
      </c>
      <c r="S36" s="1560">
        <f t="shared" si="10"/>
        <v>100</v>
      </c>
      <c r="T36" s="1559" t="s">
        <v>8</v>
      </c>
      <c r="U36" s="1560">
        <f t="shared" si="11"/>
        <v>100</v>
      </c>
      <c r="V36" s="1559" t="s">
        <v>8</v>
      </c>
      <c r="W36" s="1560">
        <f t="shared" si="12"/>
        <v>100</v>
      </c>
      <c r="X36" s="3186"/>
      <c r="Y36" s="3384"/>
      <c r="Z36" s="3185" t="str">
        <f t="shared" si="13"/>
        <v>土地级别</v>
      </c>
      <c r="AA36" s="3188">
        <f t="shared" si="3"/>
        <v>1</v>
      </c>
      <c r="AB36" s="3188">
        <f t="shared" si="4"/>
        <v>1</v>
      </c>
      <c r="AC36" s="318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4"/>
      <c r="Q37" s="3184">
        <f t="shared" si="8"/>
        <v>111</v>
      </c>
      <c r="R37" s="1559" t="s">
        <v>8</v>
      </c>
      <c r="S37" s="1560">
        <f t="shared" si="10"/>
        <v>100</v>
      </c>
      <c r="T37" s="1559" t="s">
        <v>8</v>
      </c>
      <c r="U37" s="1560">
        <f t="shared" si="11"/>
        <v>100</v>
      </c>
      <c r="V37" s="1559" t="s">
        <v>8</v>
      </c>
      <c r="W37" s="1560">
        <f t="shared" si="12"/>
        <v>100</v>
      </c>
      <c r="X37" s="3186"/>
      <c r="Y37" s="3384"/>
      <c r="Z37" s="3185">
        <f t="shared" si="13"/>
        <v>111</v>
      </c>
      <c r="AA37" s="3188">
        <f t="shared" si="3"/>
        <v>1</v>
      </c>
      <c r="AB37" s="3188">
        <f t="shared" si="4"/>
        <v>1</v>
      </c>
      <c r="AC37" s="318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5" t="s">
        <v>550</v>
      </c>
      <c r="Q38" s="3184">
        <f t="shared" si="8"/>
        <v>111</v>
      </c>
      <c r="R38" s="1559" t="s">
        <v>8</v>
      </c>
      <c r="S38" s="1560">
        <f t="shared" si="10"/>
        <v>100</v>
      </c>
      <c r="T38" s="1559" t="s">
        <v>8</v>
      </c>
      <c r="U38" s="1560">
        <f t="shared" si="11"/>
        <v>100</v>
      </c>
      <c r="V38" s="1559" t="s">
        <v>8</v>
      </c>
      <c r="W38" s="1560">
        <f t="shared" si="12"/>
        <v>100</v>
      </c>
      <c r="X38" s="3186"/>
      <c r="Y38" s="3386" t="s">
        <v>550</v>
      </c>
      <c r="Z38" s="3185">
        <f t="shared" si="13"/>
        <v>111</v>
      </c>
      <c r="AA38" s="3188">
        <f t="shared" si="3"/>
        <v>1</v>
      </c>
      <c r="AB38" s="3188">
        <f t="shared" si="4"/>
        <v>1</v>
      </c>
      <c r="AC38" s="3188">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6"/>
      <c r="Q39" s="3184">
        <f t="shared" si="8"/>
        <v>111</v>
      </c>
      <c r="R39" s="1563" t="s">
        <v>8</v>
      </c>
      <c r="S39" s="1564">
        <f t="shared" si="10"/>
        <v>100</v>
      </c>
      <c r="T39" s="1563" t="s">
        <v>8</v>
      </c>
      <c r="U39" s="1564">
        <f t="shared" si="11"/>
        <v>100</v>
      </c>
      <c r="V39" s="1563" t="s">
        <v>8</v>
      </c>
      <c r="W39" s="1564">
        <f t="shared" si="12"/>
        <v>100</v>
      </c>
      <c r="X39" s="1565"/>
      <c r="Y39" s="3386"/>
      <c r="Z39" s="1566">
        <f t="shared" si="13"/>
        <v>111</v>
      </c>
      <c r="AA39" s="3188">
        <f t="shared" si="3"/>
        <v>1</v>
      </c>
      <c r="AB39" s="3188">
        <f t="shared" si="4"/>
        <v>1</v>
      </c>
      <c r="AC39" s="3188">
        <f t="shared" si="5"/>
        <v>1</v>
      </c>
    </row>
    <row r="40" spans="1:29" ht="20.25">
      <c r="A40" s="2862" t="s">
        <v>2752</v>
      </c>
      <c r="B40" s="595" t="s">
        <v>552</v>
      </c>
      <c r="C40" s="596">
        <f>'数据-基础表'!A3</f>
        <v>36332.1</v>
      </c>
      <c r="D40" s="597">
        <v>100</v>
      </c>
      <c r="E40" s="596">
        <f>Sheet3!D10</f>
        <v>51315.7</v>
      </c>
      <c r="F40" s="597">
        <f>LOOKUP(E40,119:119,120:120)-LOOKUP(C40,119:119,120:120)+100</f>
        <v>104</v>
      </c>
      <c r="G40" s="596">
        <f>Sheet3!D11</f>
        <v>43280.5</v>
      </c>
      <c r="H40" s="597">
        <f>LOOKUP(G40,119:119,120:120)-LOOKUP(C40,119:119,120:120)+100</f>
        <v>102</v>
      </c>
      <c r="I40" s="598">
        <f>Sheet3!D15</f>
        <v>38704.300000000003</v>
      </c>
      <c r="J40" s="597">
        <f>LOOKUP(I40,119:119,120:120)-LOOKUP(C40,119:119,120:120)+100</f>
        <v>100</v>
      </c>
      <c r="K40" s="581"/>
      <c r="L40" s="2127"/>
      <c r="M40" s="2117"/>
      <c r="N40" s="2117"/>
      <c r="O40" s="2126"/>
      <c r="P40" s="3386"/>
      <c r="Q40" s="3184" t="str">
        <f>B40</f>
        <v>宗地面积</v>
      </c>
      <c r="R40" s="1559" t="s">
        <v>8</v>
      </c>
      <c r="S40" s="1560">
        <f t="shared" si="10"/>
        <v>104</v>
      </c>
      <c r="T40" s="1559" t="s">
        <v>8</v>
      </c>
      <c r="U40" s="1560">
        <f t="shared" si="11"/>
        <v>102</v>
      </c>
      <c r="V40" s="1559" t="s">
        <v>8</v>
      </c>
      <c r="W40" s="1560">
        <f t="shared" si="12"/>
        <v>100</v>
      </c>
      <c r="X40" s="3186"/>
      <c r="Y40" s="3386"/>
      <c r="Z40" s="3185" t="str">
        <f t="shared" si="13"/>
        <v>宗地面积</v>
      </c>
      <c r="AA40" s="3188">
        <f t="shared" si="3"/>
        <v>0.96153846153846156</v>
      </c>
      <c r="AB40" s="3188">
        <f t="shared" si="4"/>
        <v>0.98039215686274506</v>
      </c>
      <c r="AC40" s="3188">
        <f t="shared" si="5"/>
        <v>1</v>
      </c>
    </row>
    <row r="41" spans="1:29" ht="20.25">
      <c r="A41" s="594"/>
      <c r="B41" s="527" t="s">
        <v>553</v>
      </c>
      <c r="C41" s="3506" t="s">
        <v>3140</v>
      </c>
      <c r="D41" s="540">
        <v>100</v>
      </c>
      <c r="E41" s="3506" t="s">
        <v>3140</v>
      </c>
      <c r="F41" s="540">
        <f>SUMIF(121:121,E41,122:122)-SUMIF(121:121,C41,122:122)+100</f>
        <v>100</v>
      </c>
      <c r="G41" s="3506" t="s">
        <v>3140</v>
      </c>
      <c r="H41" s="540">
        <f>SUMIF(121:121,G41,122:122)-SUMIF(121:121,C41,122:122)+100</f>
        <v>100</v>
      </c>
      <c r="I41" s="3506" t="s">
        <v>3140</v>
      </c>
      <c r="J41" s="540">
        <f>SUMIF(121:121,I41,122:122)-SUMIF(121:121,C41,122:122)+100</f>
        <v>100</v>
      </c>
      <c r="K41" s="584">
        <v>2</v>
      </c>
      <c r="L41" s="2127"/>
      <c r="M41" s="2117"/>
      <c r="N41" s="2117"/>
      <c r="O41" s="2126"/>
      <c r="P41" s="3386"/>
      <c r="Q41" s="3184" t="str">
        <f t="shared" ref="Q41:Q47" si="14">B41</f>
        <v>宗地形状</v>
      </c>
      <c r="R41" s="1559" t="s">
        <v>8</v>
      </c>
      <c r="S41" s="1560">
        <f t="shared" si="10"/>
        <v>100</v>
      </c>
      <c r="T41" s="1559" t="s">
        <v>8</v>
      </c>
      <c r="U41" s="1560">
        <f t="shared" si="11"/>
        <v>100</v>
      </c>
      <c r="V41" s="1559" t="s">
        <v>8</v>
      </c>
      <c r="W41" s="1560">
        <f t="shared" si="12"/>
        <v>100</v>
      </c>
      <c r="X41" s="3186"/>
      <c r="Y41" s="3386"/>
      <c r="Z41" s="3185" t="str">
        <f t="shared" si="13"/>
        <v>宗地形状</v>
      </c>
      <c r="AA41" s="3188">
        <f t="shared" si="3"/>
        <v>1</v>
      </c>
      <c r="AB41" s="3188">
        <f t="shared" si="4"/>
        <v>1</v>
      </c>
      <c r="AC41" s="3188">
        <f t="shared" si="5"/>
        <v>1</v>
      </c>
    </row>
    <row r="42" spans="1:29" ht="20.25">
      <c r="A42" s="594"/>
      <c r="B42" s="527" t="s">
        <v>554</v>
      </c>
      <c r="C42" s="3506" t="s">
        <v>3137</v>
      </c>
      <c r="D42" s="540">
        <v>100</v>
      </c>
      <c r="E42" s="3506" t="s">
        <v>3136</v>
      </c>
      <c r="F42" s="540">
        <f>SUMIF(123:123,E42,124:124)-SUMIF(123:123,C42,124:124)+100</f>
        <v>100</v>
      </c>
      <c r="G42" s="3506" t="s">
        <v>3137</v>
      </c>
      <c r="H42" s="540">
        <f>SUMIF(123:123,G42,124:124)-SUMIF(123:123,C42,124:124)+100</f>
        <v>100</v>
      </c>
      <c r="I42" s="3506" t="s">
        <v>3136</v>
      </c>
      <c r="J42" s="540">
        <f>SUMIF(123:123,I42,124:124)-SUMIF(123:123,C42,124:124)+100</f>
        <v>100</v>
      </c>
      <c r="K42" s="584">
        <v>2</v>
      </c>
      <c r="L42" s="2127"/>
      <c r="M42" s="2117"/>
      <c r="N42" s="2117"/>
      <c r="O42" s="2126"/>
      <c r="P42" s="3386"/>
      <c r="Q42" s="3184" t="str">
        <f t="shared" si="14"/>
        <v>临街宽度及深度</v>
      </c>
      <c r="R42" s="1559" t="s">
        <v>8</v>
      </c>
      <c r="S42" s="1560">
        <f t="shared" si="10"/>
        <v>100</v>
      </c>
      <c r="T42" s="1559" t="s">
        <v>8</v>
      </c>
      <c r="U42" s="1560">
        <f t="shared" si="11"/>
        <v>100</v>
      </c>
      <c r="V42" s="1559" t="s">
        <v>8</v>
      </c>
      <c r="W42" s="1560">
        <f t="shared" si="12"/>
        <v>100</v>
      </c>
      <c r="X42" s="3186"/>
      <c r="Y42" s="3386"/>
      <c r="Z42" s="3185" t="str">
        <f t="shared" si="13"/>
        <v>临街宽度及深度</v>
      </c>
      <c r="AA42" s="3188">
        <f t="shared" si="3"/>
        <v>1</v>
      </c>
      <c r="AB42" s="3188">
        <f t="shared" si="4"/>
        <v>1</v>
      </c>
      <c r="AC42" s="3188">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20"/>
      <c r="M43" s="2117"/>
      <c r="N43" s="2117"/>
      <c r="O43" s="2122"/>
      <c r="P43" s="3386"/>
      <c r="Q43" s="3184" t="str">
        <f t="shared" si="14"/>
        <v>宗地开发程度</v>
      </c>
      <c r="R43" s="1554" t="s">
        <v>8</v>
      </c>
      <c r="S43" s="1555">
        <f t="shared" si="10"/>
        <v>100</v>
      </c>
      <c r="T43" s="1554" t="s">
        <v>8</v>
      </c>
      <c r="U43" s="1555">
        <f t="shared" si="11"/>
        <v>100</v>
      </c>
      <c r="V43" s="1554" t="s">
        <v>8</v>
      </c>
      <c r="W43" s="1555">
        <f t="shared" si="12"/>
        <v>100</v>
      </c>
      <c r="X43" s="1556"/>
      <c r="Y43" s="3386"/>
      <c r="Z43" s="3182"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7"/>
      <c r="M44" s="2117"/>
      <c r="N44" s="2117"/>
      <c r="O44" s="2126"/>
      <c r="P44" s="3386" t="s">
        <v>550</v>
      </c>
      <c r="Q44" s="3184" t="str">
        <f t="shared" si="14"/>
        <v>工程地质条件</v>
      </c>
      <c r="R44" s="1559" t="s">
        <v>8</v>
      </c>
      <c r="S44" s="1560">
        <f t="shared" si="10"/>
        <v>100</v>
      </c>
      <c r="T44" s="1559" t="s">
        <v>8</v>
      </c>
      <c r="U44" s="1560">
        <f t="shared" si="11"/>
        <v>100</v>
      </c>
      <c r="V44" s="1559" t="s">
        <v>8</v>
      </c>
      <c r="W44" s="1560">
        <f t="shared" si="12"/>
        <v>100</v>
      </c>
      <c r="X44" s="3186"/>
      <c r="Y44" s="3386" t="s">
        <v>550</v>
      </c>
      <c r="Z44" s="3185" t="str">
        <f t="shared" si="13"/>
        <v>工程地质条件</v>
      </c>
      <c r="AA44" s="3188">
        <f t="shared" si="3"/>
        <v>1</v>
      </c>
      <c r="AB44" s="3188">
        <f t="shared" si="4"/>
        <v>1</v>
      </c>
      <c r="AC44" s="3188">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6"/>
      <c r="Q45" s="3184">
        <f t="shared" si="14"/>
        <v>111</v>
      </c>
      <c r="R45" s="1559" t="s">
        <v>8</v>
      </c>
      <c r="S45" s="1560">
        <f t="shared" si="10"/>
        <v>100</v>
      </c>
      <c r="T45" s="1559" t="s">
        <v>8</v>
      </c>
      <c r="U45" s="1560">
        <f t="shared" si="11"/>
        <v>100</v>
      </c>
      <c r="V45" s="1559" t="s">
        <v>8</v>
      </c>
      <c r="W45" s="1560">
        <f t="shared" si="12"/>
        <v>100</v>
      </c>
      <c r="X45" s="3186"/>
      <c r="Y45" s="3386"/>
      <c r="Z45" s="3185">
        <f t="shared" si="13"/>
        <v>111</v>
      </c>
      <c r="AA45" s="3188">
        <f t="shared" si="3"/>
        <v>1</v>
      </c>
      <c r="AB45" s="3188">
        <f t="shared" si="4"/>
        <v>1</v>
      </c>
      <c r="AC45" s="3188">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6"/>
      <c r="Q46" s="3184">
        <f t="shared" si="14"/>
        <v>111</v>
      </c>
      <c r="R46" s="1559" t="s">
        <v>8</v>
      </c>
      <c r="S46" s="1560">
        <f t="shared" si="10"/>
        <v>100</v>
      </c>
      <c r="T46" s="1559" t="s">
        <v>8</v>
      </c>
      <c r="U46" s="1560">
        <f t="shared" si="11"/>
        <v>100</v>
      </c>
      <c r="V46" s="1559" t="s">
        <v>8</v>
      </c>
      <c r="W46" s="1560">
        <f t="shared" si="12"/>
        <v>100</v>
      </c>
      <c r="X46" s="3186"/>
      <c r="Y46" s="3386"/>
      <c r="Z46" s="3185">
        <f t="shared" si="13"/>
        <v>111</v>
      </c>
      <c r="AA46" s="3188">
        <f t="shared" si="3"/>
        <v>1</v>
      </c>
      <c r="AB46" s="3188">
        <f t="shared" si="4"/>
        <v>1</v>
      </c>
      <c r="AC46" s="3188">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6"/>
      <c r="Q47" s="3184">
        <f t="shared" si="14"/>
        <v>111</v>
      </c>
      <c r="R47" s="1563" t="s">
        <v>8</v>
      </c>
      <c r="S47" s="1564">
        <f t="shared" si="10"/>
        <v>100</v>
      </c>
      <c r="T47" s="1563" t="s">
        <v>8</v>
      </c>
      <c r="U47" s="1564">
        <f t="shared" si="11"/>
        <v>100</v>
      </c>
      <c r="V47" s="1563" t="s">
        <v>8</v>
      </c>
      <c r="W47" s="1564">
        <f t="shared" si="12"/>
        <v>100</v>
      </c>
      <c r="X47" s="1565"/>
      <c r="Y47" s="3386"/>
      <c r="Z47" s="1566">
        <f t="shared" si="13"/>
        <v>111</v>
      </c>
      <c r="AA47" s="3188">
        <f t="shared" si="3"/>
        <v>1</v>
      </c>
      <c r="AB47" s="3188">
        <f t="shared" si="4"/>
        <v>1</v>
      </c>
      <c r="AC47" s="3188">
        <f t="shared" si="5"/>
        <v>1</v>
      </c>
    </row>
    <row r="48" spans="1:29" ht="20.25">
      <c r="A48" s="607" t="s">
        <v>556</v>
      </c>
      <c r="B48" s="608" t="s">
        <v>3069</v>
      </c>
      <c r="C48" s="609" t="s">
        <v>1</v>
      </c>
      <c r="D48" s="610"/>
      <c r="E48" s="611">
        <v>25416</v>
      </c>
      <c r="F48" s="612"/>
      <c r="G48" s="613">
        <v>28521</v>
      </c>
      <c r="H48" s="614"/>
      <c r="I48" s="611">
        <v>30563</v>
      </c>
      <c r="J48" s="614"/>
      <c r="K48" s="1336"/>
      <c r="L48" s="2129"/>
      <c r="M48" s="2117"/>
      <c r="N48" s="2117"/>
      <c r="O48" s="2130"/>
      <c r="P48" s="3381" t="str">
        <f>A48</f>
        <v>成交单价</v>
      </c>
      <c r="Q48" s="3381"/>
      <c r="R48" s="3395">
        <f>E48</f>
        <v>25416</v>
      </c>
      <c r="S48" s="3395"/>
      <c r="T48" s="3395">
        <f>G48</f>
        <v>28521</v>
      </c>
      <c r="U48" s="3395"/>
      <c r="V48" s="3395">
        <f>I48</f>
        <v>30563</v>
      </c>
      <c r="W48" s="3395"/>
      <c r="X48" s="1545"/>
      <c r="Y48" s="1567"/>
      <c r="Z48" s="1545"/>
      <c r="AA48" s="1545"/>
      <c r="AB48" s="1545"/>
      <c r="AC48" s="1545"/>
    </row>
    <row r="49" spans="1:29" ht="21" thickBot="1">
      <c r="A49" s="615" t="s">
        <v>2690</v>
      </c>
      <c r="B49" s="616"/>
      <c r="C49" s="617">
        <f>R50</f>
        <v>29007</v>
      </c>
      <c r="D49" s="618"/>
      <c r="E49" s="617">
        <f>R49</f>
        <v>25586</v>
      </c>
      <c r="F49" s="619"/>
      <c r="G49" s="620">
        <f>T49</f>
        <v>29581</v>
      </c>
      <c r="H49" s="618"/>
      <c r="I49" s="617">
        <f>V49</f>
        <v>31853</v>
      </c>
      <c r="J49" s="618"/>
      <c r="K49" s="1337"/>
      <c r="L49" s="2129"/>
      <c r="M49" s="2117"/>
      <c r="N49" s="2117"/>
      <c r="O49" s="2130"/>
      <c r="P49" s="3381" t="str">
        <f>A49</f>
        <v>比较价格（元/平方米）</v>
      </c>
      <c r="Q49" s="3381"/>
      <c r="R49" s="3405">
        <f>ROUND(PRODUCT(R48,AA9:AA47),0)</f>
        <v>25586</v>
      </c>
      <c r="S49" s="3405"/>
      <c r="T49" s="3405">
        <f>ROUND(PRODUCT(T48,AB9:AB47),0)</f>
        <v>29581</v>
      </c>
      <c r="U49" s="3405"/>
      <c r="V49" s="3405">
        <f>ROUND(PRODUCT(V48,AC9:AC47),0)</f>
        <v>31853</v>
      </c>
      <c r="W49" s="3405"/>
      <c r="X49" s="1545"/>
      <c r="Y49" s="1545"/>
      <c r="Z49" s="1545"/>
      <c r="AA49" s="1545"/>
      <c r="AB49" s="1545"/>
      <c r="AC49" s="1545"/>
    </row>
    <row r="50" spans="1:29" ht="21" thickBot="1">
      <c r="A50" s="621" t="s">
        <v>2934</v>
      </c>
      <c r="B50" s="622"/>
      <c r="C50" s="623">
        <f>R50</f>
        <v>29007</v>
      </c>
      <c r="D50" s="623"/>
      <c r="E50" s="623"/>
      <c r="F50" s="623"/>
      <c r="G50" s="623"/>
      <c r="H50" s="623"/>
      <c r="I50" s="623"/>
      <c r="J50" s="623"/>
      <c r="K50" s="1338"/>
      <c r="L50" s="2129"/>
      <c r="M50" s="2117"/>
      <c r="N50" s="2117"/>
      <c r="O50" s="2130"/>
      <c r="P50" s="3402" t="str">
        <f>A50</f>
        <v>估价对象XX用房的比较价格（楼面单价，元/平方米）</v>
      </c>
      <c r="Q50" s="3403"/>
      <c r="R50" s="3404">
        <f>ROUND(AVERAGE(R49:V49),0)</f>
        <v>29007</v>
      </c>
      <c r="S50" s="3404"/>
      <c r="T50" s="3404"/>
      <c r="U50" s="3404"/>
      <c r="V50" s="3404"/>
      <c r="W50" s="3404"/>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6.6887000314761469E-3</v>
      </c>
      <c r="F53" s="627" t="str">
        <f>IF(OR(E53&gt;=0.3,E53&lt;=-0.3),"超过30%","")</f>
        <v/>
      </c>
      <c r="G53" s="626">
        <f>IF(G48&lt;G49,G49/G48-1,G48/G49-1)</f>
        <v>3.7165597279197771E-2</v>
      </c>
      <c r="H53" s="627" t="str">
        <f>IF(OR(G53&gt;=0.3,G53&lt;=-0.3),"超过30%","")</f>
        <v/>
      </c>
      <c r="I53" s="626">
        <f>IF(I48&lt;I49,I49/I48-1,I48/I49-1)</f>
        <v>4.2207898439289293E-2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0.156140076604393</v>
      </c>
      <c r="F54" s="627" t="str">
        <f>IF(OR(E54&gt;=0.2,E54&lt;=-0.2),"超过20%","")</f>
        <v/>
      </c>
      <c r="G54" s="626">
        <f>IF(G49&lt;I49,I49/G49-1,G49/I49-1)</f>
        <v>7.6806057942598205E-2</v>
      </c>
      <c r="H54" s="627" t="str">
        <f>IF(OR(G54&gt;=0.2,G54&lt;=-0.2),"超过20%","")</f>
        <v/>
      </c>
      <c r="I54" s="626">
        <f>IF(I49&lt;E49,E49/I49-1,I49/E49-1)</f>
        <v>0.24493863831783003</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0.12216713881019836</v>
      </c>
      <c r="F55" s="627" t="str">
        <f>IF(OR(E55&gt;=0.3,E55&lt;=-0.3),"超过30%","")</f>
        <v/>
      </c>
      <c r="G55" s="626">
        <f>IF(G48&lt;I48,I48/G48-1,G48/I48-1)</f>
        <v>7.1596367588794285E-2</v>
      </c>
      <c r="H55" s="627" t="str">
        <f>IF(OR(G55&gt;=0.3,G55&lt;=-0.3),"超过30%","")</f>
        <v/>
      </c>
      <c r="I55" s="626">
        <f>IF(I48&lt;E48,E48/I48-1,I48/E48-1)</f>
        <v>0.20251022977651867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365" t="s">
        <v>2279</v>
      </c>
      <c r="H57" s="3366"/>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29007</v>
      </c>
      <c r="C58" s="635">
        <v>1</v>
      </c>
      <c r="D58" s="2213">
        <v>1</v>
      </c>
      <c r="E58" s="635">
        <f>'数据-汇总表'!E8+'数据-汇总表'!E9</f>
        <v>78230</v>
      </c>
      <c r="F58" s="636">
        <f t="shared" ref="F58:F67" si="15">ROUND(B58*E58/10000,0)</f>
        <v>226922</v>
      </c>
      <c r="G58" s="3367"/>
      <c r="H58" s="3368"/>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69"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69"/>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69"/>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69"/>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3187"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27784.36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3187"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106014.36</v>
      </c>
      <c r="F68" s="644">
        <f>IF(B48="楼面地价",SUM(F58:F67),ROUND(C50*E68/10000,0))</f>
        <v>226922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6"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2748">
        <v>95</v>
      </c>
      <c r="N73" s="2749">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44" t="str">
        <f t="shared" si="25"/>
        <v>70000(含)-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0</v>
      </c>
      <c r="D120" s="726">
        <v>102</v>
      </c>
      <c r="E120" s="726">
        <v>104</v>
      </c>
      <c r="F120" s="726">
        <v>106</v>
      </c>
      <c r="G120" s="726">
        <v>108</v>
      </c>
      <c r="H120" s="726">
        <v>110</v>
      </c>
      <c r="I120" s="726">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P49:Q49"/>
    <mergeCell ref="R49:S49"/>
    <mergeCell ref="T49:U49"/>
    <mergeCell ref="V49:W49"/>
    <mergeCell ref="P50:Q50"/>
    <mergeCell ref="R50:W50"/>
    <mergeCell ref="P38:P47"/>
    <mergeCell ref="Y38:Y47"/>
    <mergeCell ref="P48:Q48"/>
    <mergeCell ref="R48:S48"/>
    <mergeCell ref="T48:U48"/>
    <mergeCell ref="V48:W48"/>
    <mergeCell ref="P10:Q10"/>
    <mergeCell ref="Y10:Z10"/>
    <mergeCell ref="P11:P16"/>
    <mergeCell ref="Y11:Y16"/>
    <mergeCell ref="P17:P37"/>
    <mergeCell ref="Y17:Y37"/>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8"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topLeftCell="A22" workbookViewId="0">
      <selection activeCell="N45" sqref="N45"/>
    </sheetView>
  </sheetViews>
  <sheetFormatPr defaultRowHeight="13.5"/>
  <cols>
    <col min="1" max="1" width="26.5" customWidth="1"/>
    <col min="4" max="4" width="10.875" customWidth="1"/>
    <col min="5" max="5" width="10.25" customWidth="1"/>
    <col min="8" max="8" width="11.375" customWidth="1"/>
    <col min="9" max="9" width="11.25" customWidth="1"/>
    <col min="10" max="10" width="11.375" customWidth="1"/>
    <col min="11" max="11" width="11" customWidth="1"/>
  </cols>
  <sheetData>
    <row r="1" spans="1:13">
      <c r="A1" s="3498" t="s">
        <v>3027</v>
      </c>
      <c r="B1" s="3498" t="s">
        <v>3028</v>
      </c>
      <c r="C1" s="3498" t="s">
        <v>3029</v>
      </c>
      <c r="D1" s="3498" t="s">
        <v>3030</v>
      </c>
      <c r="E1" s="3498" t="s">
        <v>3031</v>
      </c>
      <c r="F1" s="3498" t="s">
        <v>2030</v>
      </c>
      <c r="G1" s="3498" t="s">
        <v>3032</v>
      </c>
      <c r="H1" s="3498" t="s">
        <v>3033</v>
      </c>
      <c r="I1" s="3498" t="s">
        <v>3034</v>
      </c>
      <c r="J1" s="3498" t="s">
        <v>3035</v>
      </c>
      <c r="K1" s="3498" t="s">
        <v>3036</v>
      </c>
      <c r="L1" s="3498" t="s">
        <v>3037</v>
      </c>
      <c r="M1" s="3498" t="s">
        <v>3038</v>
      </c>
    </row>
    <row r="2" spans="1:13">
      <c r="A2" s="3499" t="s">
        <v>3040</v>
      </c>
      <c r="B2" s="3499" t="s">
        <v>3041</v>
      </c>
      <c r="C2" s="3499" t="s">
        <v>3042</v>
      </c>
      <c r="D2" s="3499">
        <v>60494.7</v>
      </c>
      <c r="E2" s="3499">
        <v>181500</v>
      </c>
      <c r="F2" s="3499">
        <v>3</v>
      </c>
      <c r="G2" s="3499" t="s">
        <v>3043</v>
      </c>
      <c r="H2" s="3499" t="s">
        <v>3044</v>
      </c>
      <c r="I2" s="3499">
        <v>255000</v>
      </c>
      <c r="J2" s="3499">
        <v>255000</v>
      </c>
      <c r="K2" s="3499">
        <v>14049.59</v>
      </c>
      <c r="L2" s="3499">
        <v>0</v>
      </c>
      <c r="M2" s="3499" t="s">
        <v>3045</v>
      </c>
    </row>
    <row r="3" spans="1:13">
      <c r="A3" s="3499" t="s">
        <v>3047</v>
      </c>
      <c r="B3" s="3499" t="s">
        <v>3041</v>
      </c>
      <c r="C3" s="3499" t="s">
        <v>3042</v>
      </c>
      <c r="D3" s="3499">
        <v>26998.1</v>
      </c>
      <c r="E3" s="3499">
        <v>45700</v>
      </c>
      <c r="F3" s="3499">
        <v>1.69</v>
      </c>
      <c r="G3" s="3499" t="s">
        <v>3043</v>
      </c>
      <c r="H3" s="3499" t="s">
        <v>3048</v>
      </c>
      <c r="I3" s="3499">
        <v>72500</v>
      </c>
      <c r="J3" s="3499">
        <v>72500</v>
      </c>
      <c r="K3" s="3499">
        <v>15864.32</v>
      </c>
      <c r="L3" s="3499">
        <v>0</v>
      </c>
      <c r="M3" s="3499" t="s">
        <v>3049</v>
      </c>
    </row>
    <row r="4" spans="1:13">
      <c r="A4" s="3498" t="s">
        <v>3050</v>
      </c>
      <c r="B4" s="3498" t="s">
        <v>3041</v>
      </c>
      <c r="C4" s="3498" t="s">
        <v>3042</v>
      </c>
      <c r="D4" s="3498">
        <v>33156.6</v>
      </c>
      <c r="E4" s="3498">
        <v>72600</v>
      </c>
      <c r="F4" s="3501">
        <v>2.19</v>
      </c>
      <c r="G4" s="3498" t="s">
        <v>3043</v>
      </c>
      <c r="H4" s="3498" t="s">
        <v>3051</v>
      </c>
      <c r="I4" s="3498">
        <v>130000</v>
      </c>
      <c r="J4" s="3498">
        <v>130000</v>
      </c>
      <c r="K4" s="3498">
        <v>17906.34</v>
      </c>
      <c r="L4" s="3498">
        <v>0</v>
      </c>
      <c r="M4" s="3498" t="s">
        <v>3052</v>
      </c>
    </row>
    <row r="5" spans="1:13">
      <c r="A5" s="3499" t="s">
        <v>3053</v>
      </c>
      <c r="B5" s="3499" t="s">
        <v>3041</v>
      </c>
      <c r="C5" s="3499" t="s">
        <v>3042</v>
      </c>
      <c r="D5" s="3499">
        <v>33433.300000000003</v>
      </c>
      <c r="E5" s="3499">
        <v>95522</v>
      </c>
      <c r="F5" s="3499">
        <v>2.86</v>
      </c>
      <c r="G5" s="3499" t="s">
        <v>3043</v>
      </c>
      <c r="H5" s="3499" t="s">
        <v>3054</v>
      </c>
      <c r="I5" s="3499">
        <v>144000</v>
      </c>
      <c r="J5" s="3499">
        <v>145000</v>
      </c>
      <c r="K5" s="3499">
        <v>15179.75</v>
      </c>
      <c r="L5" s="3499">
        <v>0.69</v>
      </c>
      <c r="M5" s="3499" t="s">
        <v>3055</v>
      </c>
    </row>
    <row r="6" spans="1:13">
      <c r="A6" s="3498" t="s">
        <v>3057</v>
      </c>
      <c r="B6" s="3498" t="s">
        <v>3041</v>
      </c>
      <c r="C6" s="3498" t="s">
        <v>3042</v>
      </c>
      <c r="D6" s="3498">
        <v>11899.9</v>
      </c>
      <c r="E6" s="3498">
        <v>37800</v>
      </c>
      <c r="F6" s="3501">
        <v>3.18</v>
      </c>
      <c r="G6" s="3498" t="s">
        <v>3043</v>
      </c>
      <c r="H6" s="3498" t="s">
        <v>3059</v>
      </c>
      <c r="I6" s="3498">
        <v>61500</v>
      </c>
      <c r="J6" s="3498">
        <v>78500</v>
      </c>
      <c r="K6" s="3498">
        <v>20767.2</v>
      </c>
      <c r="L6" s="3498">
        <v>27.64</v>
      </c>
      <c r="M6" s="3498" t="s">
        <v>3049</v>
      </c>
    </row>
    <row r="7" spans="1:13">
      <c r="A7" s="3498" t="s">
        <v>3047</v>
      </c>
      <c r="B7" s="3498" t="s">
        <v>3041</v>
      </c>
      <c r="C7" s="3498" t="s">
        <v>3042</v>
      </c>
      <c r="D7" s="3498">
        <v>29122.2</v>
      </c>
      <c r="E7" s="3498">
        <v>57700</v>
      </c>
      <c r="F7" s="3501">
        <v>1.98</v>
      </c>
      <c r="G7" s="3498" t="s">
        <v>3043</v>
      </c>
      <c r="H7" s="3498" t="s">
        <v>3059</v>
      </c>
      <c r="I7" s="3498">
        <v>105000</v>
      </c>
      <c r="J7" s="3498">
        <v>116000</v>
      </c>
      <c r="K7" s="3498">
        <v>20103.990000000002</v>
      </c>
      <c r="L7" s="3498">
        <v>10.48</v>
      </c>
      <c r="M7" s="3498" t="s">
        <v>3049</v>
      </c>
    </row>
    <row r="8" spans="1:13">
      <c r="A8" s="3498" t="s">
        <v>3060</v>
      </c>
      <c r="B8" s="3498" t="s">
        <v>3041</v>
      </c>
      <c r="C8" s="3498" t="s">
        <v>3042</v>
      </c>
      <c r="D8" s="3498">
        <v>95814.6</v>
      </c>
      <c r="E8" s="3498">
        <v>258400</v>
      </c>
      <c r="F8" s="3501">
        <v>2.7</v>
      </c>
      <c r="G8" s="3498" t="s">
        <v>3043</v>
      </c>
      <c r="H8" s="3498" t="s">
        <v>3062</v>
      </c>
      <c r="I8" s="3498">
        <v>475000</v>
      </c>
      <c r="J8" s="3498">
        <v>475000</v>
      </c>
      <c r="K8" s="3498">
        <v>18382.34</v>
      </c>
      <c r="L8" s="3498">
        <v>0</v>
      </c>
      <c r="M8" s="3498" t="s">
        <v>3063</v>
      </c>
    </row>
    <row r="9" spans="1:13">
      <c r="A9" s="3498" t="s">
        <v>3071</v>
      </c>
      <c r="B9" s="3498" t="s">
        <v>3041</v>
      </c>
      <c r="C9" s="3498" t="s">
        <v>3042</v>
      </c>
      <c r="D9" s="3498">
        <v>41866.5</v>
      </c>
      <c r="E9" s="3498">
        <v>101193</v>
      </c>
      <c r="F9" s="3501">
        <v>2.42</v>
      </c>
      <c r="G9" s="3498" t="s">
        <v>3043</v>
      </c>
      <c r="H9" s="3498" t="s">
        <v>3072</v>
      </c>
      <c r="I9" s="3498">
        <v>165000</v>
      </c>
      <c r="J9" s="3498">
        <v>165000</v>
      </c>
      <c r="K9" s="3498">
        <v>16305.47</v>
      </c>
      <c r="L9" s="3498">
        <v>0</v>
      </c>
      <c r="M9" s="3498" t="s">
        <v>3073</v>
      </c>
    </row>
    <row r="10" spans="1:13" s="3502" customFormat="1">
      <c r="A10" s="3497" t="s">
        <v>3074</v>
      </c>
      <c r="B10" s="3497" t="s">
        <v>3041</v>
      </c>
      <c r="C10" s="3497" t="s">
        <v>3042</v>
      </c>
      <c r="D10" s="3497">
        <v>51315.7</v>
      </c>
      <c r="E10" s="3497">
        <v>106233.1</v>
      </c>
      <c r="F10" s="3497">
        <v>2.0699999999999998</v>
      </c>
      <c r="G10" s="3497" t="s">
        <v>3043</v>
      </c>
      <c r="H10" s="3497" t="s">
        <v>3075</v>
      </c>
      <c r="I10" s="3497">
        <v>270000</v>
      </c>
      <c r="J10" s="3497">
        <v>270000</v>
      </c>
      <c r="K10" s="3497">
        <v>25415.81</v>
      </c>
      <c r="L10" s="3497">
        <v>0</v>
      </c>
      <c r="M10" s="3497" t="s">
        <v>3076</v>
      </c>
    </row>
    <row r="11" spans="1:13" s="3502" customFormat="1">
      <c r="A11" s="3497" t="s">
        <v>3077</v>
      </c>
      <c r="B11" s="3497" t="s">
        <v>3041</v>
      </c>
      <c r="C11" s="3497" t="s">
        <v>3042</v>
      </c>
      <c r="D11" s="3497">
        <v>43280.5</v>
      </c>
      <c r="E11" s="3497">
        <v>113600</v>
      </c>
      <c r="F11" s="3497">
        <v>2.62</v>
      </c>
      <c r="G11" s="3497" t="s">
        <v>3043</v>
      </c>
      <c r="H11" s="3497" t="s">
        <v>3078</v>
      </c>
      <c r="I11" s="3497">
        <v>232000</v>
      </c>
      <c r="J11" s="3497">
        <v>324000</v>
      </c>
      <c r="K11" s="3497">
        <v>28521.13</v>
      </c>
      <c r="L11" s="3497">
        <v>39.659999999999997</v>
      </c>
      <c r="M11" s="3497" t="s">
        <v>3079</v>
      </c>
    </row>
    <row r="12" spans="1:13">
      <c r="A12" s="3498" t="s">
        <v>3080</v>
      </c>
      <c r="B12" s="3498" t="s">
        <v>3041</v>
      </c>
      <c r="C12" s="3498" t="s">
        <v>3042</v>
      </c>
      <c r="D12" s="3498">
        <v>52482.400000000001</v>
      </c>
      <c r="E12" s="3498">
        <v>180000</v>
      </c>
      <c r="F12" s="3501">
        <v>3.43</v>
      </c>
      <c r="G12" s="3498" t="s">
        <v>3043</v>
      </c>
      <c r="H12" s="3498" t="s">
        <v>3081</v>
      </c>
      <c r="I12" s="3498">
        <v>350000</v>
      </c>
      <c r="J12" s="3498">
        <v>352000</v>
      </c>
      <c r="K12" s="3498">
        <v>19555.560000000001</v>
      </c>
      <c r="L12" s="3498">
        <v>0.56999999999999995</v>
      </c>
      <c r="M12" s="3498" t="s">
        <v>3082</v>
      </c>
    </row>
    <row r="13" spans="1:13">
      <c r="A13" s="3498" t="s">
        <v>3083</v>
      </c>
      <c r="B13" s="3498" t="s">
        <v>3041</v>
      </c>
      <c r="C13" s="3498" t="s">
        <v>3042</v>
      </c>
      <c r="D13" s="3498">
        <v>29427.4</v>
      </c>
      <c r="E13" s="3498">
        <v>64000</v>
      </c>
      <c r="F13" s="3501">
        <v>2.17</v>
      </c>
      <c r="G13" s="3498" t="s">
        <v>3043</v>
      </c>
      <c r="H13" s="3498" t="s">
        <v>3084</v>
      </c>
      <c r="I13" s="3498">
        <v>230000</v>
      </c>
      <c r="J13" s="3498">
        <v>307200</v>
      </c>
      <c r="K13" s="3498">
        <v>48000</v>
      </c>
      <c r="L13" s="3498">
        <v>33.57</v>
      </c>
      <c r="M13" s="3498" t="s">
        <v>3085</v>
      </c>
    </row>
    <row r="14" spans="1:13">
      <c r="A14" s="3498" t="s">
        <v>3086</v>
      </c>
      <c r="B14" s="3498" t="s">
        <v>3041</v>
      </c>
      <c r="C14" s="3498" t="s">
        <v>3042</v>
      </c>
      <c r="D14" s="3498">
        <v>60300.4</v>
      </c>
      <c r="E14" s="3498">
        <v>152000</v>
      </c>
      <c r="F14" s="3501">
        <v>2.52</v>
      </c>
      <c r="G14" s="3498" t="s">
        <v>3043</v>
      </c>
      <c r="H14" s="3498" t="s">
        <v>3087</v>
      </c>
      <c r="I14" s="3498">
        <v>440000</v>
      </c>
      <c r="J14" s="3498">
        <v>565000</v>
      </c>
      <c r="K14" s="3498">
        <v>37171.050000000003</v>
      </c>
      <c r="L14" s="3498">
        <v>28.41</v>
      </c>
      <c r="M14" s="3498" t="s">
        <v>3088</v>
      </c>
    </row>
    <row r="15" spans="1:13" s="3502" customFormat="1">
      <c r="A15" s="3497" t="s">
        <v>3089</v>
      </c>
      <c r="B15" s="3497" t="s">
        <v>3041</v>
      </c>
      <c r="C15" s="3497" t="s">
        <v>3042</v>
      </c>
      <c r="D15" s="3497">
        <v>38704.300000000003</v>
      </c>
      <c r="E15" s="3497">
        <v>80000</v>
      </c>
      <c r="F15" s="3497">
        <v>2.0699999999999998</v>
      </c>
      <c r="G15" s="3497" t="s">
        <v>3043</v>
      </c>
      <c r="H15" s="3497" t="s">
        <v>3090</v>
      </c>
      <c r="I15" s="3497">
        <v>163000</v>
      </c>
      <c r="J15" s="3497">
        <v>244500</v>
      </c>
      <c r="K15" s="3497">
        <v>30562.5</v>
      </c>
      <c r="L15" s="3497">
        <v>50</v>
      </c>
      <c r="M15" s="3497" t="s">
        <v>3091</v>
      </c>
    </row>
    <row r="16" spans="1:13">
      <c r="A16" s="3498" t="s">
        <v>3092</v>
      </c>
      <c r="B16" s="3498" t="s">
        <v>3041</v>
      </c>
      <c r="C16" s="3498" t="s">
        <v>3042</v>
      </c>
      <c r="D16" s="3498">
        <v>24823.8</v>
      </c>
      <c r="E16" s="3498">
        <v>65500</v>
      </c>
      <c r="F16" s="3501">
        <v>2.64</v>
      </c>
      <c r="G16" s="3498" t="s">
        <v>3043</v>
      </c>
      <c r="H16" s="3498" t="s">
        <v>3093</v>
      </c>
      <c r="I16" s="3498">
        <v>200000</v>
      </c>
      <c r="J16" s="3498">
        <v>278000</v>
      </c>
      <c r="K16" s="3498">
        <v>42442.75</v>
      </c>
      <c r="L16" s="3498">
        <v>39</v>
      </c>
      <c r="M16" s="3498" t="s">
        <v>3094</v>
      </c>
    </row>
    <row r="17" spans="1:13">
      <c r="A17" s="3498" t="s">
        <v>3095</v>
      </c>
      <c r="B17" s="3498" t="s">
        <v>3041</v>
      </c>
      <c r="C17" s="3498" t="s">
        <v>3042</v>
      </c>
      <c r="D17" s="3498">
        <v>7495.4</v>
      </c>
      <c r="E17" s="3498">
        <v>14990</v>
      </c>
      <c r="F17" s="3501">
        <v>2</v>
      </c>
      <c r="G17" s="3498" t="s">
        <v>3043</v>
      </c>
      <c r="H17" s="3498" t="s">
        <v>3096</v>
      </c>
      <c r="I17" s="3498">
        <v>37500</v>
      </c>
      <c r="J17" s="3498">
        <v>42500</v>
      </c>
      <c r="K17" s="3498">
        <v>28352.22</v>
      </c>
      <c r="L17" s="3498">
        <v>13.33</v>
      </c>
      <c r="M17" s="3498" t="s">
        <v>3097</v>
      </c>
    </row>
    <row r="18" spans="1:13">
      <c r="A18" s="3500" t="s">
        <v>3098</v>
      </c>
      <c r="B18" s="3500" t="s">
        <v>3041</v>
      </c>
      <c r="C18" s="3500" t="s">
        <v>3042</v>
      </c>
      <c r="D18" s="3500">
        <v>64392.4</v>
      </c>
      <c r="E18" s="3500">
        <v>134900</v>
      </c>
      <c r="F18" s="3500">
        <v>2.09</v>
      </c>
      <c r="G18" s="3500" t="s">
        <v>3043</v>
      </c>
      <c r="H18" s="3500" t="s">
        <v>3099</v>
      </c>
      <c r="I18" s="3500">
        <v>210000</v>
      </c>
      <c r="J18" s="3500">
        <v>414000</v>
      </c>
      <c r="K18" s="3500">
        <v>30689.4</v>
      </c>
      <c r="L18" s="3500">
        <v>97.14</v>
      </c>
      <c r="M18" s="3500" t="s">
        <v>3100</v>
      </c>
    </row>
    <row r="19" spans="1:13">
      <c r="A19" s="3498" t="s">
        <v>3101</v>
      </c>
      <c r="B19" s="3498" t="s">
        <v>3041</v>
      </c>
      <c r="C19" s="3498" t="s">
        <v>3042</v>
      </c>
      <c r="D19" s="3498">
        <v>42074.9</v>
      </c>
      <c r="E19" s="3498">
        <v>96700</v>
      </c>
      <c r="F19" s="3501">
        <v>2.2999999999999998</v>
      </c>
      <c r="G19" s="3498" t="s">
        <v>3043</v>
      </c>
      <c r="H19" s="3498" t="s">
        <v>3102</v>
      </c>
      <c r="I19" s="3498">
        <v>250000</v>
      </c>
      <c r="J19" s="3498">
        <v>474000</v>
      </c>
      <c r="K19" s="3498">
        <v>49017.58</v>
      </c>
      <c r="L19" s="3498">
        <v>89.6</v>
      </c>
      <c r="M19" s="3498" t="s">
        <v>3103</v>
      </c>
    </row>
    <row r="20" spans="1:13">
      <c r="A20" s="3498" t="s">
        <v>3104</v>
      </c>
      <c r="B20" s="3498" t="s">
        <v>3041</v>
      </c>
      <c r="C20" s="3498" t="s">
        <v>3042</v>
      </c>
      <c r="D20" s="3498">
        <v>68810.7</v>
      </c>
      <c r="E20" s="3498">
        <v>210000</v>
      </c>
      <c r="F20" s="3501">
        <v>3.05</v>
      </c>
      <c r="G20" s="3498" t="s">
        <v>3043</v>
      </c>
      <c r="H20" s="3498" t="s">
        <v>3105</v>
      </c>
      <c r="I20" s="3498">
        <v>379800</v>
      </c>
      <c r="J20" s="3498">
        <v>535000</v>
      </c>
      <c r="K20" s="3498">
        <v>25476.18</v>
      </c>
      <c r="L20" s="3498">
        <v>40.86</v>
      </c>
      <c r="M20" s="3498" t="s">
        <v>3106</v>
      </c>
    </row>
    <row r="21" spans="1:13">
      <c r="A21" s="3498" t="s">
        <v>3107</v>
      </c>
      <c r="B21" s="3498" t="s">
        <v>3041</v>
      </c>
      <c r="C21" s="3498" t="s">
        <v>3042</v>
      </c>
      <c r="D21" s="3498">
        <v>110415.7</v>
      </c>
      <c r="E21" s="3498">
        <v>330130</v>
      </c>
      <c r="F21" s="3501">
        <v>2.99</v>
      </c>
      <c r="G21" s="3498" t="s">
        <v>3043</v>
      </c>
      <c r="H21" s="3498" t="s">
        <v>3108</v>
      </c>
      <c r="I21" s="3498">
        <v>257500</v>
      </c>
      <c r="J21" s="3498">
        <v>478000</v>
      </c>
      <c r="K21" s="3498">
        <v>14479.13</v>
      </c>
      <c r="L21" s="3498">
        <v>85.63</v>
      </c>
      <c r="M21" s="3498" t="s">
        <v>3109</v>
      </c>
    </row>
    <row r="22" spans="1:13">
      <c r="A22" s="3498" t="s">
        <v>3110</v>
      </c>
      <c r="B22" s="3498" t="s">
        <v>3041</v>
      </c>
      <c r="C22" s="3498" t="s">
        <v>3042</v>
      </c>
      <c r="D22" s="3498">
        <v>18190</v>
      </c>
      <c r="E22" s="3498">
        <v>75000</v>
      </c>
      <c r="F22" s="3501">
        <v>4.12</v>
      </c>
      <c r="G22" s="3498" t="s">
        <v>3043</v>
      </c>
      <c r="H22" s="3498" t="s">
        <v>3111</v>
      </c>
      <c r="I22" s="3498">
        <v>85000</v>
      </c>
      <c r="J22" s="3498">
        <v>181000</v>
      </c>
      <c r="K22" s="3498">
        <v>24133.33</v>
      </c>
      <c r="L22" s="3498">
        <v>112.94</v>
      </c>
      <c r="M22" s="3498" t="s">
        <v>3112</v>
      </c>
    </row>
    <row r="23" spans="1:13">
      <c r="A23" s="3498" t="s">
        <v>3113</v>
      </c>
      <c r="B23" s="3498" t="s">
        <v>3041</v>
      </c>
      <c r="C23" s="3498" t="s">
        <v>3042</v>
      </c>
      <c r="D23" s="3498">
        <v>52242.8</v>
      </c>
      <c r="E23" s="3498">
        <v>277600</v>
      </c>
      <c r="F23" s="3501">
        <v>5.31</v>
      </c>
      <c r="G23" s="3498" t="s">
        <v>3114</v>
      </c>
      <c r="H23" s="3498" t="s">
        <v>3115</v>
      </c>
      <c r="I23" s="3498">
        <v>450000</v>
      </c>
      <c r="J23" s="3498">
        <v>1020000</v>
      </c>
      <c r="K23" s="3498">
        <v>36743.51</v>
      </c>
      <c r="L23" s="3498">
        <v>126.67</v>
      </c>
      <c r="M23" s="3498" t="s">
        <v>3116</v>
      </c>
    </row>
    <row r="24" spans="1:13">
      <c r="A24" s="3498" t="s">
        <v>3117</v>
      </c>
      <c r="B24" s="3498" t="s">
        <v>3041</v>
      </c>
      <c r="C24" s="3498" t="s">
        <v>3042</v>
      </c>
      <c r="D24" s="3498">
        <v>45511.3</v>
      </c>
      <c r="E24" s="3498">
        <v>149300</v>
      </c>
      <c r="F24" s="3501">
        <v>3.28</v>
      </c>
      <c r="G24" s="3498" t="s">
        <v>3043</v>
      </c>
      <c r="H24" s="3498" t="s">
        <v>3118</v>
      </c>
      <c r="I24" s="3498">
        <v>194000</v>
      </c>
      <c r="J24" s="3498">
        <v>194300</v>
      </c>
      <c r="K24" s="3498">
        <v>13014.06</v>
      </c>
      <c r="L24" s="3498">
        <v>0.15</v>
      </c>
      <c r="M24" s="3498" t="s">
        <v>3119</v>
      </c>
    </row>
    <row r="25" spans="1:13">
      <c r="A25" s="3498" t="s">
        <v>3120</v>
      </c>
      <c r="B25" s="3498" t="s">
        <v>3041</v>
      </c>
      <c r="C25" s="3498" t="s">
        <v>3042</v>
      </c>
      <c r="D25" s="3498">
        <v>32717.8</v>
      </c>
      <c r="E25" s="3498">
        <v>70310</v>
      </c>
      <c r="F25" s="3501">
        <v>2.15</v>
      </c>
      <c r="G25" s="3498" t="s">
        <v>3043</v>
      </c>
      <c r="H25" s="3498" t="s">
        <v>3121</v>
      </c>
      <c r="I25" s="3498">
        <v>65390</v>
      </c>
      <c r="J25" s="3498">
        <v>165000</v>
      </c>
      <c r="K25" s="3498">
        <v>23467.5</v>
      </c>
      <c r="L25" s="3498">
        <v>152.33000000000001</v>
      </c>
      <c r="M25" s="3498" t="s">
        <v>3122</v>
      </c>
    </row>
    <row r="26" spans="1:13">
      <c r="A26" s="3498" t="s">
        <v>3123</v>
      </c>
      <c r="B26" s="3498" t="s">
        <v>3041</v>
      </c>
      <c r="C26" s="3498" t="s">
        <v>3042</v>
      </c>
      <c r="D26" s="3498">
        <v>27164.799999999999</v>
      </c>
      <c r="E26" s="3498">
        <v>92900</v>
      </c>
      <c r="F26" s="3501">
        <v>3.42</v>
      </c>
      <c r="G26" s="3498" t="s">
        <v>3043</v>
      </c>
      <c r="H26" s="3498" t="s">
        <v>3124</v>
      </c>
      <c r="I26" s="3498">
        <v>71480</v>
      </c>
      <c r="J26" s="3498">
        <v>132000</v>
      </c>
      <c r="K26" s="3498">
        <v>14208.82</v>
      </c>
      <c r="L26" s="3498">
        <v>84.67</v>
      </c>
      <c r="M26" s="3498" t="s">
        <v>3125</v>
      </c>
    </row>
    <row r="27" spans="1:13">
      <c r="A27" s="3498" t="s">
        <v>3126</v>
      </c>
      <c r="B27" s="3498" t="s">
        <v>3041</v>
      </c>
      <c r="C27" s="3498" t="s">
        <v>3042</v>
      </c>
      <c r="D27" s="3498">
        <v>125926.39999999999</v>
      </c>
      <c r="E27" s="3498">
        <v>281700</v>
      </c>
      <c r="F27" s="3501">
        <v>2.2400000000000002</v>
      </c>
      <c r="G27" s="3498" t="s">
        <v>3043</v>
      </c>
      <c r="H27" s="3498" t="s">
        <v>3127</v>
      </c>
      <c r="I27" s="3498">
        <v>410000</v>
      </c>
      <c r="J27" s="3498">
        <v>410000</v>
      </c>
      <c r="K27" s="3498">
        <v>14554.48</v>
      </c>
      <c r="L27" s="3498">
        <v>0</v>
      </c>
      <c r="M27" s="3498" t="s">
        <v>3128</v>
      </c>
    </row>
    <row r="28" spans="1:13">
      <c r="A28" s="3498" t="s">
        <v>3129</v>
      </c>
      <c r="B28" s="3498" t="s">
        <v>3041</v>
      </c>
      <c r="C28" s="3498" t="s">
        <v>3130</v>
      </c>
      <c r="D28" s="3498">
        <v>8935.2999999999993</v>
      </c>
      <c r="E28" s="3498">
        <v>27900</v>
      </c>
      <c r="F28" s="3501">
        <v>3.12</v>
      </c>
      <c r="G28" s="3498" t="s">
        <v>3043</v>
      </c>
      <c r="H28" s="3498" t="s">
        <v>3131</v>
      </c>
      <c r="I28" s="3498">
        <v>42600</v>
      </c>
      <c r="J28" s="3498">
        <v>99000</v>
      </c>
      <c r="K28" s="3498">
        <v>35483.870000000003</v>
      </c>
      <c r="L28" s="3498">
        <v>132.38999999999999</v>
      </c>
      <c r="M28" s="3498" t="s">
        <v>3132</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10</v>
      </c>
    </row>
    <row r="2" spans="1:31" s="2026" customFormat="1" ht="18" customHeight="1">
      <c r="A2" s="2086" t="s">
        <v>467</v>
      </c>
      <c r="B2" s="2090">
        <f ca="1">C36</f>
        <v>245771</v>
      </c>
      <c r="C2" s="2089"/>
      <c r="D2" s="2089"/>
      <c r="E2" s="2089"/>
      <c r="F2" s="2089"/>
      <c r="G2" s="2089"/>
      <c r="H2" s="2089"/>
      <c r="I2" s="2089"/>
      <c r="J2" s="2089"/>
      <c r="K2" s="2089"/>
    </row>
    <row r="3" spans="1:31" s="2026" customFormat="1" ht="18" customHeight="1">
      <c r="A3" s="2091" t="s">
        <v>1684</v>
      </c>
      <c r="B3" s="2092">
        <f ca="1">ROUND(B2*10000/IF(B1="",'数据-汇总表'!E3,INDIRECT("'数据-取费表'!K"&amp;$K$1)),0)</f>
        <v>21972</v>
      </c>
      <c r="C3" s="2089"/>
      <c r="D3" s="2089"/>
      <c r="E3" s="2089"/>
      <c r="F3" s="2089"/>
      <c r="G3" s="2089"/>
      <c r="H3" s="2089"/>
      <c r="I3" s="2089"/>
      <c r="J3" s="2089"/>
      <c r="K3" s="2089"/>
    </row>
    <row r="4" spans="1:31" s="2026" customFormat="1" ht="18" customHeight="1">
      <c r="A4" s="426" t="s">
        <v>468</v>
      </c>
      <c r="B4" s="427">
        <f ca="1">ROUND(B2*10000/IF(B1="",'数据-汇总表'!D3,INDIRECT("'数据-取费表'!R"&amp;$K$1)),0)</f>
        <v>67646</v>
      </c>
      <c r="C4" s="428"/>
      <c r="D4" s="422"/>
      <c r="E4" s="422"/>
      <c r="F4" s="422"/>
      <c r="G4" s="422"/>
      <c r="H4" s="422"/>
      <c r="I4" s="422"/>
      <c r="J4" s="422"/>
      <c r="K4" s="422"/>
    </row>
    <row r="5" spans="1:31" s="2026" customFormat="1" ht="18" customHeight="1" thickBot="1">
      <c r="A5" s="429"/>
      <c r="B5" s="430">
        <f ca="1">ROUND(B2/(IF(B1="",'数据-汇总表'!D3,INDIRECT("'数据-取费表'!R"&amp;$K$1))/666.67),0)</f>
        <v>4510</v>
      </c>
      <c r="C5" s="431" t="s">
        <v>469</v>
      </c>
      <c r="D5" s="422"/>
      <c r="E5" s="422"/>
      <c r="F5" s="422"/>
      <c r="G5" s="422"/>
      <c r="H5" s="422"/>
      <c r="I5" s="422"/>
      <c r="J5" s="422"/>
      <c r="K5" s="422"/>
    </row>
    <row r="6" spans="1:31" s="2096" customFormat="1" ht="16.5" customHeight="1">
      <c r="A6" s="2783" t="s">
        <v>1842</v>
      </c>
      <c r="B6" s="2784"/>
      <c r="C6" s="2785">
        <f>SUM(C10:K10)</f>
        <v>361622</v>
      </c>
      <c r="D6" s="2784"/>
      <c r="E6" s="2784"/>
      <c r="F6" s="2784"/>
      <c r="G6" s="2784"/>
      <c r="H6" s="2784"/>
      <c r="I6" s="2784"/>
      <c r="J6" s="2784"/>
      <c r="K6" s="2786"/>
    </row>
    <row r="7" spans="1:31" s="2098" customFormat="1" ht="15">
      <c r="A7" s="2787" t="s">
        <v>470</v>
      </c>
      <c r="B7" s="2788" t="s">
        <v>471</v>
      </c>
      <c r="C7" s="436" t="s">
        <v>3015</v>
      </c>
      <c r="D7" s="436" t="s">
        <v>3017</v>
      </c>
      <c r="E7" s="436" t="s">
        <v>2999</v>
      </c>
      <c r="F7" s="436" t="s">
        <v>35</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50000</v>
      </c>
      <c r="D8" s="2789">
        <v>45000</v>
      </c>
      <c r="E8" s="2789">
        <v>50000</v>
      </c>
      <c r="F8" s="2789">
        <v>150000</v>
      </c>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8484.39</v>
      </c>
      <c r="D9" s="441">
        <f>SUMIF('数据-汇总表'!$C19:$C33,'剩余法-待开发'!D7,'数据-汇总表'!$E19:$E33)</f>
        <v>68265.61</v>
      </c>
      <c r="E9" s="441">
        <f>SUMIF('数据-汇总表'!$C19:$C33,'剩余法-待开发'!E7,'数据-汇总表'!$E19:$E33)</f>
        <v>1480</v>
      </c>
      <c r="F9" s="441">
        <f>SUMIF('数据-汇总表'!$C19:$C33,'剩余法-待开发'!F7,'数据-汇总表'!$E19:$E33)</f>
        <v>27784.36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v>307</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42422</v>
      </c>
      <c r="D10" s="2981">
        <f t="shared" ref="D10:E10" si="0">ROUND(D8*D9/10000,0)</f>
        <v>307195</v>
      </c>
      <c r="E10" s="2981">
        <f t="shared" si="0"/>
        <v>7400</v>
      </c>
      <c r="F10" s="2792">
        <f>F8*L9/10000</f>
        <v>4605</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30719</v>
      </c>
      <c r="D13" s="2799"/>
      <c r="E13" s="2800"/>
      <c r="F13" s="2801"/>
      <c r="G13" s="2767"/>
      <c r="H13" s="2768"/>
      <c r="I13" s="2768"/>
      <c r="J13" s="2768"/>
      <c r="K13" s="2769"/>
    </row>
    <row r="14" spans="1:31" s="2101" customFormat="1" ht="13.5" customHeight="1">
      <c r="A14" s="2797" t="s">
        <v>1849</v>
      </c>
      <c r="B14" s="2798" t="s">
        <v>480</v>
      </c>
      <c r="C14" s="53">
        <f ca="1">ROUND(C13*F14,0)</f>
        <v>922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1211</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2237</v>
      </c>
      <c r="D16" s="2799">
        <f ca="1">IF(B1="",'数据-汇总表'!E3,INDIRECT("'数据-取费表'!K"&amp;$K$1)+INDIRECT("'数据-取费表'!S"&amp;$K$1))</f>
        <v>111854.36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461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35550</v>
      </c>
      <c r="D18" s="2808"/>
      <c r="E18" s="468"/>
      <c r="F18" s="468"/>
      <c r="G18" s="2771" t="s">
        <v>2428</v>
      </c>
      <c r="H18" s="2772"/>
      <c r="I18" s="2772"/>
      <c r="J18" s="2772"/>
      <c r="K18" s="2773"/>
    </row>
    <row r="19" spans="1:14" s="2101" customFormat="1" ht="13.5" customHeight="1">
      <c r="A19" s="2805" t="s">
        <v>1854</v>
      </c>
      <c r="B19" s="2806" t="s">
        <v>488</v>
      </c>
      <c r="C19" s="2763">
        <f ca="1">ROUND(D19*E19/10000,0)</f>
        <v>1678</v>
      </c>
      <c r="D19" s="2809">
        <f ca="1">D16</f>
        <v>111854.36</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4847</v>
      </c>
      <c r="D20" s="2809"/>
      <c r="E20" s="2763"/>
      <c r="F20" s="2810"/>
      <c r="G20" s="3040"/>
      <c r="H20" s="2765"/>
      <c r="I20" s="2766" t="s">
        <v>2648</v>
      </c>
      <c r="J20" s="2772"/>
      <c r="K20" s="2773"/>
    </row>
    <row r="21" spans="1:14" s="2101" customFormat="1" ht="13.5" customHeight="1">
      <c r="A21" s="2797" t="s">
        <v>1856</v>
      </c>
      <c r="B21" s="2798" t="s">
        <v>491</v>
      </c>
      <c r="C21" s="53">
        <f ca="1">ROUND(D21*E21/10000,0)</f>
        <v>3162</v>
      </c>
      <c r="D21" s="2799">
        <f ca="1">IF(B1="",'数据-汇总表'!E5,IF(INDIRECT("'数据-取费表'!c"&amp;$K$1)="住宅",INDIRECT("'数据-取费表'!k"&amp;$K$1),0))</f>
        <v>76750</v>
      </c>
      <c r="E21" s="53">
        <f>'数据-取费表'!B27</f>
        <v>412</v>
      </c>
      <c r="F21" s="2802"/>
      <c r="G21" s="26"/>
      <c r="H21" s="51"/>
      <c r="I21" s="51"/>
      <c r="J21" s="51"/>
      <c r="K21" s="2774"/>
    </row>
    <row r="22" spans="1:14" s="2101" customFormat="1" ht="13.5" customHeight="1">
      <c r="A22" s="2797" t="s">
        <v>1857</v>
      </c>
      <c r="B22" s="2798" t="s">
        <v>492</v>
      </c>
      <c r="C22" s="53">
        <f ca="1">ROUND(D22*E22/10000,0)</f>
        <v>1685</v>
      </c>
      <c r="D22" s="2799">
        <f ca="1">IF(B1="",'数据-汇总表'!E6,IF(INDIRECT("'数据-取费表'!c"&amp;$K$1)="住宅",INDIRECT("'数据-取费表'!s"&amp;$K$1),INDIRECT("'数据-取费表'!k"&amp;$K$1)+INDIRECT("'数据-取费表'!s"&amp;$K$1)))</f>
        <v>35104.36</v>
      </c>
      <c r="E22" s="53">
        <f>'数据-取费表'!B28</f>
        <v>480</v>
      </c>
      <c r="F22" s="2802"/>
      <c r="G22" s="26"/>
      <c r="H22" s="51"/>
      <c r="I22" s="51"/>
      <c r="J22" s="51"/>
      <c r="K22" s="2774"/>
    </row>
    <row r="23" spans="1:14" s="2101" customFormat="1" ht="13.5" customHeight="1">
      <c r="A23" s="2805" t="s">
        <v>1858</v>
      </c>
      <c r="B23" s="2987" t="s">
        <v>2831</v>
      </c>
      <c r="C23" s="2807">
        <f ca="1">ROUND((C18+C19+C20)*F23,0)</f>
        <v>842</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2834</v>
      </c>
      <c r="C24" s="2807">
        <f>ROUND(C6*F24,0)</f>
        <v>7232</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2382</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2382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19459</v>
      </c>
      <c r="D29" s="468"/>
      <c r="E29" s="468"/>
      <c r="F29" s="2989">
        <f>'数据-取费表'!B41</f>
        <v>5.6500000000000002E-2</v>
      </c>
      <c r="G29" s="2776" t="s">
        <v>498</v>
      </c>
      <c r="H29" s="2768"/>
      <c r="I29" s="2768"/>
      <c r="J29" s="2768"/>
      <c r="K29" s="2769"/>
    </row>
    <row r="30" spans="1:14" s="2106" customFormat="1" ht="13.5" customHeight="1">
      <c r="A30" s="1620" t="s">
        <v>1863</v>
      </c>
      <c r="B30" s="2817" t="s">
        <v>500</v>
      </c>
      <c r="C30" s="2812">
        <f ca="1">C31</f>
        <v>71990</v>
      </c>
      <c r="D30" s="477">
        <f ca="1">C32</f>
        <v>0.12909999999999999</v>
      </c>
      <c r="E30" s="469" t="s">
        <v>495</v>
      </c>
      <c r="F30" s="471"/>
      <c r="G30" s="2775" t="s">
        <v>2970</v>
      </c>
      <c r="H30" s="2768"/>
      <c r="I30" s="2768"/>
      <c r="J30" s="2768"/>
      <c r="K30" s="2769"/>
    </row>
    <row r="31" spans="1:14" s="2105" customFormat="1" ht="13.5" customHeight="1">
      <c r="A31" s="803" t="s">
        <v>1856</v>
      </c>
      <c r="B31" s="2813"/>
      <c r="C31" s="450">
        <f ca="1">C18+C19+C20+C23+C24+C26+C29</f>
        <v>71990</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2006</v>
      </c>
      <c r="D33" s="467">
        <f ca="1">C34</f>
        <v>4.1200000000000001E-2</v>
      </c>
      <c r="E33" s="469" t="s">
        <v>495</v>
      </c>
      <c r="F33" s="479">
        <f ca="1">IF(B1="",'数据-取费表'!Q16,INDIRECT("'数据-取费表'!q"&amp;$K$1))</f>
        <v>0.04</v>
      </c>
      <c r="G33" s="2771"/>
      <c r="H33" s="2772"/>
      <c r="I33" s="2772"/>
      <c r="J33" s="2772"/>
      <c r="K33" s="2773"/>
    </row>
    <row r="34" spans="1:11" s="2108" customFormat="1" ht="13.5" customHeight="1">
      <c r="A34" s="375" t="s">
        <v>1856</v>
      </c>
      <c r="B34" s="2818" t="s">
        <v>501</v>
      </c>
      <c r="C34" s="472">
        <f ca="1">ROUND((1+C25)*F33,4)</f>
        <v>4.1200000000000001E-2</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2006</v>
      </c>
      <c r="D35" s="1614"/>
      <c r="E35" s="2819"/>
      <c r="F35" s="1615"/>
      <c r="G35" s="2777"/>
      <c r="H35" s="2778"/>
      <c r="I35" s="2778"/>
      <c r="J35" s="2778"/>
      <c r="K35" s="2779"/>
    </row>
    <row r="36" spans="1:11" s="2070" customFormat="1" ht="13.5" customHeight="1" thickBot="1">
      <c r="A36" s="284" t="s">
        <v>1844</v>
      </c>
      <c r="B36" s="2781"/>
      <c r="C36" s="2820">
        <f ca="1">ROUND((C6-C30-C33)/(1+D30+D33),0)</f>
        <v>245771</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10</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30719</v>
      </c>
      <c r="D13" s="451"/>
      <c r="E13" s="365"/>
      <c r="F13" s="452"/>
      <c r="G13" s="444"/>
      <c r="H13" s="447"/>
      <c r="I13" s="447"/>
      <c r="J13" s="447"/>
      <c r="K13" s="448"/>
    </row>
    <row r="14" spans="1:41" s="2101" customFormat="1" ht="13.5" customHeight="1">
      <c r="A14" s="1618" t="s">
        <v>1849</v>
      </c>
      <c r="B14" s="449" t="s">
        <v>480</v>
      </c>
      <c r="C14" s="53">
        <f ca="1">ROUND(C13*F14,0)</f>
        <v>922</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1211</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2237</v>
      </c>
      <c r="D16" s="451">
        <f ca="1">IF(B1="",'数据-汇总表'!E3,INDIRECT("'数据-取费表'!K"&amp;$K$1)+INDIRECT("'数据-取费表'!S"&amp;$K$1))</f>
        <v>111854.36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461</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35550</v>
      </c>
      <c r="D18" s="461"/>
      <c r="E18" s="462"/>
      <c r="F18" s="462"/>
      <c r="G18" s="1323" t="s">
        <v>2430</v>
      </c>
      <c r="H18" s="447"/>
      <c r="I18" s="447"/>
      <c r="J18" s="447"/>
      <c r="K18" s="448"/>
    </row>
    <row r="19" spans="1:14" s="2104" customFormat="1" ht="13.5" customHeight="1">
      <c r="A19" s="1619" t="s">
        <v>1854</v>
      </c>
      <c r="B19" s="459" t="s">
        <v>493</v>
      </c>
      <c r="C19" s="460">
        <f ca="1">ROUND(C18*F19,0)</f>
        <v>711</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1722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1722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1450</v>
      </c>
      <c r="D24" s="489">
        <f ca="1">C26</f>
        <v>8.0000000000000004E-4</v>
      </c>
      <c r="E24" s="469" t="s">
        <v>507</v>
      </c>
      <c r="F24" s="479">
        <f ca="1">IF(B1="",'数据-取费表'!Q16,INDIRECT("'数据-取费表'!q"&amp;$K$1))</f>
        <v>0.04</v>
      </c>
      <c r="G24" s="444"/>
      <c r="H24" s="447"/>
      <c r="I24" s="447"/>
      <c r="J24" s="447"/>
      <c r="K24" s="448"/>
    </row>
    <row r="25" spans="1:14" s="2105" customFormat="1" ht="13.5" customHeight="1">
      <c r="A25" s="1618" t="s">
        <v>1848</v>
      </c>
      <c r="B25" s="1324" t="s">
        <v>2434</v>
      </c>
      <c r="C25" s="490">
        <f ca="1">ROUND((C18+C19)*F24,0)</f>
        <v>1450</v>
      </c>
      <c r="D25" s="472"/>
      <c r="E25" s="473"/>
      <c r="F25" s="480"/>
      <c r="G25" s="1322" t="s">
        <v>2431</v>
      </c>
      <c r="H25" s="457"/>
      <c r="I25" s="457"/>
      <c r="J25" s="457"/>
      <c r="K25" s="458"/>
    </row>
    <row r="26" spans="1:14" s="2105" customFormat="1" ht="13.5" customHeight="1">
      <c r="A26" s="1618" t="s">
        <v>1849</v>
      </c>
      <c r="B26" s="1324" t="s">
        <v>509</v>
      </c>
      <c r="C26" s="491">
        <f ca="1">ROUND(F20*F24,4)</f>
        <v>8.0000000000000004E-4</v>
      </c>
      <c r="D26" s="472"/>
      <c r="E26" s="481"/>
      <c r="F26" s="480"/>
      <c r="G26" s="1322" t="s">
        <v>510</v>
      </c>
      <c r="H26" s="457"/>
      <c r="I26" s="457"/>
      <c r="J26" s="457"/>
      <c r="K26" s="458"/>
    </row>
    <row r="27" spans="1:14" s="2105" customFormat="1" ht="13.5" customHeight="1">
      <c r="A27" s="1622" t="s">
        <v>1867</v>
      </c>
      <c r="B27" s="459" t="s">
        <v>511</v>
      </c>
      <c r="C27" s="2983">
        <f>ROUND(F27/(1+'数据-取费表'!C42),4)</f>
        <v>5.3800000000000001E-2</v>
      </c>
      <c r="D27" s="462" t="s">
        <v>2827</v>
      </c>
      <c r="E27" s="462"/>
      <c r="F27" s="466">
        <f>'数据-取费表'!B41</f>
        <v>5.6500000000000002E-2</v>
      </c>
      <c r="G27" s="1945" t="s">
        <v>2289</v>
      </c>
      <c r="H27" s="447"/>
      <c r="I27" s="447"/>
      <c r="J27" s="447"/>
      <c r="K27" s="448"/>
    </row>
    <row r="28" spans="1:14" s="2106" customFormat="1" ht="13.5" customHeight="1">
      <c r="A28" s="1622" t="s">
        <v>1868</v>
      </c>
      <c r="B28" s="476" t="s">
        <v>512</v>
      </c>
      <c r="C28" s="470">
        <f ca="1">ROUND((C18+C19+C21+C24)/(1-C20-D21-D24-C27),0)</f>
        <v>42658</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7" t="s">
        <v>522</v>
      </c>
      <c r="D6" s="3388"/>
      <c r="E6" s="3411" t="s">
        <v>523</v>
      </c>
      <c r="F6" s="3412"/>
      <c r="G6" s="3387" t="s">
        <v>524</v>
      </c>
      <c r="H6" s="3388"/>
      <c r="I6" s="3387" t="s">
        <v>525</v>
      </c>
      <c r="J6" s="3388"/>
      <c r="K6" s="514" t="s">
        <v>526</v>
      </c>
      <c r="L6" s="2118"/>
      <c r="M6" s="2119"/>
      <c r="N6" s="2119"/>
      <c r="O6" s="2119"/>
      <c r="P6" s="3389" t="s">
        <v>527</v>
      </c>
      <c r="Q6" s="3390"/>
      <c r="R6" s="3375" t="s">
        <v>523</v>
      </c>
      <c r="S6" s="3376"/>
      <c r="T6" s="3375" t="s">
        <v>524</v>
      </c>
      <c r="U6" s="3376"/>
      <c r="V6" s="3395" t="s">
        <v>525</v>
      </c>
      <c r="W6" s="3395"/>
      <c r="X6" s="1553"/>
      <c r="Y6" s="3375" t="s">
        <v>527</v>
      </c>
      <c r="Z6" s="3376"/>
      <c r="AA6" s="3370" t="s">
        <v>523</v>
      </c>
      <c r="AB6" s="3371" t="s">
        <v>524</v>
      </c>
      <c r="AC6" s="3370" t="s">
        <v>525</v>
      </c>
    </row>
    <row r="7" spans="1:29" ht="15">
      <c r="A7" s="515"/>
      <c r="B7" s="516"/>
      <c r="C7" s="3398" t="s">
        <v>2928</v>
      </c>
      <c r="D7" s="3399"/>
      <c r="E7" s="3413" t="s">
        <v>2929</v>
      </c>
      <c r="F7" s="3414"/>
      <c r="G7" s="3398" t="s">
        <v>2930</v>
      </c>
      <c r="H7" s="3399"/>
      <c r="I7" s="3398" t="s">
        <v>2931</v>
      </c>
      <c r="J7" s="3399"/>
      <c r="K7" s="514"/>
      <c r="L7" s="2118"/>
      <c r="M7" s="2119"/>
      <c r="N7" s="2119"/>
      <c r="O7" s="2119"/>
      <c r="P7" s="3391"/>
      <c r="Q7" s="3392"/>
      <c r="R7" s="3377"/>
      <c r="S7" s="3378"/>
      <c r="T7" s="3377"/>
      <c r="U7" s="3378"/>
      <c r="V7" s="3395"/>
      <c r="W7" s="3395"/>
      <c r="X7" s="1553"/>
      <c r="Y7" s="3377"/>
      <c r="Z7" s="3378"/>
      <c r="AA7" s="3371"/>
      <c r="AB7" s="3371"/>
      <c r="AC7" s="3371"/>
    </row>
    <row r="8" spans="1:29" ht="15.75" thickBot="1">
      <c r="A8" s="517"/>
      <c r="B8" s="518"/>
      <c r="C8" s="3396" t="s">
        <v>2932</v>
      </c>
      <c r="D8" s="3397"/>
      <c r="E8" s="3415" t="s">
        <v>2932</v>
      </c>
      <c r="F8" s="3416"/>
      <c r="G8" s="3396" t="s">
        <v>2932</v>
      </c>
      <c r="H8" s="3397"/>
      <c r="I8" s="3396" t="s">
        <v>2932</v>
      </c>
      <c r="J8" s="3397"/>
      <c r="K8" s="514" t="s">
        <v>528</v>
      </c>
      <c r="L8" s="2118"/>
      <c r="M8" s="2119"/>
      <c r="N8" s="2119"/>
      <c r="O8" s="2119"/>
      <c r="P8" s="3393"/>
      <c r="Q8" s="3394"/>
      <c r="R8" s="3377"/>
      <c r="S8" s="3378"/>
      <c r="T8" s="3379"/>
      <c r="U8" s="3380"/>
      <c r="V8" s="3395"/>
      <c r="W8" s="3395"/>
      <c r="X8" s="1553"/>
      <c r="Y8" s="3379"/>
      <c r="Z8" s="3380"/>
      <c r="AA8" s="3372"/>
      <c r="AB8" s="3372"/>
      <c r="AC8" s="3372"/>
    </row>
    <row r="9" spans="1:29" s="1216" customFormat="1" ht="15.75" thickBot="1">
      <c r="A9" s="2867"/>
      <c r="B9" s="2874" t="s">
        <v>529</v>
      </c>
      <c r="C9" s="519">
        <f>'数据-取费表'!B2</f>
        <v>43909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3" t="s">
        <v>530</v>
      </c>
      <c r="Q9" s="3382"/>
      <c r="R9" s="1554" t="s">
        <v>8</v>
      </c>
      <c r="S9" s="1555">
        <f t="shared" ref="S9:S17" si="0">F9</f>
        <v>0</v>
      </c>
      <c r="T9" s="1554" t="s">
        <v>8</v>
      </c>
      <c r="U9" s="1555">
        <f t="shared" ref="U9:U17" si="1">H9</f>
        <v>0</v>
      </c>
      <c r="V9" s="1554" t="s">
        <v>8</v>
      </c>
      <c r="W9" s="1555">
        <f t="shared" ref="W9:W17" si="2">J9</f>
        <v>0</v>
      </c>
      <c r="X9" s="1556"/>
      <c r="Y9" s="3373" t="s">
        <v>530</v>
      </c>
      <c r="Z9" s="3374"/>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3" t="s">
        <v>533</v>
      </c>
      <c r="Q10" s="3374"/>
      <c r="R10" s="1554" t="s">
        <v>8</v>
      </c>
      <c r="S10" s="1555">
        <f t="shared" si="0"/>
        <v>0</v>
      </c>
      <c r="T10" s="1554" t="s">
        <v>8</v>
      </c>
      <c r="U10" s="1555">
        <f t="shared" si="1"/>
        <v>0</v>
      </c>
      <c r="V10" s="1554" t="s">
        <v>8</v>
      </c>
      <c r="W10" s="1555">
        <f t="shared" si="2"/>
        <v>0</v>
      </c>
      <c r="X10" s="1556"/>
      <c r="Y10" s="3373" t="s">
        <v>533</v>
      </c>
      <c r="Z10" s="3374"/>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1" t="s">
        <v>535</v>
      </c>
      <c r="Q11" s="1147" t="str">
        <f t="shared" ref="Q11:Q17" si="6">B11</f>
        <v>用途</v>
      </c>
      <c r="R11" s="1554" t="s">
        <v>8</v>
      </c>
      <c r="S11" s="1555">
        <f t="shared" si="0"/>
        <v>100</v>
      </c>
      <c r="T11" s="1554" t="s">
        <v>8</v>
      </c>
      <c r="U11" s="1555">
        <f t="shared" si="1"/>
        <v>100</v>
      </c>
      <c r="V11" s="1554" t="s">
        <v>8</v>
      </c>
      <c r="W11" s="1555">
        <f t="shared" si="2"/>
        <v>100</v>
      </c>
      <c r="X11" s="1556"/>
      <c r="Y11" s="3338"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81"/>
      <c r="Q12" s="1147" t="str">
        <f t="shared" si="6"/>
        <v>土地使用年限（年）</v>
      </c>
      <c r="R12" s="1554" t="s">
        <v>8</v>
      </c>
      <c r="S12" s="1555">
        <f t="shared" si="0"/>
        <v>101</v>
      </c>
      <c r="T12" s="1554" t="s">
        <v>8</v>
      </c>
      <c r="U12" s="1555">
        <f t="shared" si="1"/>
        <v>101</v>
      </c>
      <c r="V12" s="1554" t="s">
        <v>8</v>
      </c>
      <c r="W12" s="1555">
        <f t="shared" si="2"/>
        <v>101</v>
      </c>
      <c r="X12" s="1556"/>
      <c r="Y12" s="3338"/>
      <c r="Z12" s="1146" t="str">
        <f t="shared" si="7"/>
        <v>土地使用年限（年）</v>
      </c>
      <c r="AA12" s="1557">
        <f t="shared" si="3"/>
        <v>0.99009900990099009</v>
      </c>
      <c r="AB12" s="1557">
        <f t="shared" si="4"/>
        <v>0.99009900990099009</v>
      </c>
      <c r="AC12" s="1557">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1"/>
      <c r="Q13" s="1147" t="str">
        <f t="shared" si="6"/>
        <v>容积率</v>
      </c>
      <c r="R13" s="1554" t="s">
        <v>8</v>
      </c>
      <c r="S13" s="1555" t="e">
        <f t="shared" si="0"/>
        <v>#N/A</v>
      </c>
      <c r="T13" s="1554" t="s">
        <v>8</v>
      </c>
      <c r="U13" s="1555" t="e">
        <f t="shared" si="1"/>
        <v>#N/A</v>
      </c>
      <c r="V13" s="1554" t="s">
        <v>8</v>
      </c>
      <c r="W13" s="1555" t="e">
        <f t="shared" si="2"/>
        <v>#N/A</v>
      </c>
      <c r="X13" s="1556"/>
      <c r="Y13" s="3338"/>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1"/>
      <c r="Q15" s="1147">
        <f t="shared" si="6"/>
        <v>111</v>
      </c>
      <c r="R15" s="1554" t="s">
        <v>8</v>
      </c>
      <c r="S15" s="1555">
        <f t="shared" si="0"/>
        <v>100</v>
      </c>
      <c r="T15" s="1554" t="s">
        <v>8</v>
      </c>
      <c r="U15" s="1555">
        <f t="shared" si="1"/>
        <v>100</v>
      </c>
      <c r="V15" s="1554" t="s">
        <v>8</v>
      </c>
      <c r="W15" s="1555">
        <f t="shared" si="2"/>
        <v>100</v>
      </c>
      <c r="X15" s="1556"/>
      <c r="Y15" s="3338"/>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1"/>
      <c r="Q16" s="1147">
        <f t="shared" si="6"/>
        <v>111</v>
      </c>
      <c r="R16" s="1554" t="s">
        <v>8</v>
      </c>
      <c r="S16" s="1555">
        <f t="shared" si="0"/>
        <v>100</v>
      </c>
      <c r="T16" s="1554" t="s">
        <v>8</v>
      </c>
      <c r="U16" s="1555">
        <f t="shared" si="1"/>
        <v>100</v>
      </c>
      <c r="V16" s="1554" t="s">
        <v>8</v>
      </c>
      <c r="W16" s="1555">
        <f t="shared" si="2"/>
        <v>100</v>
      </c>
      <c r="X16" s="1556"/>
      <c r="Y16" s="3338"/>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3" t="s">
        <v>540</v>
      </c>
      <c r="Q17" s="1558" t="str">
        <f t="shared" si="6"/>
        <v>产业集聚程度</v>
      </c>
      <c r="R17" s="1559" t="s">
        <v>8</v>
      </c>
      <c r="S17" s="1560">
        <f t="shared" si="0"/>
        <v>100</v>
      </c>
      <c r="T17" s="1559" t="s">
        <v>8</v>
      </c>
      <c r="U17" s="1560">
        <f t="shared" si="1"/>
        <v>100</v>
      </c>
      <c r="V17" s="1559" t="s">
        <v>8</v>
      </c>
      <c r="W17" s="1560">
        <f t="shared" si="2"/>
        <v>100</v>
      </c>
      <c r="X17" s="1553"/>
      <c r="Y17" s="3383"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4"/>
      <c r="Q18" s="1558"/>
      <c r="R18" s="1559"/>
      <c r="S18" s="1560"/>
      <c r="T18" s="1559"/>
      <c r="U18" s="1560"/>
      <c r="V18" s="1559"/>
      <c r="W18" s="1560"/>
      <c r="X18" s="1553"/>
      <c r="Y18" s="3384"/>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4"/>
      <c r="Q19" s="1558" t="str">
        <f>B19</f>
        <v>交通便捷度</v>
      </c>
      <c r="R19" s="1559" t="s">
        <v>8</v>
      </c>
      <c r="S19" s="1560">
        <f>F19</f>
        <v>100</v>
      </c>
      <c r="T19" s="1559" t="s">
        <v>8</v>
      </c>
      <c r="U19" s="1560">
        <f>H19</f>
        <v>100</v>
      </c>
      <c r="V19" s="1559" t="s">
        <v>8</v>
      </c>
      <c r="W19" s="1560">
        <f>J19</f>
        <v>100</v>
      </c>
      <c r="X19" s="1553"/>
      <c r="Y19" s="3384"/>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4"/>
      <c r="Q21" s="1558" t="str">
        <f t="shared" ref="Q21:Q35" si="8">B21</f>
        <v>区域土地利用方向</v>
      </c>
      <c r="R21" s="1559" t="s">
        <v>8</v>
      </c>
      <c r="S21" s="1560">
        <f>F21</f>
        <v>100</v>
      </c>
      <c r="T21" s="1559" t="s">
        <v>8</v>
      </c>
      <c r="U21" s="1560">
        <f>H21</f>
        <v>100</v>
      </c>
      <c r="V21" s="1559" t="s">
        <v>8</v>
      </c>
      <c r="W21" s="1560">
        <f>J21</f>
        <v>100</v>
      </c>
      <c r="X21" s="1553"/>
      <c r="Y21" s="3384"/>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4"/>
      <c r="Q22" s="1558"/>
      <c r="R22" s="1559"/>
      <c r="S22" s="1560"/>
      <c r="T22" s="1559"/>
      <c r="U22" s="1560"/>
      <c r="V22" s="1559"/>
      <c r="W22" s="1560"/>
      <c r="X22" s="1553"/>
      <c r="Y22" s="3384"/>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4"/>
      <c r="Q23" s="1558" t="str">
        <f t="shared" si="8"/>
        <v>环境状况</v>
      </c>
      <c r="R23" s="1559" t="s">
        <v>8</v>
      </c>
      <c r="S23" s="1560">
        <f>F23</f>
        <v>100</v>
      </c>
      <c r="T23" s="1559" t="s">
        <v>8</v>
      </c>
      <c r="U23" s="1560">
        <f>H23</f>
        <v>100</v>
      </c>
      <c r="V23" s="1559" t="s">
        <v>8</v>
      </c>
      <c r="W23" s="1560">
        <f>J23</f>
        <v>100</v>
      </c>
      <c r="X23" s="1553"/>
      <c r="Y23" s="3384"/>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4"/>
      <c r="Q24" s="1558"/>
      <c r="R24" s="1559"/>
      <c r="S24" s="1560"/>
      <c r="T24" s="1559"/>
      <c r="U24" s="1560"/>
      <c r="V24" s="1559"/>
      <c r="W24" s="1560"/>
      <c r="X24" s="1553"/>
      <c r="Y24" s="3384"/>
      <c r="Z24" s="1561"/>
      <c r="AA24" s="1562">
        <v>1</v>
      </c>
      <c r="AB24" s="1562">
        <v>1</v>
      </c>
      <c r="AC24" s="1562">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4"/>
      <c r="Q25" s="1147" t="str">
        <f t="shared" si="8"/>
        <v>公共配套设施</v>
      </c>
      <c r="R25" s="1554" t="s">
        <v>8</v>
      </c>
      <c r="S25" s="1555">
        <f>F25</f>
        <v>100</v>
      </c>
      <c r="T25" s="1554" t="s">
        <v>8</v>
      </c>
      <c r="U25" s="1555">
        <f>H25</f>
        <v>100</v>
      </c>
      <c r="V25" s="1554" t="s">
        <v>8</v>
      </c>
      <c r="W25" s="1555">
        <f>J25</f>
        <v>100</v>
      </c>
      <c r="X25" s="1556"/>
      <c r="Y25" s="3384"/>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4"/>
      <c r="Q26" s="1147"/>
      <c r="R26" s="1554"/>
      <c r="S26" s="1555"/>
      <c r="T26" s="1554"/>
      <c r="U26" s="1555"/>
      <c r="V26" s="1554"/>
      <c r="W26" s="1555"/>
      <c r="X26" s="1556"/>
      <c r="Y26" s="3384"/>
      <c r="Z26" s="1146"/>
      <c r="AA26" s="1557">
        <v>1</v>
      </c>
      <c r="AB26" s="1557">
        <v>1</v>
      </c>
      <c r="AC26" s="1557">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4"/>
      <c r="Q27" s="2542" t="str">
        <f t="shared" ref="Q27" si="9">B27</f>
        <v>基础设施水平</v>
      </c>
      <c r="R27" s="1554" t="s">
        <v>8</v>
      </c>
      <c r="S27" s="1555">
        <f>F27</f>
        <v>100</v>
      </c>
      <c r="T27" s="1554" t="s">
        <v>8</v>
      </c>
      <c r="U27" s="1555">
        <f>H27</f>
        <v>100</v>
      </c>
      <c r="V27" s="1554" t="s">
        <v>8</v>
      </c>
      <c r="W27" s="1555">
        <f>J27</f>
        <v>100</v>
      </c>
      <c r="X27" s="1556"/>
      <c r="Y27" s="3384"/>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4"/>
      <c r="Q28" s="2542"/>
      <c r="R28" s="1554"/>
      <c r="S28" s="1555"/>
      <c r="T28" s="1554"/>
      <c r="U28" s="1555"/>
      <c r="V28" s="1554"/>
      <c r="W28" s="1555"/>
      <c r="X28" s="1556"/>
      <c r="Y28" s="3384"/>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4"/>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4"/>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4"/>
      <c r="Q30" s="1558" t="str">
        <f t="shared" si="8"/>
        <v>毗邻道路的类型与等级</v>
      </c>
      <c r="R30" s="1559" t="s">
        <v>8</v>
      </c>
      <c r="S30" s="1560">
        <f t="shared" si="10"/>
        <v>100</v>
      </c>
      <c r="T30" s="1559" t="s">
        <v>8</v>
      </c>
      <c r="U30" s="1560">
        <f t="shared" si="11"/>
        <v>100</v>
      </c>
      <c r="V30" s="1559" t="s">
        <v>8</v>
      </c>
      <c r="W30" s="1560">
        <f t="shared" si="12"/>
        <v>100</v>
      </c>
      <c r="X30" s="1553"/>
      <c r="Y30" s="3384"/>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4"/>
      <c r="Q31" s="1558"/>
      <c r="R31" s="1559"/>
      <c r="S31" s="1560"/>
      <c r="T31" s="1559"/>
      <c r="U31" s="1560"/>
      <c r="V31" s="1559"/>
      <c r="W31" s="1560"/>
      <c r="X31" s="1553"/>
      <c r="Y31" s="3384"/>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4"/>
      <c r="Q32" s="1558" t="str">
        <f t="shared" si="8"/>
        <v>土地级别</v>
      </c>
      <c r="R32" s="1559" t="s">
        <v>8</v>
      </c>
      <c r="S32" s="1560">
        <f t="shared" si="10"/>
        <v>100</v>
      </c>
      <c r="T32" s="1559" t="s">
        <v>8</v>
      </c>
      <c r="U32" s="1560">
        <f t="shared" si="11"/>
        <v>100</v>
      </c>
      <c r="V32" s="1559" t="s">
        <v>8</v>
      </c>
      <c r="W32" s="1560">
        <f t="shared" si="12"/>
        <v>100</v>
      </c>
      <c r="X32" s="1553"/>
      <c r="Y32" s="3384"/>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4"/>
      <c r="Q33" s="1558">
        <f t="shared" si="8"/>
        <v>111</v>
      </c>
      <c r="R33" s="1559" t="s">
        <v>8</v>
      </c>
      <c r="S33" s="1560">
        <f t="shared" si="10"/>
        <v>100</v>
      </c>
      <c r="T33" s="1559" t="s">
        <v>8</v>
      </c>
      <c r="U33" s="1560">
        <f t="shared" si="11"/>
        <v>100</v>
      </c>
      <c r="V33" s="1559" t="s">
        <v>8</v>
      </c>
      <c r="W33" s="1560">
        <f t="shared" si="12"/>
        <v>100</v>
      </c>
      <c r="X33" s="1553"/>
      <c r="Y33" s="3384"/>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5" t="s">
        <v>550</v>
      </c>
      <c r="Q34" s="1558">
        <f t="shared" si="8"/>
        <v>111</v>
      </c>
      <c r="R34" s="1559" t="s">
        <v>8</v>
      </c>
      <c r="S34" s="1560">
        <f t="shared" si="10"/>
        <v>100</v>
      </c>
      <c r="T34" s="1559" t="s">
        <v>8</v>
      </c>
      <c r="U34" s="1560">
        <f t="shared" si="11"/>
        <v>100</v>
      </c>
      <c r="V34" s="1559" t="s">
        <v>8</v>
      </c>
      <c r="W34" s="1560">
        <f t="shared" si="12"/>
        <v>100</v>
      </c>
      <c r="X34" s="1553"/>
      <c r="Y34" s="3386"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6"/>
      <c r="Q35" s="1558">
        <f t="shared" si="8"/>
        <v>111</v>
      </c>
      <c r="R35" s="1563" t="s">
        <v>8</v>
      </c>
      <c r="S35" s="1564">
        <f t="shared" si="10"/>
        <v>100</v>
      </c>
      <c r="T35" s="1563" t="s">
        <v>8</v>
      </c>
      <c r="U35" s="1564">
        <f t="shared" si="11"/>
        <v>100</v>
      </c>
      <c r="V35" s="1563" t="s">
        <v>8</v>
      </c>
      <c r="W35" s="1564">
        <f t="shared" si="12"/>
        <v>100</v>
      </c>
      <c r="X35" s="1565"/>
      <c r="Y35" s="3386"/>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6"/>
      <c r="Q36" s="1558" t="str">
        <f>B36</f>
        <v>宗地面积</v>
      </c>
      <c r="R36" s="1559" t="s">
        <v>8</v>
      </c>
      <c r="S36" s="1560" t="e">
        <f t="shared" si="10"/>
        <v>#N/A</v>
      </c>
      <c r="T36" s="1559" t="s">
        <v>8</v>
      </c>
      <c r="U36" s="1560" t="e">
        <f t="shared" si="11"/>
        <v>#N/A</v>
      </c>
      <c r="V36" s="1559" t="s">
        <v>8</v>
      </c>
      <c r="W36" s="1560" t="e">
        <f t="shared" si="12"/>
        <v>#N/A</v>
      </c>
      <c r="X36" s="1553"/>
      <c r="Y36" s="3386"/>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6"/>
      <c r="Q37" s="1558" t="str">
        <f t="shared" ref="Q37:Q42" si="14">B37</f>
        <v>宗地形状</v>
      </c>
      <c r="R37" s="1559" t="s">
        <v>8</v>
      </c>
      <c r="S37" s="1560">
        <f t="shared" si="10"/>
        <v>100</v>
      </c>
      <c r="T37" s="1559" t="s">
        <v>8</v>
      </c>
      <c r="U37" s="1560">
        <f t="shared" si="11"/>
        <v>100</v>
      </c>
      <c r="V37" s="1559" t="s">
        <v>8</v>
      </c>
      <c r="W37" s="1560">
        <f t="shared" si="12"/>
        <v>100</v>
      </c>
      <c r="X37" s="1553"/>
      <c r="Y37" s="3386"/>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6"/>
      <c r="Q38" s="1558" t="str">
        <f t="shared" si="14"/>
        <v>宗地开发程度</v>
      </c>
      <c r="R38" s="1554" t="s">
        <v>8</v>
      </c>
      <c r="S38" s="1555">
        <f t="shared" si="10"/>
        <v>100</v>
      </c>
      <c r="T38" s="1554" t="s">
        <v>8</v>
      </c>
      <c r="U38" s="1555">
        <f t="shared" si="11"/>
        <v>100</v>
      </c>
      <c r="V38" s="1554" t="s">
        <v>8</v>
      </c>
      <c r="W38" s="1555">
        <f t="shared" si="12"/>
        <v>100</v>
      </c>
      <c r="X38" s="1556"/>
      <c r="Y38" s="3386"/>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6" t="s">
        <v>601</v>
      </c>
      <c r="Q39" s="1558" t="str">
        <f t="shared" si="14"/>
        <v>工程地质条件</v>
      </c>
      <c r="R39" s="1559" t="s">
        <v>8</v>
      </c>
      <c r="S39" s="1560">
        <f t="shared" si="10"/>
        <v>100</v>
      </c>
      <c r="T39" s="1559" t="s">
        <v>8</v>
      </c>
      <c r="U39" s="1560">
        <f t="shared" si="11"/>
        <v>100</v>
      </c>
      <c r="V39" s="1559" t="s">
        <v>8</v>
      </c>
      <c r="W39" s="1560">
        <f t="shared" si="12"/>
        <v>100</v>
      </c>
      <c r="X39" s="1553"/>
      <c r="Y39" s="3386"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6"/>
      <c r="Q40" s="1558">
        <f t="shared" si="14"/>
        <v>111</v>
      </c>
      <c r="R40" s="1559" t="s">
        <v>8</v>
      </c>
      <c r="S40" s="1560">
        <f t="shared" si="10"/>
        <v>100</v>
      </c>
      <c r="T40" s="1559" t="s">
        <v>8</v>
      </c>
      <c r="U40" s="1560">
        <f t="shared" si="11"/>
        <v>100</v>
      </c>
      <c r="V40" s="1559" t="s">
        <v>8</v>
      </c>
      <c r="W40" s="1560">
        <f t="shared" si="12"/>
        <v>100</v>
      </c>
      <c r="X40" s="1553"/>
      <c r="Y40" s="3386"/>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6"/>
      <c r="Q41" s="1558">
        <f t="shared" si="14"/>
        <v>111</v>
      </c>
      <c r="R41" s="1559" t="s">
        <v>8</v>
      </c>
      <c r="S41" s="1560">
        <f t="shared" si="10"/>
        <v>100</v>
      </c>
      <c r="T41" s="1559" t="s">
        <v>8</v>
      </c>
      <c r="U41" s="1560">
        <f t="shared" si="11"/>
        <v>100</v>
      </c>
      <c r="V41" s="1559" t="s">
        <v>8</v>
      </c>
      <c r="W41" s="1560">
        <f t="shared" si="12"/>
        <v>100</v>
      </c>
      <c r="X41" s="1553"/>
      <c r="Y41" s="3386"/>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6"/>
      <c r="Q42" s="1558">
        <f t="shared" si="14"/>
        <v>111</v>
      </c>
      <c r="R42" s="1563" t="s">
        <v>8</v>
      </c>
      <c r="S42" s="1564">
        <f t="shared" si="10"/>
        <v>100</v>
      </c>
      <c r="T42" s="1563" t="s">
        <v>8</v>
      </c>
      <c r="U42" s="1564">
        <f t="shared" si="11"/>
        <v>100</v>
      </c>
      <c r="V42" s="1563" t="s">
        <v>8</v>
      </c>
      <c r="W42" s="1564">
        <f t="shared" si="12"/>
        <v>100</v>
      </c>
      <c r="X42" s="1565"/>
      <c r="Y42" s="3386"/>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81" t="str">
        <f>A43</f>
        <v>成交单价</v>
      </c>
      <c r="Q43" s="3381"/>
      <c r="R43" s="3395">
        <f>E43</f>
        <v>0</v>
      </c>
      <c r="S43" s="3395"/>
      <c r="T43" s="3395">
        <f>G43</f>
        <v>0</v>
      </c>
      <c r="U43" s="3395"/>
      <c r="V43" s="3395">
        <f>I43</f>
        <v>0</v>
      </c>
      <c r="W43" s="3395"/>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81" t="str">
        <f>A44</f>
        <v>比较价格（元/平方米）</v>
      </c>
      <c r="Q44" s="3381"/>
      <c r="R44" s="3405" t="e">
        <f>ROUND(PRODUCT(R43,AA9:AA42),0)</f>
        <v>#DIV/0!</v>
      </c>
      <c r="S44" s="3405"/>
      <c r="T44" s="3405" t="e">
        <f>ROUND(PRODUCT(T43,AB9:AB42),0)</f>
        <v>#DIV/0!</v>
      </c>
      <c r="U44" s="3405"/>
      <c r="V44" s="3405" t="e">
        <f>ROUND(PRODUCT(V43,AC9:AC42),0)</f>
        <v>#DIV/0!</v>
      </c>
      <c r="W44" s="3405"/>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402" t="str">
        <f>A45</f>
        <v>估价对象XX用房的比较价格（楼面单价，元/平方米）</v>
      </c>
      <c r="Q45" s="3403"/>
      <c r="R45" s="3404" t="e">
        <f>ROUND(AVERAGE(R44:V44),0)</f>
        <v>#DIV/0!</v>
      </c>
      <c r="S45" s="3404"/>
      <c r="T45" s="3404"/>
      <c r="U45" s="3404"/>
      <c r="V45" s="3404"/>
      <c r="W45" s="3404"/>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06" t="s">
        <v>2282</v>
      </c>
      <c r="H52" s="3407"/>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78230</v>
      </c>
      <c r="F53" s="1935" t="e">
        <f t="shared" ref="F53:F62" si="15">ROUND(B53*E53/10000,0)</f>
        <v>#DIV/0!</v>
      </c>
      <c r="G53" s="3408"/>
      <c r="H53" s="340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0"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27784.36</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36332.1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18"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19"/>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9" t="s">
        <v>2780</v>
      </c>
      <c r="X8" s="3430"/>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19"/>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8"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9"/>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9"/>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8" t="s">
        <v>2778</v>
      </c>
      <c r="X11" s="1048" t="s">
        <v>2763</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18"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8"/>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0"/>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28"/>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20"/>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1"/>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8" t="s">
        <v>1838</v>
      </c>
      <c r="B16" s="1423" t="s">
        <v>950</v>
      </c>
      <c r="C16" s="1052" t="e">
        <f>ROUND(IF(F17="与级别开发程度一致",0,(G17-E17)/C17),0)</f>
        <v>#DIV/0!</v>
      </c>
      <c r="D16" s="3436" t="s">
        <v>954</v>
      </c>
      <c r="E16" s="3437"/>
      <c r="F16" s="3436" t="s">
        <v>951</v>
      </c>
      <c r="G16" s="3437"/>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2"/>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43909</v>
      </c>
      <c r="H19" s="1463" t="s">
        <v>2989</v>
      </c>
      <c r="I19" s="2740" t="str">
        <f>IF(H19="季度增幅（自定义）",SUMIF(N21:N24,E2,O21:O24),"")</f>
        <v/>
      </c>
      <c r="J19" s="1459"/>
      <c r="K19" s="3149"/>
      <c r="L19" s="2992" t="s">
        <v>2838</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5"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6"/>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6"/>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7"/>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2983</v>
      </c>
      <c r="C41" s="839" t="e">
        <f>ROUND(POWER(1+E41,H41-G41)*(POWER(1+E41,G41)-1)/(POWER(1+E41,H41)-1),4)</f>
        <v>#DIV/0!</v>
      </c>
      <c r="D41" s="378" t="s">
        <v>2981</v>
      </c>
      <c r="E41" s="3146">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3" t="s">
        <v>1633</v>
      </c>
      <c r="B90" s="3423"/>
      <c r="C90" s="3423"/>
      <c r="D90" s="3423"/>
      <c r="E90" s="3423"/>
      <c r="F90" s="3423"/>
      <c r="G90" s="3423"/>
      <c r="H90" s="3423"/>
      <c r="I90" s="3423"/>
      <c r="J90" s="3423"/>
      <c r="K90" s="2414"/>
      <c r="L90" s="2414"/>
      <c r="M90" s="2414"/>
      <c r="N90" s="2414"/>
    </row>
    <row r="91" spans="1:40">
      <c r="A91" s="3424" t="s">
        <v>1443</v>
      </c>
      <c r="B91" s="3424" t="s">
        <v>1634</v>
      </c>
      <c r="C91" s="1136" t="s">
        <v>1635</v>
      </c>
      <c r="D91" s="1137"/>
      <c r="E91" s="1137"/>
      <c r="F91" s="1137"/>
      <c r="G91" s="1137"/>
      <c r="H91" s="1137"/>
      <c r="I91" s="1137"/>
      <c r="J91" s="1138"/>
      <c r="K91" s="1130"/>
      <c r="L91" s="1130"/>
      <c r="M91" s="1130"/>
      <c r="N91" s="1130"/>
    </row>
    <row r="92" spans="1:40">
      <c r="A92" s="3424"/>
      <c r="B92" s="342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2"/>
      <c r="B108" s="343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3"/>
      <c r="B109" s="343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7" t="s">
        <v>1639</v>
      </c>
      <c r="B110" s="3417"/>
      <c r="C110" s="3417"/>
      <c r="D110" s="3417"/>
      <c r="E110" s="3417"/>
      <c r="F110" s="3417"/>
      <c r="G110" s="3417"/>
      <c r="H110" s="3417"/>
      <c r="I110" s="3417"/>
      <c r="J110" s="3417"/>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2986</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4" t="s">
        <v>1007</v>
      </c>
      <c r="B18" s="1150" t="s">
        <v>1446</v>
      </c>
      <c r="C18" s="1127" t="s">
        <v>1447</v>
      </c>
      <c r="D18" s="1128"/>
      <c r="E18" s="1150">
        <v>1</v>
      </c>
      <c r="F18" s="1129" t="s">
        <v>1448</v>
      </c>
      <c r="G18" s="1130"/>
      <c r="H18" s="1101"/>
      <c r="I18" s="1101"/>
    </row>
    <row r="19" spans="1:9" s="1584" customFormat="1" ht="19.5" customHeight="1">
      <c r="A19" s="3424"/>
      <c r="B19" s="3424" t="s">
        <v>1449</v>
      </c>
      <c r="C19" s="1127" t="s">
        <v>1450</v>
      </c>
      <c r="D19" s="1128"/>
      <c r="E19" s="1150">
        <v>0.9</v>
      </c>
      <c r="F19" s="1129" t="s">
        <v>1451</v>
      </c>
      <c r="G19" s="1130"/>
      <c r="H19" s="1101"/>
      <c r="I19" s="1101"/>
    </row>
    <row r="20" spans="1:9" s="1584" customFormat="1" ht="19.5" customHeight="1">
      <c r="A20" s="3424"/>
      <c r="B20" s="3424"/>
      <c r="C20" s="1127" t="s">
        <v>1452</v>
      </c>
      <c r="D20" s="1128"/>
      <c r="E20" s="1150">
        <v>1.1000000000000001</v>
      </c>
      <c r="F20" s="1129" t="s">
        <v>1453</v>
      </c>
      <c r="G20" s="1130"/>
      <c r="H20" s="1101"/>
      <c r="I20" s="1101"/>
    </row>
    <row r="21" spans="1:9" s="1584" customFormat="1" ht="19.5" customHeight="1">
      <c r="A21" s="3424"/>
      <c r="B21" s="3424"/>
      <c r="C21" s="1127" t="s">
        <v>1454</v>
      </c>
      <c r="D21" s="1128"/>
      <c r="E21" s="1150">
        <v>0.8</v>
      </c>
      <c r="F21" s="1129" t="s">
        <v>1455</v>
      </c>
      <c r="G21" s="1130"/>
      <c r="H21" s="1101"/>
      <c r="I21" s="1101"/>
    </row>
    <row r="22" spans="1:9" s="1584" customFormat="1" ht="19.5" customHeight="1">
      <c r="A22" s="3424"/>
      <c r="B22" s="3424"/>
      <c r="C22" s="1127" t="s">
        <v>1456</v>
      </c>
      <c r="D22" s="1128"/>
      <c r="E22" s="1150">
        <v>0.5</v>
      </c>
      <c r="F22" s="1129"/>
      <c r="G22" s="1130"/>
      <c r="H22" s="1101"/>
      <c r="I22" s="1101"/>
    </row>
    <row r="23" spans="1:9" s="1584" customFormat="1" ht="19.5" customHeight="1">
      <c r="A23" s="3424" t="s">
        <v>1029</v>
      </c>
      <c r="B23" s="1150" t="s">
        <v>1446</v>
      </c>
      <c r="C23" s="1127" t="s">
        <v>1457</v>
      </c>
      <c r="D23" s="1128"/>
      <c r="E23" s="1150">
        <v>1</v>
      </c>
      <c r="F23" s="1129" t="s">
        <v>1458</v>
      </c>
      <c r="G23" s="1130"/>
      <c r="H23" s="1101"/>
      <c r="I23" s="1101"/>
    </row>
    <row r="24" spans="1:9" s="1584" customFormat="1" ht="19.5" customHeight="1">
      <c r="A24" s="3424"/>
      <c r="B24" s="3424" t="s">
        <v>1449</v>
      </c>
      <c r="C24" s="1127" t="s">
        <v>1459</v>
      </c>
      <c r="D24" s="1128"/>
      <c r="E24" s="1150">
        <v>0.5</v>
      </c>
      <c r="F24" s="1129"/>
      <c r="G24" s="1130"/>
      <c r="H24" s="1101"/>
      <c r="I24" s="1101"/>
    </row>
    <row r="25" spans="1:9" s="1584" customFormat="1" ht="19.5" customHeight="1">
      <c r="A25" s="3424"/>
      <c r="B25" s="3424"/>
      <c r="C25" s="1127" t="s">
        <v>1460</v>
      </c>
      <c r="D25" s="1128"/>
      <c r="E25" s="1150">
        <v>1.1000000000000001</v>
      </c>
      <c r="F25" s="1129"/>
      <c r="G25" s="1130"/>
      <c r="H25" s="1101"/>
      <c r="I25" s="1101"/>
    </row>
    <row r="26" spans="1:9" s="1584" customFormat="1" ht="19.5" customHeight="1">
      <c r="A26" s="3424"/>
      <c r="B26" s="3424"/>
      <c r="C26" s="1127" t="s">
        <v>1461</v>
      </c>
      <c r="D26" s="1128"/>
      <c r="E26" s="1150">
        <v>1.1000000000000001</v>
      </c>
      <c r="F26" s="1129"/>
      <c r="G26" s="1130"/>
      <c r="H26" s="1101"/>
      <c r="I26" s="1101"/>
    </row>
    <row r="27" spans="1:9" s="1584" customFormat="1" ht="19.5" customHeight="1">
      <c r="A27" s="3424"/>
      <c r="B27" s="3424"/>
      <c r="C27" s="1127" t="s">
        <v>1462</v>
      </c>
      <c r="D27" s="1128"/>
      <c r="E27" s="1150">
        <v>0.9</v>
      </c>
      <c r="F27" s="1129" t="s">
        <v>1463</v>
      </c>
      <c r="G27" s="1130"/>
      <c r="H27" s="1101"/>
      <c r="I27" s="1101"/>
    </row>
    <row r="28" spans="1:9" s="1584" customFormat="1" ht="19.5" customHeight="1">
      <c r="A28" s="3424"/>
      <c r="B28" s="3424"/>
      <c r="C28" s="1127" t="s">
        <v>1464</v>
      </c>
      <c r="D28" s="1128"/>
      <c r="E28" s="1150">
        <v>0.9</v>
      </c>
      <c r="F28" s="1129" t="s">
        <v>1465</v>
      </c>
      <c r="G28" s="1130"/>
      <c r="H28" s="1101"/>
      <c r="I28" s="1101"/>
    </row>
    <row r="29" spans="1:9" s="1584" customFormat="1" ht="19.5" customHeight="1">
      <c r="A29" s="3424"/>
      <c r="B29" s="3424"/>
      <c r="C29" s="1127" t="s">
        <v>1466</v>
      </c>
      <c r="D29" s="1128"/>
      <c r="E29" s="1150">
        <v>0.9</v>
      </c>
      <c r="F29" s="1129" t="s">
        <v>1467</v>
      </c>
      <c r="G29" s="1130"/>
      <c r="H29" s="1101"/>
      <c r="I29" s="1101"/>
    </row>
    <row r="30" spans="1:9" s="1584" customFormat="1" ht="19.5" customHeight="1">
      <c r="A30" s="3424"/>
      <c r="B30" s="3424"/>
      <c r="C30" s="1127" t="s">
        <v>1468</v>
      </c>
      <c r="D30" s="1128"/>
      <c r="E30" s="1150">
        <v>0.9</v>
      </c>
      <c r="F30" s="1129" t="s">
        <v>1469</v>
      </c>
      <c r="G30" s="1130"/>
      <c r="H30" s="1101"/>
      <c r="I30" s="1101"/>
    </row>
    <row r="31" spans="1:9" s="1584" customFormat="1" ht="19.5" customHeight="1">
      <c r="A31" s="3424"/>
      <c r="B31" s="3424"/>
      <c r="C31" s="1127" t="s">
        <v>1470</v>
      </c>
      <c r="D31" s="1128"/>
      <c r="E31" s="1150">
        <v>0.8</v>
      </c>
      <c r="F31" s="1129" t="s">
        <v>1471</v>
      </c>
      <c r="G31" s="1130"/>
      <c r="H31" s="1101"/>
      <c r="I31" s="1101"/>
    </row>
    <row r="32" spans="1:9" s="1584" customFormat="1" ht="19.5" customHeight="1">
      <c r="A32" s="3424"/>
      <c r="B32" s="3424"/>
      <c r="C32" s="1127" t="s">
        <v>1472</v>
      </c>
      <c r="D32" s="1128"/>
      <c r="E32" s="1150">
        <v>0.8</v>
      </c>
      <c r="F32" s="1129" t="s">
        <v>1473</v>
      </c>
      <c r="G32" s="1130"/>
      <c r="H32" s="1101"/>
      <c r="I32" s="1101"/>
    </row>
    <row r="33" spans="1:9" s="1584" customFormat="1" ht="19.5" customHeight="1">
      <c r="A33" s="3424" t="s">
        <v>1474</v>
      </c>
      <c r="B33" s="1150" t="s">
        <v>1446</v>
      </c>
      <c r="C33" s="1127" t="s">
        <v>1475</v>
      </c>
      <c r="D33" s="1128"/>
      <c r="E33" s="1150">
        <v>1</v>
      </c>
      <c r="F33" s="1129" t="s">
        <v>1476</v>
      </c>
      <c r="G33" s="1130"/>
      <c r="H33" s="1101"/>
      <c r="I33" s="1101"/>
    </row>
    <row r="34" spans="1:9" s="1584" customFormat="1" ht="19.5" customHeight="1">
      <c r="A34" s="3424"/>
      <c r="B34" s="1150" t="s">
        <v>1449</v>
      </c>
      <c r="C34" s="1127" t="s">
        <v>1477</v>
      </c>
      <c r="D34" s="1128"/>
      <c r="E34" s="1150">
        <v>1.5</v>
      </c>
      <c r="F34" s="1129" t="s">
        <v>1478</v>
      </c>
      <c r="G34" s="1130"/>
      <c r="H34" s="1101"/>
      <c r="I34" s="1101"/>
    </row>
    <row r="35" spans="1:9" s="1584" customFormat="1" ht="19.5" customHeight="1">
      <c r="A35" s="3424" t="s">
        <v>1432</v>
      </c>
      <c r="B35" s="1150" t="s">
        <v>1446</v>
      </c>
      <c r="C35" s="1127" t="s">
        <v>1479</v>
      </c>
      <c r="D35" s="1128"/>
      <c r="E35" s="1150">
        <v>1</v>
      </c>
      <c r="F35" s="1129" t="s">
        <v>1480</v>
      </c>
      <c r="G35" s="1130"/>
      <c r="H35" s="1101"/>
      <c r="I35" s="1101"/>
    </row>
    <row r="36" spans="1:9" s="1584" customFormat="1" ht="19.5" customHeight="1">
      <c r="A36" s="3424"/>
      <c r="B36" s="3424" t="s">
        <v>1449</v>
      </c>
      <c r="C36" s="1127" t="s">
        <v>1481</v>
      </c>
      <c r="D36" s="1128"/>
      <c r="E36" s="1150">
        <v>1</v>
      </c>
      <c r="F36" s="1129" t="s">
        <v>1482</v>
      </c>
      <c r="G36" s="1130"/>
      <c r="H36" s="1101"/>
      <c r="I36" s="1101"/>
    </row>
    <row r="37" spans="1:9" s="1584" customFormat="1" ht="19.5" customHeight="1">
      <c r="A37" s="3424"/>
      <c r="B37" s="3424"/>
      <c r="C37" s="1127" t="s">
        <v>1483</v>
      </c>
      <c r="D37" s="1128"/>
      <c r="E37" s="1150">
        <v>1.5</v>
      </c>
      <c r="F37" s="1129" t="s">
        <v>1484</v>
      </c>
      <c r="G37" s="1130"/>
      <c r="H37" s="1101"/>
      <c r="I37" s="1101"/>
    </row>
    <row r="38" spans="1:9" s="1584" customFormat="1" ht="19.5" customHeight="1">
      <c r="A38" s="3424"/>
      <c r="B38" s="3424"/>
      <c r="C38" s="1127" t="s">
        <v>1485</v>
      </c>
      <c r="D38" s="1128"/>
      <c r="E38" s="1150">
        <v>1</v>
      </c>
      <c r="F38" s="1129" t="s">
        <v>1486</v>
      </c>
      <c r="G38" s="1130"/>
      <c r="H38" s="1101"/>
      <c r="I38" s="1101"/>
    </row>
    <row r="39" spans="1:9" s="1584" customFormat="1" ht="19.5" customHeight="1">
      <c r="A39" s="3424"/>
      <c r="B39" s="3424"/>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4" t="s">
        <v>1501</v>
      </c>
      <c r="C61" s="1064" t="s">
        <v>1502</v>
      </c>
      <c r="D61" s="1064" t="s">
        <v>1503</v>
      </c>
      <c r="E61" s="1135">
        <v>0.5</v>
      </c>
      <c r="F61" s="1150">
        <v>80</v>
      </c>
      <c r="H61" s="1101">
        <f>SUMIF(C59:C119,基准地价!C8,E59:E119)</f>
        <v>0</v>
      </c>
    </row>
    <row r="62" spans="1:8" s="1101" customFormat="1" ht="24">
      <c r="A62" s="1150">
        <v>2</v>
      </c>
      <c r="B62" s="3424"/>
      <c r="C62" s="1064" t="s">
        <v>1504</v>
      </c>
      <c r="D62" s="1064" t="s">
        <v>1505</v>
      </c>
      <c r="E62" s="1135">
        <v>0.5</v>
      </c>
      <c r="F62" s="1150">
        <v>80</v>
      </c>
    </row>
    <row r="63" spans="1:8" s="1101" customFormat="1" ht="36">
      <c r="A63" s="1150">
        <v>3</v>
      </c>
      <c r="B63" s="3424"/>
      <c r="C63" s="1064" t="s">
        <v>1506</v>
      </c>
      <c r="D63" s="1064" t="s">
        <v>1507</v>
      </c>
      <c r="E63" s="1135">
        <v>0.5</v>
      </c>
      <c r="F63" s="1150">
        <v>80</v>
      </c>
    </row>
    <row r="64" spans="1:8" s="1101" customFormat="1" ht="36">
      <c r="A64" s="1150">
        <v>4</v>
      </c>
      <c r="B64" s="3424"/>
      <c r="C64" s="1064" t="s">
        <v>1508</v>
      </c>
      <c r="D64" s="1064" t="s">
        <v>1509</v>
      </c>
      <c r="E64" s="1135">
        <v>0.4</v>
      </c>
      <c r="F64" s="1150">
        <v>60</v>
      </c>
    </row>
    <row r="65" spans="1:6" s="1101" customFormat="1" ht="36">
      <c r="A65" s="1150">
        <v>5</v>
      </c>
      <c r="B65" s="3424"/>
      <c r="C65" s="1064" t="s">
        <v>1510</v>
      </c>
      <c r="D65" s="1064" t="s">
        <v>1511</v>
      </c>
      <c r="E65" s="1135">
        <v>0.2</v>
      </c>
      <c r="F65" s="1150">
        <v>30</v>
      </c>
    </row>
    <row r="66" spans="1:6" s="1101" customFormat="1" ht="36">
      <c r="A66" s="1150">
        <v>6</v>
      </c>
      <c r="B66" s="3424"/>
      <c r="C66" s="1064" t="s">
        <v>1512</v>
      </c>
      <c r="D66" s="1064" t="s">
        <v>1513</v>
      </c>
      <c r="E66" s="1135">
        <v>0.3</v>
      </c>
      <c r="F66" s="1150">
        <v>50</v>
      </c>
    </row>
    <row r="67" spans="1:6" s="1101" customFormat="1" ht="36">
      <c r="A67" s="1150">
        <v>7</v>
      </c>
      <c r="B67" s="3424"/>
      <c r="C67" s="1064" t="s">
        <v>1514</v>
      </c>
      <c r="D67" s="1064" t="s">
        <v>1515</v>
      </c>
      <c r="E67" s="1135">
        <v>0.2</v>
      </c>
      <c r="F67" s="1150">
        <v>30</v>
      </c>
    </row>
    <row r="68" spans="1:6" s="1101" customFormat="1" ht="36">
      <c r="A68" s="1150">
        <v>8</v>
      </c>
      <c r="B68" s="3424"/>
      <c r="C68" s="1064" t="s">
        <v>1516</v>
      </c>
      <c r="D68" s="1064" t="s">
        <v>1517</v>
      </c>
      <c r="E68" s="1135">
        <v>0.2</v>
      </c>
      <c r="F68" s="1150">
        <v>30</v>
      </c>
    </row>
    <row r="69" spans="1:6" s="1101" customFormat="1" ht="36">
      <c r="A69" s="1150">
        <v>9</v>
      </c>
      <c r="B69" s="3424"/>
      <c r="C69" s="1064" t="s">
        <v>1518</v>
      </c>
      <c r="D69" s="1064" t="s">
        <v>1519</v>
      </c>
      <c r="E69" s="1135">
        <v>0.2</v>
      </c>
      <c r="F69" s="1150">
        <v>30</v>
      </c>
    </row>
    <row r="70" spans="1:6" s="1101" customFormat="1" ht="48">
      <c r="A70" s="1150">
        <v>10</v>
      </c>
      <c r="B70" s="3424"/>
      <c r="C70" s="1064" t="s">
        <v>1520</v>
      </c>
      <c r="D70" s="1064" t="s">
        <v>1521</v>
      </c>
      <c r="E70" s="1135">
        <v>0.2</v>
      </c>
      <c r="F70" s="1150">
        <v>30</v>
      </c>
    </row>
    <row r="71" spans="1:6" s="1101" customFormat="1" ht="48">
      <c r="A71" s="1150">
        <v>11</v>
      </c>
      <c r="B71" s="3424"/>
      <c r="C71" s="1064" t="s">
        <v>1522</v>
      </c>
      <c r="D71" s="1064" t="s">
        <v>1523</v>
      </c>
      <c r="E71" s="1135">
        <v>0.2</v>
      </c>
      <c r="F71" s="1150">
        <v>30</v>
      </c>
    </row>
    <row r="72" spans="1:6" s="1101" customFormat="1" ht="36">
      <c r="A72" s="1150">
        <v>12</v>
      </c>
      <c r="B72" s="3424"/>
      <c r="C72" s="1064" t="s">
        <v>1524</v>
      </c>
      <c r="D72" s="1064" t="s">
        <v>1525</v>
      </c>
      <c r="E72" s="1135">
        <v>0.5</v>
      </c>
      <c r="F72" s="1150">
        <v>80</v>
      </c>
    </row>
    <row r="73" spans="1:6" s="1101" customFormat="1" ht="24">
      <c r="A73" s="1150">
        <v>13</v>
      </c>
      <c r="B73" s="3424"/>
      <c r="C73" s="1064" t="s">
        <v>1526</v>
      </c>
      <c r="D73" s="1064" t="s">
        <v>1527</v>
      </c>
      <c r="E73" s="1135">
        <v>0.4</v>
      </c>
      <c r="F73" s="1150">
        <v>60</v>
      </c>
    </row>
    <row r="74" spans="1:6" s="1101" customFormat="1" ht="24">
      <c r="A74" s="1150">
        <v>14</v>
      </c>
      <c r="B74" s="3424"/>
      <c r="C74" s="1064" t="s">
        <v>1528</v>
      </c>
      <c r="D74" s="1064" t="s">
        <v>1529</v>
      </c>
      <c r="E74" s="1135">
        <v>0.2</v>
      </c>
      <c r="F74" s="1150">
        <v>30</v>
      </c>
    </row>
    <row r="75" spans="1:6" s="1101" customFormat="1" ht="24">
      <c r="A75" s="1150">
        <v>15</v>
      </c>
      <c r="B75" s="3424"/>
      <c r="C75" s="1064" t="s">
        <v>1530</v>
      </c>
      <c r="D75" s="1064" t="s">
        <v>1531</v>
      </c>
      <c r="E75" s="1135">
        <v>0.2</v>
      </c>
      <c r="F75" s="1150">
        <v>30</v>
      </c>
    </row>
    <row r="76" spans="1:6" s="1101" customFormat="1" ht="24">
      <c r="A76" s="1150">
        <v>16</v>
      </c>
      <c r="B76" s="3424" t="s">
        <v>1532</v>
      </c>
      <c r="C76" s="1064" t="s">
        <v>1533</v>
      </c>
      <c r="D76" s="1064" t="s">
        <v>1534</v>
      </c>
      <c r="E76" s="1135">
        <v>0.5</v>
      </c>
      <c r="F76" s="1150">
        <v>80</v>
      </c>
    </row>
    <row r="77" spans="1:6" s="1101" customFormat="1" ht="24">
      <c r="A77" s="1150">
        <v>17</v>
      </c>
      <c r="B77" s="3424"/>
      <c r="C77" s="1064" t="s">
        <v>1535</v>
      </c>
      <c r="D77" s="1064" t="s">
        <v>1536</v>
      </c>
      <c r="E77" s="1135">
        <v>0.5</v>
      </c>
      <c r="F77" s="1150">
        <v>80</v>
      </c>
    </row>
    <row r="78" spans="1:6" s="1101" customFormat="1" ht="24">
      <c r="A78" s="1150">
        <v>18</v>
      </c>
      <c r="B78" s="3424"/>
      <c r="C78" s="1064" t="s">
        <v>1537</v>
      </c>
      <c r="D78" s="1064" t="s">
        <v>1538</v>
      </c>
      <c r="E78" s="1135">
        <v>0.2</v>
      </c>
      <c r="F78" s="1150">
        <v>30</v>
      </c>
    </row>
    <row r="79" spans="1:6" s="1101" customFormat="1" ht="24">
      <c r="A79" s="1150">
        <v>19</v>
      </c>
      <c r="B79" s="3424"/>
      <c r="C79" s="1064" t="s">
        <v>1539</v>
      </c>
      <c r="D79" s="1064" t="s">
        <v>1540</v>
      </c>
      <c r="E79" s="1135">
        <v>0.5</v>
      </c>
      <c r="F79" s="1150">
        <v>80</v>
      </c>
    </row>
    <row r="80" spans="1:6" s="1101" customFormat="1" ht="36">
      <c r="A80" s="1150">
        <v>20</v>
      </c>
      <c r="B80" s="3424"/>
      <c r="C80" s="1064" t="s">
        <v>1541</v>
      </c>
      <c r="D80" s="1064" t="s">
        <v>1542</v>
      </c>
      <c r="E80" s="1135">
        <v>0.2</v>
      </c>
      <c r="F80" s="1150">
        <v>30</v>
      </c>
    </row>
    <row r="81" spans="1:6" s="1101" customFormat="1" ht="36">
      <c r="A81" s="1150">
        <v>21</v>
      </c>
      <c r="B81" s="3424"/>
      <c r="C81" s="1064" t="s">
        <v>1543</v>
      </c>
      <c r="D81" s="1064" t="s">
        <v>1544</v>
      </c>
      <c r="E81" s="1135">
        <v>0.2</v>
      </c>
      <c r="F81" s="1150">
        <v>30</v>
      </c>
    </row>
    <row r="82" spans="1:6" s="1101" customFormat="1" ht="48">
      <c r="A82" s="1150">
        <v>22</v>
      </c>
      <c r="B82" s="3424"/>
      <c r="C82" s="1064" t="s">
        <v>1545</v>
      </c>
      <c r="D82" s="1064" t="s">
        <v>1546</v>
      </c>
      <c r="E82" s="1135">
        <v>0.2</v>
      </c>
      <c r="F82" s="1150">
        <v>30</v>
      </c>
    </row>
    <row r="83" spans="1:6" s="1101" customFormat="1" ht="48">
      <c r="A83" s="1150">
        <v>23</v>
      </c>
      <c r="B83" s="3424"/>
      <c r="C83" s="1064" t="s">
        <v>1547</v>
      </c>
      <c r="D83" s="1064" t="s">
        <v>1548</v>
      </c>
      <c r="E83" s="1135">
        <v>0.2</v>
      </c>
      <c r="F83" s="1150">
        <v>30</v>
      </c>
    </row>
    <row r="84" spans="1:6" s="1101" customFormat="1" ht="36">
      <c r="A84" s="1150">
        <v>24</v>
      </c>
      <c r="B84" s="3424"/>
      <c r="C84" s="1064" t="s">
        <v>1549</v>
      </c>
      <c r="D84" s="1064" t="s">
        <v>1550</v>
      </c>
      <c r="E84" s="1135">
        <v>0.2</v>
      </c>
      <c r="F84" s="1150">
        <v>30</v>
      </c>
    </row>
    <row r="85" spans="1:6" s="1101" customFormat="1" ht="36">
      <c r="A85" s="1150">
        <v>25</v>
      </c>
      <c r="B85" s="3424"/>
      <c r="C85" s="1064" t="s">
        <v>1551</v>
      </c>
      <c r="D85" s="1064" t="s">
        <v>1552</v>
      </c>
      <c r="E85" s="1135">
        <v>0.5</v>
      </c>
      <c r="F85" s="1150">
        <v>80</v>
      </c>
    </row>
    <row r="86" spans="1:6" s="1101" customFormat="1" ht="36">
      <c r="A86" s="1150">
        <v>26</v>
      </c>
      <c r="B86" s="3424"/>
      <c r="C86" s="1064" t="s">
        <v>1553</v>
      </c>
      <c r="D86" s="1064" t="s">
        <v>1554</v>
      </c>
      <c r="E86" s="1135">
        <v>0.2</v>
      </c>
      <c r="F86" s="1150">
        <v>30</v>
      </c>
    </row>
    <row r="87" spans="1:6" s="1101" customFormat="1" ht="36">
      <c r="A87" s="1150">
        <v>27</v>
      </c>
      <c r="B87" s="3424"/>
      <c r="C87" s="1064" t="s">
        <v>1555</v>
      </c>
      <c r="D87" s="1064" t="s">
        <v>1556</v>
      </c>
      <c r="E87" s="1135">
        <v>0.2</v>
      </c>
      <c r="F87" s="1150">
        <v>30</v>
      </c>
    </row>
    <row r="88" spans="1:6" s="1101" customFormat="1" ht="36">
      <c r="A88" s="1150">
        <v>28</v>
      </c>
      <c r="B88" s="3424"/>
      <c r="C88" s="1064" t="s">
        <v>1557</v>
      </c>
      <c r="D88" s="1064" t="s">
        <v>1558</v>
      </c>
      <c r="E88" s="1135">
        <v>0.2</v>
      </c>
      <c r="F88" s="1150">
        <v>30</v>
      </c>
    </row>
    <row r="89" spans="1:6" s="1101" customFormat="1" ht="24">
      <c r="A89" s="1150">
        <v>29</v>
      </c>
      <c r="B89" s="3424"/>
      <c r="C89" s="1064" t="s">
        <v>1559</v>
      </c>
      <c r="D89" s="1064" t="s">
        <v>1560</v>
      </c>
      <c r="E89" s="1135">
        <v>0.2</v>
      </c>
      <c r="F89" s="1150">
        <v>30</v>
      </c>
    </row>
    <row r="90" spans="1:6" s="1101" customFormat="1" ht="24">
      <c r="A90" s="1150">
        <v>30</v>
      </c>
      <c r="B90" s="3424"/>
      <c r="C90" s="1064" t="s">
        <v>1561</v>
      </c>
      <c r="D90" s="1064" t="s">
        <v>1562</v>
      </c>
      <c r="E90" s="1135">
        <v>0.2</v>
      </c>
      <c r="F90" s="1150">
        <v>30</v>
      </c>
    </row>
    <row r="91" spans="1:6" s="1101" customFormat="1" ht="36">
      <c r="A91" s="1150">
        <v>31</v>
      </c>
      <c r="B91" s="3424"/>
      <c r="C91" s="1064" t="s">
        <v>1563</v>
      </c>
      <c r="D91" s="1064" t="s">
        <v>1564</v>
      </c>
      <c r="E91" s="1135">
        <v>0.2</v>
      </c>
      <c r="F91" s="1150">
        <v>30</v>
      </c>
    </row>
    <row r="92" spans="1:6" s="1101" customFormat="1" ht="24">
      <c r="A92" s="1150">
        <v>32</v>
      </c>
      <c r="B92" s="3424" t="s">
        <v>1565</v>
      </c>
      <c r="C92" s="1150" t="s">
        <v>1566</v>
      </c>
      <c r="D92" s="1064" t="s">
        <v>1567</v>
      </c>
      <c r="E92" s="1135">
        <v>0.2</v>
      </c>
      <c r="F92" s="1150">
        <v>30</v>
      </c>
    </row>
    <row r="93" spans="1:6" s="1101" customFormat="1" ht="36">
      <c r="A93" s="1150">
        <v>33</v>
      </c>
      <c r="B93" s="3424"/>
      <c r="C93" s="1150" t="s">
        <v>1568</v>
      </c>
      <c r="D93" s="1064" t="s">
        <v>1569</v>
      </c>
      <c r="E93" s="1135">
        <v>0.2</v>
      </c>
      <c r="F93" s="1150">
        <v>30</v>
      </c>
    </row>
    <row r="94" spans="1:6" s="1101" customFormat="1" ht="48">
      <c r="A94" s="1150">
        <v>34</v>
      </c>
      <c r="B94" s="3424"/>
      <c r="C94" s="1150" t="s">
        <v>1570</v>
      </c>
      <c r="D94" s="1064" t="s">
        <v>1571</v>
      </c>
      <c r="E94" s="1135">
        <v>0.2</v>
      </c>
      <c r="F94" s="1150">
        <v>30</v>
      </c>
    </row>
    <row r="95" spans="1:6" s="1101" customFormat="1" ht="36">
      <c r="A95" s="1150">
        <v>35</v>
      </c>
      <c r="B95" s="3424"/>
      <c r="C95" s="1150" t="s">
        <v>1572</v>
      </c>
      <c r="D95" s="1064" t="s">
        <v>1573</v>
      </c>
      <c r="E95" s="1135">
        <v>0.2</v>
      </c>
      <c r="F95" s="1150">
        <v>30</v>
      </c>
    </row>
    <row r="96" spans="1:6" s="1101" customFormat="1" ht="48">
      <c r="A96" s="1150">
        <v>36</v>
      </c>
      <c r="B96" s="3424"/>
      <c r="C96" s="1064" t="s">
        <v>1574</v>
      </c>
      <c r="D96" s="1064" t="s">
        <v>1575</v>
      </c>
      <c r="E96" s="1135">
        <v>0.2</v>
      </c>
      <c r="F96" s="1150">
        <v>30</v>
      </c>
    </row>
    <row r="97" spans="1:6" s="1101" customFormat="1" ht="36">
      <c r="A97" s="1150">
        <v>37</v>
      </c>
      <c r="B97" s="3424"/>
      <c r="C97" s="1150" t="s">
        <v>1576</v>
      </c>
      <c r="D97" s="1064" t="s">
        <v>1577</v>
      </c>
      <c r="E97" s="1135">
        <v>0.2</v>
      </c>
      <c r="F97" s="1150">
        <v>30</v>
      </c>
    </row>
    <row r="98" spans="1:6" s="1101" customFormat="1" ht="36">
      <c r="A98" s="1150">
        <v>38</v>
      </c>
      <c r="B98" s="3424"/>
      <c r="C98" s="1150" t="s">
        <v>1578</v>
      </c>
      <c r="D98" s="1064" t="s">
        <v>1579</v>
      </c>
      <c r="E98" s="1135">
        <v>0.2</v>
      </c>
      <c r="F98" s="1150">
        <v>30</v>
      </c>
    </row>
    <row r="99" spans="1:6" s="1101" customFormat="1" ht="36">
      <c r="A99" s="1150">
        <v>39</v>
      </c>
      <c r="B99" s="3424" t="s">
        <v>1580</v>
      </c>
      <c r="C99" s="1150" t="s">
        <v>1581</v>
      </c>
      <c r="D99" s="1064" t="s">
        <v>1582</v>
      </c>
      <c r="E99" s="1135">
        <v>0.3</v>
      </c>
      <c r="F99" s="1150">
        <v>50</v>
      </c>
    </row>
    <row r="100" spans="1:6" s="1101" customFormat="1" ht="24">
      <c r="A100" s="1150">
        <v>40</v>
      </c>
      <c r="B100" s="3424"/>
      <c r="C100" s="1150" t="s">
        <v>1583</v>
      </c>
      <c r="D100" s="1064" t="s">
        <v>1584</v>
      </c>
      <c r="E100" s="1135">
        <v>0.2</v>
      </c>
      <c r="F100" s="1150">
        <v>30</v>
      </c>
    </row>
    <row r="101" spans="1:6" s="1101" customFormat="1" ht="36">
      <c r="A101" s="1150">
        <v>41</v>
      </c>
      <c r="B101" s="342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4" t="s">
        <v>1595</v>
      </c>
      <c r="C105" s="1150" t="s">
        <v>1596</v>
      </c>
      <c r="D105" s="1064" t="s">
        <v>1597</v>
      </c>
      <c r="E105" s="1135">
        <v>0.2</v>
      </c>
      <c r="F105" s="1150">
        <v>30</v>
      </c>
    </row>
    <row r="106" spans="1:6" s="1101" customFormat="1" ht="36">
      <c r="A106" s="1150">
        <v>46</v>
      </c>
      <c r="B106" s="3424"/>
      <c r="C106" s="1150" t="s">
        <v>1598</v>
      </c>
      <c r="D106" s="1064" t="s">
        <v>1599</v>
      </c>
      <c r="E106" s="1135">
        <v>0.2</v>
      </c>
      <c r="F106" s="1150">
        <v>30</v>
      </c>
    </row>
    <row r="107" spans="1:6" s="1101" customFormat="1" ht="36">
      <c r="A107" s="1150">
        <v>47</v>
      </c>
      <c r="B107" s="3424" t="s">
        <v>1600</v>
      </c>
      <c r="C107" s="1150" t="s">
        <v>1601</v>
      </c>
      <c r="D107" s="1064" t="s">
        <v>1602</v>
      </c>
      <c r="E107" s="1135">
        <v>0.3</v>
      </c>
      <c r="F107" s="1150">
        <v>50</v>
      </c>
    </row>
    <row r="108" spans="1:6" s="1101" customFormat="1" ht="36">
      <c r="A108" s="1150">
        <v>48</v>
      </c>
      <c r="B108" s="342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4" t="s">
        <v>1611</v>
      </c>
      <c r="C111" s="1150" t="s">
        <v>1612</v>
      </c>
      <c r="D111" s="1064" t="s">
        <v>1613</v>
      </c>
      <c r="E111" s="1135">
        <v>0.2</v>
      </c>
      <c r="F111" s="1150">
        <v>30</v>
      </c>
    </row>
    <row r="112" spans="1:6" s="1101" customFormat="1" ht="24">
      <c r="A112" s="1150">
        <v>52</v>
      </c>
      <c r="B112" s="3424"/>
      <c r="C112" s="1150" t="s">
        <v>1614</v>
      </c>
      <c r="D112" s="1064" t="s">
        <v>1615</v>
      </c>
      <c r="E112" s="1135">
        <v>0.2</v>
      </c>
      <c r="F112" s="1150">
        <v>30</v>
      </c>
    </row>
    <row r="113" spans="1:14" s="1101" customFormat="1" ht="24">
      <c r="A113" s="1150">
        <v>53</v>
      </c>
      <c r="B113" s="342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4" t="s">
        <v>1624</v>
      </c>
      <c r="C116" s="1150" t="s">
        <v>1625</v>
      </c>
      <c r="D116" s="1064" t="s">
        <v>1626</v>
      </c>
      <c r="E116" s="1135">
        <v>0.2</v>
      </c>
      <c r="F116" s="1150">
        <v>30</v>
      </c>
    </row>
    <row r="117" spans="1:14" ht="36">
      <c r="A117" s="1150">
        <v>57</v>
      </c>
      <c r="B117" s="342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3" t="s">
        <v>1633</v>
      </c>
      <c r="B121" s="3423"/>
      <c r="C121" s="3423"/>
      <c r="D121" s="3423"/>
      <c r="E121" s="3423"/>
      <c r="F121" s="3423"/>
      <c r="G121" s="3423"/>
      <c r="H121" s="3423"/>
      <c r="I121" s="3423"/>
      <c r="J121" s="342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8" t="s">
        <v>1039</v>
      </c>
      <c r="B1" s="3438"/>
      <c r="C1" s="3438"/>
      <c r="D1" s="3438"/>
      <c r="E1" s="3438"/>
      <c r="F1" s="343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9" t="s">
        <v>1052</v>
      </c>
      <c r="B2" s="3439"/>
      <c r="C2" s="3439"/>
      <c r="D2" s="3439"/>
      <c r="E2" s="3439"/>
      <c r="F2" s="343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36332.1平方米。根据《建设工程规划许可证》[]、《出让合同》[]，估价对象规划建筑面积为111854.36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2020年3月19日</v>
      </c>
    </row>
    <row r="12" spans="1:4" ht="18.75">
      <c r="A12" s="1782" t="s">
        <v>2023</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根据《国有土地使用证》[]，估价对象（分摊）出让国有建设用地使用权面积为36332.1平方米。根据《建设工程规划许可证》[]、《出让合同》[]，估价对象规划建筑面积为111854.36平方米。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本次估价对象为出让国有建设用地使用权，《国有土地使用证》[]证载土地终止日期为住宅2087年5月21日、商业2057年5月21日车库2067年5月21日。截至估价期日，出让国有建设用地使用权剩余土地使用年限为。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2" t="s">
        <v>2077</v>
      </c>
      <c r="B1" s="3442"/>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5" t="s">
        <v>2573</v>
      </c>
      <c r="C1" s="3445"/>
      <c r="D1" s="3445"/>
      <c r="E1" s="3445"/>
      <c r="F1" s="3445"/>
      <c r="G1" s="3444" t="s">
        <v>2574</v>
      </c>
      <c r="H1" s="3444"/>
      <c r="I1" s="3444"/>
      <c r="J1" s="3444"/>
      <c r="K1" s="3444"/>
      <c r="L1" s="3444"/>
      <c r="N1" s="3444" t="s">
        <v>2575</v>
      </c>
      <c r="O1" s="3444"/>
      <c r="P1" s="3444"/>
      <c r="Q1" s="3444"/>
      <c r="R1" s="2618"/>
      <c r="S1" s="3444" t="s">
        <v>2576</v>
      </c>
      <c r="T1" s="3444"/>
      <c r="U1" s="3444"/>
      <c r="V1" s="3444"/>
      <c r="X1" s="3443" t="s">
        <v>2636</v>
      </c>
      <c r="Y1" s="3444"/>
      <c r="Z1" s="3444"/>
      <c r="AA1" s="3444"/>
      <c r="AB1" s="3444"/>
      <c r="AD1" s="3443" t="s">
        <v>2640</v>
      </c>
      <c r="AE1" s="3444"/>
      <c r="AF1" s="3444"/>
      <c r="AG1" s="3444"/>
      <c r="AH1" s="3444"/>
    </row>
    <row r="2" spans="1:34" s="2719" customFormat="1" ht="14.25" thickBot="1">
      <c r="B2" s="2727" t="s">
        <v>2577</v>
      </c>
      <c r="C2" s="2727" t="s">
        <v>2638</v>
      </c>
      <c r="D2" s="2720" t="s">
        <v>1644</v>
      </c>
      <c r="E2" s="2720" t="s">
        <v>1947</v>
      </c>
      <c r="F2" s="2727" t="s">
        <v>2639</v>
      </c>
      <c r="G2" s="2723"/>
      <c r="H2" s="2722"/>
      <c r="I2" s="2727" t="s">
        <v>2954</v>
      </c>
      <c r="J2" s="2720" t="s">
        <v>2956</v>
      </c>
      <c r="K2" s="2720" t="s">
        <v>2957</v>
      </c>
      <c r="L2" s="2727" t="s">
        <v>2958</v>
      </c>
      <c r="N2" s="2727" t="s">
        <v>2577</v>
      </c>
      <c r="O2" s="2720" t="s">
        <v>2955</v>
      </c>
      <c r="P2" s="2720" t="s">
        <v>1947</v>
      </c>
      <c r="Q2" s="2727" t="s">
        <v>2639</v>
      </c>
      <c r="R2" s="2721"/>
      <c r="S2" s="2727" t="s">
        <v>2577</v>
      </c>
      <c r="T2" s="2720" t="s">
        <v>2955</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25">
      <c r="A3" s="3095" t="s">
        <v>2967</v>
      </c>
      <c r="B3" s="3084"/>
      <c r="C3" s="3084"/>
      <c r="D3" s="3085"/>
      <c r="E3" s="3085"/>
      <c r="F3" s="3084"/>
      <c r="G3" s="3086"/>
      <c r="H3" s="3087"/>
      <c r="I3" s="3094">
        <f>ROUND(AVERAGE($I4:$I29),2)</f>
        <v>1.9</v>
      </c>
      <c r="J3" s="3094">
        <f>ROUND(AVERAGE($J4:$J29),2)</f>
        <v>1.35</v>
      </c>
      <c r="K3" s="3094">
        <f>ROUND(AVERAGE($K4:$K29),2)</f>
        <v>2.08</v>
      </c>
      <c r="L3" s="3094">
        <f>ROUND(AVERAGE($L4:$L29),2)</f>
        <v>1.33</v>
      </c>
      <c r="N3" s="3086"/>
      <c r="O3" s="3088"/>
      <c r="P3" s="3088"/>
      <c r="Q3" s="3088"/>
      <c r="R3" s="3088"/>
      <c r="S3" s="3086"/>
      <c r="T3" s="3088"/>
      <c r="U3" s="3088"/>
      <c r="V3" s="3088"/>
      <c r="W3" s="3091"/>
      <c r="X3" s="3089">
        <f>ROUND(SUMPRODUCT(PRODUCT(1+N3:N$28)),4)</f>
        <v>1.5516000000000001</v>
      </c>
      <c r="Y3" s="3089">
        <f>ROUND(SUMPRODUCT(PRODUCT(1+O3:O$28)),4)</f>
        <v>1.3649</v>
      </c>
      <c r="Z3" s="3089">
        <f t="shared" ref="Z3:Z26" si="0">Y3</f>
        <v>1.3649</v>
      </c>
      <c r="AA3" s="3089">
        <f>ROUND(SUMPRODUCT(PRODUCT(1+P3:P$28)),4)</f>
        <v>1.6133999999999999</v>
      </c>
      <c r="AB3" s="3089">
        <f>ROUND(SUMPRODUCT(PRODUCT(1+Q3:Q$28)),4)</f>
        <v>1.3713</v>
      </c>
      <c r="AD3" s="3090">
        <f>ROUND(AVERAGE(I3:I$29)/100,4)</f>
        <v>1.9E-2</v>
      </c>
      <c r="AE3" s="3090">
        <f>ROUND(AVERAGE(J3:J$29)/100,4)</f>
        <v>1.35E-2</v>
      </c>
      <c r="AF3" s="3090">
        <f t="shared" ref="AF3:AF27" si="1">AE3</f>
        <v>1.35E-2</v>
      </c>
      <c r="AG3" s="3090">
        <f>ROUND(AVERAGE(K3:K$29)/100,4)</f>
        <v>2.0799999999999999E-2</v>
      </c>
      <c r="AH3" s="3090">
        <f>ROUND(AVERAGE(L3:L$29)/100,4)</f>
        <v>1.3299999999999999E-2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2996</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2968</v>
      </c>
      <c r="X5" s="3070">
        <f>ROUND(IF(项目基本情况!B8="出让",SUMPRODUCT(PRODUCT(1+N5:N$29)),SUMPRODUCT(PRODUCT(1+N5:N$28))),4)</f>
        <v>1.5516000000000001</v>
      </c>
      <c r="Y5" s="3070">
        <f>ROUND(IF(项目基本情况!B8="出让",SUMPRODUCT(PRODUCT(1+O5:O$29)),SUMPRODUCT(PRODUCT(1+O5:O$28))),4)</f>
        <v>1.3649</v>
      </c>
      <c r="Z5" s="3070">
        <f t="shared" ref="Z5" si="11">Y5</f>
        <v>1.3649</v>
      </c>
      <c r="AA5" s="3070">
        <f>ROUND(IF(项目基本情况!B8="出让",SUMPRODUCT(PRODUCT(1+P5:P$29)),SUMPRODUCT(PRODUCT(1+P5:P$28))),4)</f>
        <v>1.6133999999999999</v>
      </c>
      <c r="AB5" s="3070">
        <f>ROUND(IF(项目基本情况!B8="出让",SUMPRODUCT(PRODUCT(1+Q5:Q$29)),SUMPRODUCT(PRODUCT(1+Q5:Q$28))),4)</f>
        <v>1.3713</v>
      </c>
      <c r="AD5" s="3071">
        <f>ROUND(AVERAGE(I5:I$29)/100,4)</f>
        <v>1.9E-2</v>
      </c>
      <c r="AE5" s="3071">
        <f>ROUND(AVERAGE(J5:J$29)/100,4)</f>
        <v>1.35E-2</v>
      </c>
      <c r="AF5" s="3071">
        <f t="shared" ref="AF5" si="12">AE5</f>
        <v>1.35E-2</v>
      </c>
      <c r="AG5" s="3071">
        <f>ROUND(AVERAGE(K5:K$29)/100,4)</f>
        <v>2.0799999999999999E-2</v>
      </c>
      <c r="AH5" s="3071">
        <f>ROUND(AVERAGE(L5:L$29)/100,4)</f>
        <v>1.3299999999999999E-2</v>
      </c>
    </row>
    <row r="6" spans="1:34" s="2724" customFormat="1">
      <c r="A6" s="2619" t="s">
        <v>2992</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2991</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2988</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2987</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2984</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47">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2977</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47"/>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2978</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47"/>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2974</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53"/>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2965</v>
      </c>
      <c r="B14" s="3097">
        <v>439</v>
      </c>
      <c r="C14" s="3097">
        <v>327</v>
      </c>
      <c r="D14" s="3097">
        <f t="shared" si="87"/>
        <v>327</v>
      </c>
      <c r="E14" s="3097">
        <v>627</v>
      </c>
      <c r="F14" s="3098">
        <v>283</v>
      </c>
      <c r="G14" s="3452">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2969</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47"/>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47"/>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53"/>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52">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47"/>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47"/>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48"/>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4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47"/>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47"/>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48"/>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4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47"/>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47"/>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48"/>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49">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50"/>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50"/>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51"/>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4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47"/>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47"/>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2587</v>
      </c>
      <c r="B37" s="2632">
        <f>B36/(1+N36)</f>
        <v>275.19025476197027</v>
      </c>
      <c r="C37" s="2664">
        <v>232</v>
      </c>
      <c r="D37" s="2664">
        <f t="shared" si="109"/>
        <v>232</v>
      </c>
      <c r="E37" s="2632">
        <f t="shared" si="120"/>
        <v>375.65990977608692</v>
      </c>
      <c r="F37" s="2632">
        <f t="shared" si="120"/>
        <v>214.12518283971252</v>
      </c>
      <c r="G37" s="3448"/>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4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47">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47">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48">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4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47">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47">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48">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4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47">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47">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48">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4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47">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47">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48">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4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47">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47">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48">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4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47">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47">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48">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4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47">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47">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48">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4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47">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47">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48">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46">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47">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47">
        <v>2003</v>
      </c>
      <c r="H72" s="2623">
        <v>2</v>
      </c>
      <c r="I72" s="2685"/>
      <c r="J72" s="2685"/>
      <c r="K72" s="2685"/>
      <c r="L72" s="2685"/>
      <c r="X72" s="2677"/>
      <c r="Y72" s="2677"/>
      <c r="Z72" s="2677"/>
    </row>
    <row r="73" spans="1:26" ht="13.5" thickBot="1">
      <c r="A73" s="2619" t="s">
        <v>2623</v>
      </c>
      <c r="B73" s="2687">
        <f t="shared" si="145"/>
        <v>107.25</v>
      </c>
      <c r="C73" s="2687">
        <f t="shared" si="145"/>
        <v>108.75</v>
      </c>
      <c r="D73" s="2687">
        <f t="shared" si="109"/>
        <v>108.75</v>
      </c>
      <c r="E73" s="2687">
        <f t="shared" si="146"/>
        <v>105.75</v>
      </c>
      <c r="F73" s="2687">
        <f t="shared" si="146"/>
        <v>102.5</v>
      </c>
      <c r="G73" s="3448">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46">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47">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47">
        <v>2002</v>
      </c>
      <c r="H76" s="2623">
        <v>2</v>
      </c>
      <c r="I76" s="2685"/>
      <c r="J76" s="2685"/>
      <c r="K76" s="2685"/>
      <c r="L76" s="2685"/>
      <c r="X76" s="2677"/>
      <c r="Y76" s="2677"/>
      <c r="Z76" s="2677"/>
    </row>
    <row r="77" spans="1:26" s="2654" customFormat="1" ht="13.5" thickBot="1">
      <c r="A77" s="2650" t="s">
        <v>2627</v>
      </c>
      <c r="B77" s="2691">
        <f t="shared" si="147"/>
        <v>103</v>
      </c>
      <c r="C77" s="2691">
        <f t="shared" si="147"/>
        <v>104</v>
      </c>
      <c r="D77" s="2691">
        <f t="shared" si="109"/>
        <v>104</v>
      </c>
      <c r="E77" s="2691">
        <f t="shared" si="148"/>
        <v>103.5</v>
      </c>
      <c r="F77" s="2691">
        <f t="shared" si="148"/>
        <v>100.5</v>
      </c>
      <c r="G77" s="3448">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5"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t="e">
        <f ca="1">SUMIF(B7:B14,"&lt;&gt;#ref!",B7:B14)</f>
        <v>#DIV/0!</v>
      </c>
      <c r="C2" s="3058" t="s">
        <v>2943</v>
      </c>
      <c r="D2" s="3057"/>
      <c r="E2" s="3057"/>
      <c r="F2" s="3057"/>
    </row>
    <row r="3" spans="1:6" ht="14.25">
      <c r="A3" s="3058" t="s">
        <v>2975</v>
      </c>
      <c r="B3" s="3059" t="e">
        <f ca="1">ROUND(B2*10000/E3,0)</f>
        <v>#DIV/0!</v>
      </c>
      <c r="C3" s="3058" t="s">
        <v>2076</v>
      </c>
      <c r="D3" s="3058" t="s">
        <v>2944</v>
      </c>
      <c r="E3" s="3059">
        <f ca="1">SUMIF(E7:E14,"&lt;&gt;#ref!",E7:E14)</f>
        <v>0</v>
      </c>
      <c r="F3" s="3057"/>
    </row>
    <row r="4" spans="1:6" ht="14.25">
      <c r="A4" s="3058" t="s">
        <v>2951</v>
      </c>
      <c r="B4" s="3059" t="e">
        <f ca="1">ROUND(B2*10000/E4,0)</f>
        <v>#DIV/0!</v>
      </c>
      <c r="C4" s="3058" t="s">
        <v>2076</v>
      </c>
      <c r="D4" s="3058" t="s">
        <v>2952</v>
      </c>
      <c r="E4" s="3059">
        <f ca="1">SUMIF(F7:F14,"&lt;&gt;#ref!",F7:F14)</f>
        <v>0</v>
      </c>
      <c r="F4" s="3057"/>
    </row>
    <row r="5" spans="1:6" ht="14.25">
      <c r="A5" s="3060"/>
      <c r="B5" s="1866"/>
      <c r="C5" s="1866"/>
      <c r="D5" s="1866"/>
      <c r="E5" s="1866"/>
      <c r="F5" s="3057"/>
    </row>
    <row r="6" spans="1:6" ht="28.5">
      <c r="A6" s="3061" t="s">
        <v>2948</v>
      </c>
      <c r="B6" s="3058" t="s">
        <v>2945</v>
      </c>
      <c r="C6" s="3059"/>
      <c r="D6" s="1866"/>
      <c r="E6" s="3058" t="s">
        <v>2946</v>
      </c>
      <c r="F6" s="3058" t="s">
        <v>2950</v>
      </c>
    </row>
    <row r="7" spans="1:6" ht="14.25">
      <c r="A7" s="260" t="s">
        <v>2949</v>
      </c>
      <c r="B7" s="3062" t="e">
        <f ca="1">SUMIF(INDIRECT("'"&amp;A7&amp;"'"&amp;"!A:A"),"总价",INDIRECT("'"&amp;A7&amp;"'"&amp;"!B:B"))</f>
        <v>#DIV/0!</v>
      </c>
      <c r="C7" s="3058" t="s">
        <v>2943</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2943</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6"/>
      <c r="E9" s="3063" t="e">
        <f t="shared" ca="1" si="1"/>
        <v>#REF!</v>
      </c>
      <c r="F9" s="3063" t="e">
        <f t="shared" ca="1" si="2"/>
        <v>#REF!</v>
      </c>
    </row>
    <row r="10" spans="1:6" ht="14.25">
      <c r="A10" s="260"/>
      <c r="B10" s="3062" t="e">
        <f t="shared" ca="1" si="0"/>
        <v>#REF!</v>
      </c>
      <c r="C10" s="3058" t="s">
        <v>2943</v>
      </c>
      <c r="D10" s="1866"/>
      <c r="E10" s="3063" t="e">
        <f t="shared" ca="1" si="1"/>
        <v>#REF!</v>
      </c>
      <c r="F10" s="3063" t="e">
        <f t="shared" ca="1" si="2"/>
        <v>#REF!</v>
      </c>
    </row>
    <row r="11" spans="1:6" ht="14.25">
      <c r="A11" s="260"/>
      <c r="B11" s="3062" t="e">
        <f t="shared" ca="1" si="0"/>
        <v>#REF!</v>
      </c>
      <c r="C11" s="3058" t="s">
        <v>2943</v>
      </c>
      <c r="D11" s="1866"/>
      <c r="E11" s="3063" t="e">
        <f t="shared" ca="1" si="1"/>
        <v>#REF!</v>
      </c>
      <c r="F11" s="3063" t="e">
        <f t="shared" ca="1" si="2"/>
        <v>#REF!</v>
      </c>
    </row>
    <row r="12" spans="1:6" ht="14.25">
      <c r="A12" s="260"/>
      <c r="B12" s="3062" t="e">
        <f t="shared" ca="1" si="0"/>
        <v>#REF!</v>
      </c>
      <c r="C12" s="3058" t="s">
        <v>2943</v>
      </c>
      <c r="D12" s="1866"/>
      <c r="E12" s="3063" t="e">
        <f t="shared" ca="1" si="1"/>
        <v>#REF!</v>
      </c>
      <c r="F12" s="3063" t="e">
        <f t="shared" ca="1" si="2"/>
        <v>#REF!</v>
      </c>
    </row>
    <row r="13" spans="1:6" ht="14.25">
      <c r="A13" s="260"/>
      <c r="B13" s="3062" t="e">
        <f t="shared" ca="1" si="0"/>
        <v>#REF!</v>
      </c>
      <c r="C13" s="3058" t="s">
        <v>2943</v>
      </c>
      <c r="D13" s="1866"/>
      <c r="E13" s="3063" t="e">
        <f t="shared" ca="1" si="1"/>
        <v>#REF!</v>
      </c>
      <c r="F13" s="3063" t="e">
        <f t="shared" ca="1" si="2"/>
        <v>#REF!</v>
      </c>
    </row>
    <row r="14" spans="1:6" ht="14.25">
      <c r="A14" s="3056"/>
      <c r="B14" s="3062" t="e">
        <f t="shared" ca="1" si="0"/>
        <v>#REF!</v>
      </c>
      <c r="C14" s="3058" t="s">
        <v>2943</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-2</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55" t="s">
        <v>2461</v>
      </c>
      <c r="C8" s="1810">
        <f ca="1">ROUND(F8*F10*F9*(1-F11)/10000,0)</f>
        <v>0</v>
      </c>
      <c r="D8" s="1807" t="s">
        <v>2532</v>
      </c>
      <c r="E8" s="61" t="s">
        <v>637</v>
      </c>
      <c r="F8" s="785">
        <f ca="1">INDIRECT("'数据-取费表'!u"&amp;$G$1)</f>
        <v>0</v>
      </c>
      <c r="G8" s="1578"/>
      <c r="H8" s="2468" t="s">
        <v>1824</v>
      </c>
      <c r="I8" s="3455" t="s">
        <v>2461</v>
      </c>
      <c r="J8" s="783">
        <f ca="1">ROUND(M8*M10*M9*(1-M11)/10000,0)</f>
        <v>0</v>
      </c>
      <c r="K8" s="341" t="s">
        <v>2532</v>
      </c>
      <c r="L8" s="784" t="s">
        <v>1738</v>
      </c>
      <c r="M8" s="785">
        <f ca="1">INDIRECT("'数据-取费表'!z"&amp;$G$1)</f>
        <v>0</v>
      </c>
    </row>
    <row r="9" spans="1:25" ht="18" customHeight="1">
      <c r="A9" s="2464"/>
      <c r="B9" s="3456"/>
      <c r="C9" s="1811"/>
      <c r="D9" s="1808"/>
      <c r="E9" s="61" t="s">
        <v>638</v>
      </c>
      <c r="F9" s="785">
        <f ca="1">IF(INDIRECT("'数据-取费表'!ah"&amp;$G$1)="",INDIRECT("'数据-取费表'!k"&amp;$G$1),INDIRECT("'数据-取费表'!ah"&amp;$G$1))</f>
        <v>0</v>
      </c>
      <c r="G9" s="1578"/>
      <c r="H9" s="2453"/>
      <c r="I9" s="3456"/>
      <c r="J9" s="788"/>
      <c r="K9" s="789"/>
      <c r="L9" s="784" t="s">
        <v>1739</v>
      </c>
      <c r="M9" s="785">
        <f ca="1">F9</f>
        <v>0</v>
      </c>
    </row>
    <row r="10" spans="1:25" ht="18" customHeight="1">
      <c r="A10" s="2457"/>
      <c r="B10" s="3457"/>
      <c r="C10" s="1811"/>
      <c r="D10" s="1808"/>
      <c r="E10" s="61" t="s">
        <v>639</v>
      </c>
      <c r="F10" s="785">
        <f ca="1">INDIRECT("'数据-取费表'!ai"&amp;$G$1)</f>
        <v>0</v>
      </c>
      <c r="G10" s="1578"/>
      <c r="H10" s="2453"/>
      <c r="I10" s="3457"/>
      <c r="J10" s="788"/>
      <c r="K10" s="789"/>
      <c r="L10" s="784" t="s">
        <v>1740</v>
      </c>
      <c r="M10" s="785">
        <f ca="1">INDIRECT("'数据-取费表'!ai"&amp;$G$1)</f>
        <v>0</v>
      </c>
    </row>
    <row r="11" spans="1:25" ht="18" customHeight="1">
      <c r="A11" s="786"/>
      <c r="B11" s="3458"/>
      <c r="C11" s="1811"/>
      <c r="D11" s="1808"/>
      <c r="E11" s="61" t="s">
        <v>640</v>
      </c>
      <c r="F11" s="794">
        <f ca="1">INDIRECT("'数据-取费表'!w"&amp;$G$1)</f>
        <v>0</v>
      </c>
      <c r="G11" s="1578"/>
      <c r="H11" s="2469"/>
      <c r="I11" s="3457"/>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2972</v>
      </c>
      <c r="E12" s="2462" t="s">
        <v>2462</v>
      </c>
      <c r="F12" s="2585"/>
      <c r="G12" s="1578"/>
      <c r="H12" s="2525" t="s">
        <v>1825</v>
      </c>
      <c r="I12" s="2530" t="s">
        <v>2457</v>
      </c>
      <c r="J12" s="783">
        <f ca="1">ROUND(IF(M12="押一",J8/12*M13,IF(M12="押二",J8/12*2*M13,IF(M12="押三",J8/12*3*M13,J13*M13))),0)</f>
        <v>0</v>
      </c>
      <c r="K12" s="2465" t="s">
        <v>2972</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54"/>
      <c r="J36" s="2064"/>
      <c r="K36" s="2065"/>
      <c r="L36" s="2064"/>
      <c r="M36" s="2064"/>
    </row>
    <row r="37" spans="1:18" ht="18" customHeight="1">
      <c r="A37" s="815"/>
      <c r="B37" s="793"/>
      <c r="C37" s="69"/>
      <c r="D37" s="816"/>
      <c r="E37" s="784" t="s">
        <v>674</v>
      </c>
      <c r="F37" s="785">
        <f ca="1">INDIRECT("'数据-取费表'!r"&amp;$G$1)</f>
        <v>0</v>
      </c>
      <c r="G37" s="2047"/>
      <c r="H37" s="2050"/>
      <c r="I37" s="345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2960</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2976</v>
      </c>
      <c r="J54" s="3181">
        <f ca="1">IF(M48="住宅",MAX(J52,L49-'数据-取费表'!B20),MIN(J52,L49-'数据-取费表'!B20))</f>
        <v>-2</v>
      </c>
      <c r="K54" s="3459"/>
      <c r="L54" s="3460"/>
      <c r="O54" s="2365" t="s">
        <v>2386</v>
      </c>
      <c r="P54" s="2363" t="s">
        <v>2387</v>
      </c>
      <c r="Q54" s="2364">
        <f ca="1">J54</f>
        <v>-2</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2941</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3024</v>
      </c>
      <c r="E1" s="2351" t="s">
        <v>2372</v>
      </c>
      <c r="F1" s="2352">
        <f ca="1">J53</f>
        <v>45.2</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7877</v>
      </c>
      <c r="C2" s="2042"/>
      <c r="D2" s="2040"/>
      <c r="E2" s="2041"/>
      <c r="F2" s="2041"/>
      <c r="G2" s="1576"/>
      <c r="H2" s="2042"/>
      <c r="I2" s="2042"/>
      <c r="J2" s="2042"/>
      <c r="K2" s="2043"/>
      <c r="L2" s="2042"/>
      <c r="M2" s="2042"/>
    </row>
    <row r="3" spans="1:33" ht="18" customHeight="1" thickBot="1">
      <c r="A3" s="833" t="s">
        <v>1727</v>
      </c>
      <c r="B3" s="834">
        <f ca="1">IF(ISERROR(B2*10000/F43),0,ROUND(B2*10000/F43,0))</f>
        <v>2835</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548</v>
      </c>
      <c r="D5" s="2460" t="s">
        <v>2459</v>
      </c>
      <c r="E5" s="2454"/>
      <c r="F5" s="2455"/>
      <c r="G5" s="1578"/>
      <c r="H5" s="781">
        <v>1</v>
      </c>
      <c r="I5" s="782" t="s">
        <v>2456</v>
      </c>
      <c r="J5" s="55">
        <f ca="1">J6+J10+J12</f>
        <v>0</v>
      </c>
      <c r="K5" s="2460" t="s">
        <v>2459</v>
      </c>
      <c r="L5" s="2454"/>
      <c r="M5" s="2455"/>
    </row>
    <row r="6" spans="1:33" ht="18" customHeight="1">
      <c r="A6" s="1815" t="s">
        <v>1824</v>
      </c>
      <c r="B6" s="3455" t="s">
        <v>2461</v>
      </c>
      <c r="C6" s="783">
        <f ca="1">ROUND(F6*F8*F7*(1-F9)/10000,0)</f>
        <v>548</v>
      </c>
      <c r="D6" s="2461" t="s">
        <v>2460</v>
      </c>
      <c r="E6" s="784" t="s">
        <v>1738</v>
      </c>
      <c r="F6" s="785">
        <f ca="1">INDIRECT("'数据-取费表'!u"&amp;$G$1)</f>
        <v>0.6</v>
      </c>
      <c r="G6" s="1578"/>
      <c r="H6" s="2468" t="s">
        <v>2466</v>
      </c>
      <c r="I6" s="3455" t="s">
        <v>2461</v>
      </c>
      <c r="J6" s="783">
        <f ca="1">ROUND(M6*M8*M7*(1-M9)/10000,0)</f>
        <v>0</v>
      </c>
      <c r="K6" s="341" t="s">
        <v>1737</v>
      </c>
      <c r="L6" s="784" t="s">
        <v>1738</v>
      </c>
      <c r="M6" s="785">
        <f ca="1">INDIRECT("'数据-取费表'!z"&amp;$G$1)</f>
        <v>0</v>
      </c>
    </row>
    <row r="7" spans="1:33" ht="18" customHeight="1">
      <c r="A7" s="2464"/>
      <c r="B7" s="3456"/>
      <c r="C7" s="788"/>
      <c r="D7" s="789"/>
      <c r="E7" s="784" t="s">
        <v>1739</v>
      </c>
      <c r="F7" s="785">
        <f ca="1">IF(INDIRECT("'数据-取费表'!ah"&amp;$G$1)="",INDIRECT("'数据-取费表'!k"&amp;$G$1),INDIRECT("'数据-取费表'!ah"&amp;$G$1))</f>
        <v>27784.36</v>
      </c>
      <c r="G7" s="1578"/>
      <c r="H7" s="2453"/>
      <c r="I7" s="3456"/>
      <c r="J7" s="788"/>
      <c r="K7" s="789"/>
      <c r="L7" s="784" t="s">
        <v>1739</v>
      </c>
      <c r="M7" s="785">
        <f ca="1">F7</f>
        <v>27784.36</v>
      </c>
    </row>
    <row r="8" spans="1:33" ht="18" customHeight="1">
      <c r="A8" s="2457"/>
      <c r="B8" s="3457"/>
      <c r="C8" s="788"/>
      <c r="D8" s="789"/>
      <c r="E8" s="784" t="s">
        <v>1740</v>
      </c>
      <c r="F8" s="785">
        <f ca="1">INDIRECT("'数据-取费表'!ai"&amp;$G$1)</f>
        <v>365</v>
      </c>
      <c r="G8" s="1578"/>
      <c r="H8" s="2453"/>
      <c r="I8" s="3457"/>
      <c r="J8" s="788"/>
      <c r="K8" s="789"/>
      <c r="L8" s="784" t="s">
        <v>1740</v>
      </c>
      <c r="M8" s="785">
        <f ca="1">INDIRECT("'数据-取费表'!ai"&amp;$G$1)</f>
        <v>365</v>
      </c>
    </row>
    <row r="9" spans="1:33" ht="18" customHeight="1">
      <c r="A9" s="786"/>
      <c r="B9" s="3458"/>
      <c r="C9" s="788"/>
      <c r="D9" s="789"/>
      <c r="E9" s="784" t="s">
        <v>1741</v>
      </c>
      <c r="F9" s="794">
        <f ca="1">INDIRECT("'数据-取费表'!w"&amp;$G$1)</f>
        <v>0.1</v>
      </c>
      <c r="G9" s="1578"/>
      <c r="H9" s="2469"/>
      <c r="I9" s="3457"/>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2972</v>
      </c>
      <c r="E10" s="2462" t="s">
        <v>2462</v>
      </c>
      <c r="F10" s="2585" t="s">
        <v>3025</v>
      </c>
      <c r="G10" s="1578"/>
      <c r="H10" s="2525" t="s">
        <v>2467</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8176</v>
      </c>
      <c r="D13" s="1819" t="s">
        <v>2295</v>
      </c>
      <c r="E13" s="1819" t="s">
        <v>1744</v>
      </c>
      <c r="F13" s="2500">
        <f ca="1">INDIRECT("'数据-取费表'!y"&amp;$G$1)</f>
        <v>1</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6113</v>
      </c>
      <c r="D14" s="1964" t="s">
        <v>1745</v>
      </c>
      <c r="E14" s="1965"/>
      <c r="F14" s="805"/>
      <c r="G14" s="1578"/>
      <c r="H14" s="1634" t="s">
        <v>1830</v>
      </c>
      <c r="I14" s="2216" t="s">
        <v>2823</v>
      </c>
      <c r="J14" s="53">
        <f ca="1">C29</f>
        <v>8176</v>
      </c>
      <c r="K14" s="26"/>
      <c r="L14" s="801"/>
      <c r="M14" s="802"/>
    </row>
    <row r="15" spans="1:33" s="2049" customFormat="1" ht="18" customHeight="1" thickBot="1">
      <c r="A15" s="1633" t="s">
        <v>1885</v>
      </c>
      <c r="B15" s="784" t="s">
        <v>647</v>
      </c>
      <c r="C15" s="53">
        <f ca="1">ROUND(C14*F15,0)</f>
        <v>183</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824</v>
      </c>
      <c r="K16" s="1806" t="s">
        <v>1750</v>
      </c>
      <c r="L16" s="2450"/>
      <c r="M16" s="2455"/>
    </row>
    <row r="17" spans="1:33" s="2049" customFormat="1" ht="18" customHeight="1">
      <c r="A17" s="1633" t="s">
        <v>1887</v>
      </c>
      <c r="B17" s="784" t="s">
        <v>653</v>
      </c>
      <c r="C17" s="53">
        <f ca="1">ROUND(F17*(F43+INDIRECT("'数据-取费表'!S"&amp;$G$1))/10000,0)</f>
        <v>556</v>
      </c>
      <c r="D17" s="784" t="s">
        <v>1751</v>
      </c>
      <c r="E17" s="784" t="s">
        <v>1752</v>
      </c>
      <c r="F17" s="56">
        <f>'数据-取费表'!B35</f>
        <v>200</v>
      </c>
      <c r="G17" s="1579"/>
      <c r="H17" s="1634" t="s">
        <v>1830</v>
      </c>
      <c r="I17" s="784" t="s">
        <v>656</v>
      </c>
      <c r="J17" s="53">
        <f ca="1">ROUND(IF(项目基本情况!B11="自然人",J6*M17/(1+'数据-取费表'!C42),J18+J19+J20),0)</f>
        <v>701</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92</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6944</v>
      </c>
      <c r="D19" s="261" t="s">
        <v>1757</v>
      </c>
      <c r="E19" s="1967"/>
      <c r="F19" s="56"/>
      <c r="G19" s="1578"/>
      <c r="H19" s="1633" t="s">
        <v>1885</v>
      </c>
      <c r="I19" s="784" t="s">
        <v>1758</v>
      </c>
      <c r="J19" s="53">
        <f ca="1">IF(K19="按租金收入计税",ROUND(J6*M19/(1+'数据-取费表'!C42),1),ROUND(C29*F33*0.7,1))</f>
        <v>686.8</v>
      </c>
      <c r="K19" s="811" t="s">
        <v>665</v>
      </c>
      <c r="L19" s="784" t="s">
        <v>1747</v>
      </c>
      <c r="M19" s="809">
        <f>IF(K19="按租金收入计税",'数据-取费表'!B51,'数据-取费表'!B50)</f>
        <v>1.2E-2</v>
      </c>
    </row>
    <row r="20" spans="1:33" s="2049" customFormat="1" ht="18" customHeight="1">
      <c r="A20" s="1634" t="s">
        <v>1889</v>
      </c>
      <c r="B20" s="784" t="s">
        <v>666</v>
      </c>
      <c r="C20" s="53">
        <f ca="1">ROUND(C19*F20,0)</f>
        <v>139</v>
      </c>
      <c r="D20" s="812" t="s">
        <v>1759</v>
      </c>
      <c r="E20" s="784" t="s">
        <v>1747</v>
      </c>
      <c r="F20" s="809">
        <f>'数据-取费表'!B37</f>
        <v>0.02</v>
      </c>
      <c r="G20" s="1579"/>
      <c r="H20" s="1636" t="s">
        <v>1880</v>
      </c>
      <c r="I20" s="341" t="s">
        <v>1760</v>
      </c>
      <c r="J20" s="54">
        <f ca="1">ROUND(M20*M21/10000,0)</f>
        <v>14</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9024.81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123</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336</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-824</v>
      </c>
      <c r="K25" s="2512" t="s">
        <v>1777</v>
      </c>
      <c r="L25" s="2513"/>
      <c r="M25" s="2514"/>
    </row>
    <row r="26" spans="1:33" ht="18" customHeight="1">
      <c r="A26" s="1633" t="s">
        <v>1831</v>
      </c>
      <c r="B26" s="784" t="s">
        <v>2436</v>
      </c>
      <c r="C26" s="53">
        <f ca="1">ROUND((C19+C20)*F26,0)</f>
        <v>142</v>
      </c>
      <c r="D26" s="812" t="s">
        <v>1778</v>
      </c>
      <c r="E26" s="795" t="s">
        <v>1779</v>
      </c>
      <c r="F26" s="794">
        <f ca="1">INDIRECT("'数据-取费表'!q"&amp;$G$1)</f>
        <v>0.02</v>
      </c>
      <c r="G26" s="1578"/>
      <c r="H26" s="2466" t="s">
        <v>1780</v>
      </c>
      <c r="I26" s="2217" t="s">
        <v>2824</v>
      </c>
      <c r="J26" s="783">
        <f ca="1">IF(J5&lt;&gt;0,ROUND(J25*(1-((1+M28)/(1+M26))^M27)/(M26-M28),0),0)</f>
        <v>0</v>
      </c>
      <c r="K26" s="814" t="s">
        <v>1781</v>
      </c>
      <c r="L26" s="784" t="s">
        <v>2417</v>
      </c>
      <c r="M26" s="794">
        <f ca="1">INDIRECT("'数据-取费表'!I"&amp;$G$1)</f>
        <v>4.4999999999999998E-2</v>
      </c>
    </row>
    <row r="27" spans="1:33" ht="18" customHeight="1">
      <c r="A27" s="1633" t="s">
        <v>1832</v>
      </c>
      <c r="B27" s="784" t="s">
        <v>686</v>
      </c>
      <c r="C27" s="53">
        <f ca="1">ROUND(F21*F26,4)</f>
        <v>4.0000000000000002E-4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2297</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8176</v>
      </c>
      <c r="D29" s="2509"/>
      <c r="E29" s="2510"/>
      <c r="F29" s="2511"/>
      <c r="G29" s="1579"/>
      <c r="H29" s="823" t="s">
        <v>1787</v>
      </c>
      <c r="I29" s="824" t="s">
        <v>1788</v>
      </c>
      <c r="J29" s="825">
        <f ca="1">ROUND(J26/(1+F40)^F41,0)</f>
        <v>0</v>
      </c>
      <c r="K29" s="826" t="s">
        <v>1789</v>
      </c>
      <c r="L29" s="827"/>
      <c r="M29" s="828">
        <f ca="1">INDIRECT("'数据-取费表'!k"&amp;$G$1)</f>
        <v>27784.36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252</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105.6</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29.5</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62.6</v>
      </c>
      <c r="D33" s="811" t="s">
        <v>3026</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13.5</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9024.81</v>
      </c>
      <c r="G35" s="2047"/>
      <c r="H35" s="2050"/>
      <c r="I35" s="837" t="s">
        <v>1814</v>
      </c>
      <c r="J35" s="838">
        <f ca="1">ROUND(C13*J36,0)</f>
        <v>654</v>
      </c>
      <c r="K35" s="2063"/>
      <c r="L35" s="2062"/>
      <c r="M35" s="2062"/>
    </row>
    <row r="36" spans="1:18" ht="18" customHeight="1">
      <c r="A36" s="1634" t="s">
        <v>1889</v>
      </c>
      <c r="B36" s="784" t="s">
        <v>1802</v>
      </c>
      <c r="C36" s="53">
        <f ca="1">ROUND(C29*F36,1)</f>
        <v>122.6</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12.3</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11</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2819</v>
      </c>
      <c r="C39" s="792">
        <f ca="1">C5-C30</f>
        <v>296</v>
      </c>
      <c r="D39" s="2512" t="s">
        <v>1806</v>
      </c>
      <c r="E39" s="2513"/>
      <c r="F39" s="2514"/>
      <c r="G39" s="2047"/>
      <c r="H39" s="2062"/>
      <c r="I39" s="837" t="s">
        <v>1818</v>
      </c>
      <c r="J39" s="845">
        <f ca="1">ROUND(J35/C39,3)</f>
        <v>2.2090000000000001</v>
      </c>
      <c r="K39" s="2068"/>
      <c r="L39" s="2062"/>
      <c r="M39" s="2062"/>
    </row>
    <row r="40" spans="1:18" ht="18" customHeight="1">
      <c r="A40" s="781" t="s">
        <v>1895</v>
      </c>
      <c r="B40" s="2217" t="s">
        <v>2299</v>
      </c>
      <c r="C40" s="783">
        <f ca="1">ROUND(C39*(1-((1+F42)/(1+F40))^F41)/(F40-F42),0)</f>
        <v>7877</v>
      </c>
      <c r="D40" s="814" t="s">
        <v>1807</v>
      </c>
      <c r="E40" s="784" t="s">
        <v>2417</v>
      </c>
      <c r="F40" s="794">
        <f ca="1">INDIRECT("'数据-取费表'!I"&amp;$G$1)</f>
        <v>4.4999999999999998E-2</v>
      </c>
      <c r="G40" s="2047"/>
      <c r="H40" s="2047"/>
      <c r="I40" s="837" t="s">
        <v>1819</v>
      </c>
      <c r="J40" s="845">
        <f ca="1">1-J39</f>
        <v>-1.2090000000000001</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45.2</v>
      </c>
      <c r="G41" s="2047"/>
      <c r="H41" s="1973"/>
      <c r="I41" s="843" t="s">
        <v>1820</v>
      </c>
      <c r="J41" s="846"/>
      <c r="K41" s="2067"/>
      <c r="L41" s="1973"/>
      <c r="M41" s="1973"/>
    </row>
    <row r="42" spans="1:18" ht="18" customHeight="1">
      <c r="A42" s="790"/>
      <c r="B42" s="791"/>
      <c r="C42" s="792"/>
      <c r="D42" s="816"/>
      <c r="E42" s="784" t="s">
        <v>1809</v>
      </c>
      <c r="F42" s="794">
        <f ca="1">INDIRECT("'数据-取费表'!v"&amp;$G$1)</f>
        <v>0.02</v>
      </c>
      <c r="G42" s="2047"/>
      <c r="H42" s="1973"/>
      <c r="I42" s="847" t="s">
        <v>1821</v>
      </c>
      <c r="J42" s="845">
        <f ca="1">ROUND(C13/C40,3)</f>
        <v>1.038</v>
      </c>
      <c r="K42" s="2067"/>
      <c r="L42" s="1973"/>
      <c r="M42" s="1973"/>
    </row>
    <row r="43" spans="1:18" ht="18" customHeight="1" thickBot="1">
      <c r="A43" s="823" t="s">
        <v>1787</v>
      </c>
      <c r="B43" s="824" t="s">
        <v>1810</v>
      </c>
      <c r="C43" s="825">
        <f ca="1">ROUND(C40*10000/F43,0)</f>
        <v>2835</v>
      </c>
      <c r="D43" s="826" t="s">
        <v>1811</v>
      </c>
      <c r="E43" s="827" t="s">
        <v>1812</v>
      </c>
      <c r="F43" s="828">
        <f ca="1">INDIRECT("'数据-取费表'!k"&amp;$G$1)</f>
        <v>27784.36</v>
      </c>
      <c r="G43" s="2047"/>
      <c r="H43" s="1973"/>
      <c r="I43" s="847" t="s">
        <v>1822</v>
      </c>
      <c r="J43" s="848">
        <f ca="1">1-J42</f>
        <v>-3.8000000000000034E-2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-10716</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3023</v>
      </c>
      <c r="K47" s="3105" t="s">
        <v>2347</v>
      </c>
      <c r="L47" s="3109">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8" t="s">
        <v>2343</v>
      </c>
      <c r="J48" s="2346" t="s">
        <v>2348</v>
      </c>
      <c r="K48" s="3106" t="s">
        <v>2349</v>
      </c>
      <c r="L48" s="1893">
        <f ca="1">INDIRECT("'数据-取费表'!f"&amp;$G$1)</f>
        <v>47.2</v>
      </c>
      <c r="O48" s="2362" t="s">
        <v>2377</v>
      </c>
      <c r="P48" s="2363" t="s">
        <v>2403</v>
      </c>
      <c r="Q48" s="2364">
        <f ca="1">C40+J29</f>
        <v>7877</v>
      </c>
      <c r="R48" s="2363" t="s">
        <v>2378</v>
      </c>
    </row>
    <row r="49" spans="1:18" s="2044" customFormat="1" ht="18" customHeight="1" thickBot="1">
      <c r="A49" s="786"/>
      <c r="B49" s="787"/>
      <c r="C49" s="788"/>
      <c r="D49" s="789"/>
      <c r="E49" s="784" t="s">
        <v>1739</v>
      </c>
      <c r="F49" s="785">
        <f ca="1">F7</f>
        <v>27784.36</v>
      </c>
      <c r="G49" s="2075"/>
      <c r="H49" s="2078"/>
      <c r="I49" s="3078" t="s">
        <v>2344</v>
      </c>
      <c r="J49" s="2347">
        <v>2022</v>
      </c>
      <c r="K49" s="3107" t="s">
        <v>2350</v>
      </c>
      <c r="L49" s="2348"/>
      <c r="O49" s="2362" t="s">
        <v>2379</v>
      </c>
      <c r="P49" s="2363" t="s">
        <v>2404</v>
      </c>
      <c r="Q49" s="2364">
        <f ca="1">J60</f>
        <v>82</v>
      </c>
      <c r="R49" s="2363" t="s">
        <v>2380</v>
      </c>
    </row>
    <row r="50" spans="1:18" s="2044" customFormat="1" ht="18" customHeight="1" thickBot="1">
      <c r="A50" s="786"/>
      <c r="B50" s="787"/>
      <c r="C50" s="788"/>
      <c r="D50" s="789"/>
      <c r="E50" s="784" t="s">
        <v>1740</v>
      </c>
      <c r="F50" s="785">
        <f ca="1">F8</f>
        <v>365</v>
      </c>
      <c r="G50" s="2080"/>
      <c r="H50" s="2078"/>
      <c r="I50" s="3078" t="s">
        <v>2345</v>
      </c>
      <c r="J50" s="3103">
        <f>SUMPRODUCT((I63:I65=J47)*(J62:L62=J48)*(J63:L65))</f>
        <v>60</v>
      </c>
      <c r="K50" s="3107" t="s">
        <v>2351</v>
      </c>
      <c r="L50" s="2348"/>
      <c r="O50" s="2365" t="s">
        <v>2381</v>
      </c>
      <c r="P50" s="2363" t="s">
        <v>2405</v>
      </c>
      <c r="Q50" s="2364">
        <f ca="1">C29</f>
        <v>8176</v>
      </c>
      <c r="R50" s="2363" t="s">
        <v>2378</v>
      </c>
    </row>
    <row r="51" spans="1:18" s="2044" customFormat="1" ht="18" customHeight="1" thickBot="1">
      <c r="A51" s="786"/>
      <c r="B51" s="787"/>
      <c r="C51" s="788"/>
      <c r="D51" s="789"/>
      <c r="E51" s="784" t="s">
        <v>640</v>
      </c>
      <c r="F51" s="2335"/>
      <c r="H51" s="2078"/>
      <c r="I51" s="3100" t="s">
        <v>2346</v>
      </c>
      <c r="J51" s="3104">
        <f>IF(J49="",J50,J49+J50-YEAR('数据-取费表'!B2))</f>
        <v>62</v>
      </c>
      <c r="K51" s="3078" t="s">
        <v>2352</v>
      </c>
      <c r="L51" s="3110">
        <f ca="1">ROUND(-PV(INDIRECT("'数据-取费表'!h"&amp;$G$1),L48,(C39-C13*J36),0),0)</f>
        <v>-7546</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2973</v>
      </c>
      <c r="E52" s="2462" t="s">
        <v>2462</v>
      </c>
      <c r="F52" s="2585"/>
      <c r="I52" s="3101" t="s">
        <v>2419</v>
      </c>
      <c r="J52" s="2349">
        <v>8.5000000000000006E-2</v>
      </c>
      <c r="K52" s="3101"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2" t="s">
        <v>2976</v>
      </c>
      <c r="J53" s="3181">
        <f ca="1">IF(M47="住宅",IF(D1="——",MAX(J51,L48),MAX(J51,L48-'数据-取费表'!B20)),IF(D1="——",MIN(J51,L48),MIN(J51,L48-'数据-取费表'!B20)))</f>
        <v>45.2</v>
      </c>
      <c r="K53" s="3461" t="s">
        <v>2964</v>
      </c>
      <c r="L53" s="3462"/>
      <c r="O53" s="2365" t="s">
        <v>2386</v>
      </c>
      <c r="P53" s="2363" t="s">
        <v>2387</v>
      </c>
      <c r="Q53" s="2364">
        <f ca="1">J53</f>
        <v>45.2</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7959</v>
      </c>
      <c r="R54" s="2367" t="s">
        <v>2390</v>
      </c>
    </row>
    <row r="55" spans="1:18" s="2044" customFormat="1" ht="18" customHeight="1" thickTop="1" thickBot="1">
      <c r="A55" s="797">
        <v>2</v>
      </c>
      <c r="B55" s="798" t="s">
        <v>644</v>
      </c>
      <c r="C55" s="799">
        <f ca="1">C13</f>
        <v>8176</v>
      </c>
      <c r="D55" s="795"/>
      <c r="E55" s="795"/>
      <c r="F55" s="800"/>
      <c r="I55" s="3113" t="s">
        <v>2353</v>
      </c>
      <c r="J55" s="3053">
        <f ca="1">ROUND(IF(J47="钢混",J57/J50,1-(1-2%)*(J50-J57)/J50),3)</f>
        <v>0.247</v>
      </c>
      <c r="K55" s="3114" t="s">
        <v>2354</v>
      </c>
      <c r="L55" s="2350"/>
      <c r="O55" s="2368" t="s">
        <v>2409</v>
      </c>
      <c r="P55" s="1578"/>
      <c r="Q55" s="1589"/>
      <c r="R55" s="1578"/>
    </row>
    <row r="56" spans="1:18" s="2044" customFormat="1" ht="42.75" customHeight="1" thickBot="1">
      <c r="A56" s="1635"/>
      <c r="B56" s="2216" t="s">
        <v>2300</v>
      </c>
      <c r="C56" s="53">
        <f ca="1">C29</f>
        <v>8176</v>
      </c>
      <c r="D56" s="2603"/>
      <c r="E56" s="784"/>
      <c r="F56" s="809"/>
      <c r="I56" s="3115" t="s">
        <v>2355</v>
      </c>
      <c r="J56" s="3125" t="s">
        <v>3008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148</v>
      </c>
      <c r="D57" s="26" t="s">
        <v>1750</v>
      </c>
      <c r="E57" s="2604"/>
      <c r="F57" s="56"/>
      <c r="I57" s="3116" t="s">
        <v>2356</v>
      </c>
      <c r="J57" s="3117">
        <f ca="1">IF(OR(M47="住宅",J51&lt;L48,J56="是"),"——",J51-L48)</f>
        <v>14.799999999999997</v>
      </c>
      <c r="K57" s="3078" t="s">
        <v>2361</v>
      </c>
      <c r="L57" s="1893" t="str">
        <f ca="1">IF(L48&lt;J51,"——",IF(L55="比较法",L49,IF(L55="基准地价",L50,L51)))</f>
        <v>——</v>
      </c>
      <c r="O57" s="2362" t="s">
        <v>2377</v>
      </c>
      <c r="P57" s="2363" t="s">
        <v>2407</v>
      </c>
      <c r="Q57" s="2364">
        <f ca="1">C40+J29</f>
        <v>7877</v>
      </c>
      <c r="R57" s="2363" t="s">
        <v>2378</v>
      </c>
    </row>
    <row r="58" spans="1:18" s="2044" customFormat="1" ht="28.5" customHeight="1" thickBot="1">
      <c r="A58" s="1634" t="s">
        <v>1824</v>
      </c>
      <c r="B58" s="784" t="s">
        <v>656</v>
      </c>
      <c r="C58" s="53">
        <f ca="1">ROUND(IF(项目基本情况!B11="自然人",C47*F58,C59+C60+C61),1)</f>
        <v>13.5</v>
      </c>
      <c r="D58" s="2602" t="s">
        <v>657</v>
      </c>
      <c r="E58" s="2603" t="s">
        <v>690</v>
      </c>
      <c r="F58" s="810" t="str">
        <f ca="1">IF(项目基本情况!B11="企业","",IF(INDIRECT("'数据-取费表'!c"&amp;$G$1)="住宅",5%,IF(F48*F49*F50/12/(1+'数据-取费表'!C42)&gt;20000,12%,7%)))</f>
        <v/>
      </c>
      <c r="I58" s="3116" t="s">
        <v>2357</v>
      </c>
      <c r="J58" s="3054">
        <f ca="1">IF(J55&lt;0.4,0.4,J55)</f>
        <v>0.4</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6" t="s">
        <v>2358</v>
      </c>
      <c r="J59" s="3117">
        <f ca="1">IF(OR(M47="住宅",J51&lt;L48,J56="是"),"——",ROUND(C29*J58,0))</f>
        <v>3270</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2359</v>
      </c>
      <c r="J60" s="3119">
        <f ca="1">IF(OR(M47="住宅",J51&lt;L48,J56="是"),"0",ROUND(J59/(1+J52)^J53,0))</f>
        <v>82</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13.5</v>
      </c>
      <c r="D61" s="814" t="s">
        <v>669</v>
      </c>
      <c r="E61" s="784" t="s">
        <v>670</v>
      </c>
      <c r="F61" s="640">
        <f t="shared" si="0"/>
        <v>15</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9024.81</v>
      </c>
      <c r="I62" s="3121" t="s">
        <v>2365</v>
      </c>
      <c r="J62" s="3122" t="s">
        <v>2366</v>
      </c>
      <c r="K62" s="3122" t="s">
        <v>2367</v>
      </c>
      <c r="L62" s="3122" t="s">
        <v>2348</v>
      </c>
      <c r="M62" s="3123" t="s">
        <v>2941</v>
      </c>
      <c r="O62" s="2365" t="s">
        <v>2386</v>
      </c>
      <c r="P62" s="2363" t="str">
        <f>K59</f>
        <v>建设期及建筑物耐用年限下的土地年期修正系数Kn</v>
      </c>
      <c r="Q62" s="2364" t="e">
        <f ca="1">L59</f>
        <v>#DIV/0!</v>
      </c>
      <c r="R62" s="2367" t="s">
        <v>2395</v>
      </c>
    </row>
    <row r="63" spans="1:18" s="2044" customFormat="1" ht="15.75" thickBot="1">
      <c r="A63" s="1634" t="s">
        <v>1889</v>
      </c>
      <c r="B63" s="784" t="s">
        <v>676</v>
      </c>
      <c r="C63" s="53">
        <f ca="1">ROUND(C56*F63,1)</f>
        <v>122.6</v>
      </c>
      <c r="D63" s="2603" t="s">
        <v>1803</v>
      </c>
      <c r="E63" s="784" t="s">
        <v>1747</v>
      </c>
      <c r="F63" s="817">
        <f t="shared" ca="1" si="0"/>
        <v>1.4999999999999999E-2</v>
      </c>
      <c r="I63" s="3121" t="s">
        <v>2368</v>
      </c>
      <c r="J63" s="3122">
        <v>70</v>
      </c>
      <c r="K63" s="3122">
        <v>50</v>
      </c>
      <c r="L63" s="3122">
        <v>80</v>
      </c>
      <c r="M63" s="3124">
        <v>0.02</v>
      </c>
      <c r="O63" s="2362" t="s">
        <v>2389</v>
      </c>
      <c r="P63" s="2363" t="s">
        <v>2406</v>
      </c>
      <c r="Q63" s="2364">
        <f ca="1">Q57+Q58</f>
        <v>7877</v>
      </c>
      <c r="R63" s="2367" t="s">
        <v>2390</v>
      </c>
    </row>
    <row r="64" spans="1:18" s="2044" customFormat="1" ht="16.5" thickBot="1">
      <c r="A64" s="1634" t="s">
        <v>1890</v>
      </c>
      <c r="B64" s="784" t="s">
        <v>679</v>
      </c>
      <c r="C64" s="53">
        <f ca="1">ROUND(C55*F64,1)</f>
        <v>12.3</v>
      </c>
      <c r="D64" s="2603"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2603" t="s">
        <v>683</v>
      </c>
      <c r="E65" s="784" t="s">
        <v>1747</v>
      </c>
      <c r="F65" s="794">
        <f t="shared" ca="1" si="0"/>
        <v>0.02</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2819</v>
      </c>
      <c r="C66" s="799">
        <f ca="1">C47-C57</f>
        <v>-148</v>
      </c>
      <c r="D66" s="2602" t="s">
        <v>700</v>
      </c>
      <c r="E66" s="2601"/>
      <c r="F66" s="820"/>
      <c r="K66" s="2071"/>
      <c r="O66" s="2362" t="s">
        <v>2377</v>
      </c>
      <c r="P66" s="2363" t="s">
        <v>2407</v>
      </c>
      <c r="Q66" s="2364">
        <f ca="1">C40+J29</f>
        <v>7877</v>
      </c>
      <c r="R66" s="2363" t="s">
        <v>2378</v>
      </c>
    </row>
    <row r="67" spans="1:18" s="2044" customFormat="1" ht="20.25" thickBot="1">
      <c r="A67" s="781" t="s">
        <v>1780</v>
      </c>
      <c r="B67" s="2217" t="s">
        <v>2299</v>
      </c>
      <c r="C67" s="783">
        <f ca="1">ROUND(C66*(1-((1+F69)/(1+F67))^F68)/(F67-F69),0)</f>
        <v>-2839</v>
      </c>
      <c r="D67" s="814" t="s">
        <v>704</v>
      </c>
      <c r="E67" s="784" t="s">
        <v>705</v>
      </c>
      <c r="F67" s="794">
        <f ca="1">F40</f>
        <v>4.4999999999999998E-2</v>
      </c>
      <c r="K67" s="2071"/>
      <c r="O67" s="2362" t="s">
        <v>2379</v>
      </c>
      <c r="P67" s="2363" t="s">
        <v>2410</v>
      </c>
      <c r="Q67" s="2364">
        <f ca="1">L60</f>
        <v>0</v>
      </c>
      <c r="R67" s="2367" t="s">
        <v>2412</v>
      </c>
    </row>
    <row r="68" spans="1:18" ht="21.75" thickBot="1">
      <c r="A68" s="786"/>
      <c r="B68" s="787"/>
      <c r="C68" s="788"/>
      <c r="D68" s="821" t="s">
        <v>1808</v>
      </c>
      <c r="E68" s="784" t="s">
        <v>1784</v>
      </c>
      <c r="F68" s="822">
        <f ca="1">F41</f>
        <v>45.2</v>
      </c>
      <c r="O68" s="2365" t="s">
        <v>2381</v>
      </c>
      <c r="P68" s="2363" t="s">
        <v>2411</v>
      </c>
      <c r="Q68" s="2369">
        <f ca="1">L51</f>
        <v>-7546</v>
      </c>
      <c r="R68" s="2370" t="s">
        <v>2414</v>
      </c>
    </row>
    <row r="69" spans="1:18" ht="20.25" thickBot="1">
      <c r="A69" s="790"/>
      <c r="B69" s="791"/>
      <c r="C69" s="792"/>
      <c r="D69" s="816"/>
      <c r="E69" s="784" t="s">
        <v>710</v>
      </c>
      <c r="F69" s="2335"/>
      <c r="O69" s="2365" t="s">
        <v>2382</v>
      </c>
      <c r="P69" s="2371" t="s">
        <v>2396</v>
      </c>
      <c r="Q69" s="2364">
        <f ca="1">ROUND(Q70-Q71*Q72,0)</f>
        <v>-358</v>
      </c>
      <c r="R69" s="2367"/>
    </row>
    <row r="70" spans="1:18" ht="15.75" thickBot="1">
      <c r="A70" s="823" t="s">
        <v>1787</v>
      </c>
      <c r="B70" s="824" t="s">
        <v>1810</v>
      </c>
      <c r="C70" s="825">
        <f ca="1">ROUND(C67*10000/F70,0)</f>
        <v>-1022</v>
      </c>
      <c r="D70" s="826" t="s">
        <v>1811</v>
      </c>
      <c r="E70" s="827" t="s">
        <v>1812</v>
      </c>
      <c r="F70" s="828">
        <f ca="1">F43</f>
        <v>27784.36</v>
      </c>
      <c r="O70" s="2365" t="s">
        <v>2397</v>
      </c>
      <c r="P70" s="2371" t="s">
        <v>2398</v>
      </c>
      <c r="Q70" s="2364">
        <f ca="1">C39</f>
        <v>296</v>
      </c>
      <c r="R70" s="2363" t="s">
        <v>2378</v>
      </c>
    </row>
    <row r="71" spans="1:18" ht="15.75" thickBot="1">
      <c r="O71" s="2365" t="s">
        <v>2399</v>
      </c>
      <c r="P71" s="2371" t="s">
        <v>2400</v>
      </c>
      <c r="Q71" s="2364">
        <f ca="1">C13</f>
        <v>8176</v>
      </c>
      <c r="R71" s="2363" t="s">
        <v>2378</v>
      </c>
    </row>
    <row r="72" spans="1:18" ht="15.75" thickBot="1">
      <c r="O72" s="2365" t="s">
        <v>2401</v>
      </c>
      <c r="P72" s="2371" t="s">
        <v>2402</v>
      </c>
      <c r="Q72" s="2366">
        <f ca="1">J36</f>
        <v>0.08</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建设期及建筑物耐用年限下的土地年期修正系数Kn</v>
      </c>
      <c r="Q75" s="2364" t="e">
        <f ca="1">L59</f>
        <v>#DIV/0!</v>
      </c>
      <c r="R75" s="2367" t="s">
        <v>2395</v>
      </c>
    </row>
    <row r="76" spans="1:18" ht="15.75" thickBot="1">
      <c r="O76" s="2362" t="s">
        <v>2389</v>
      </c>
      <c r="P76" s="2363" t="s">
        <v>2406</v>
      </c>
      <c r="Q76" s="2364">
        <f ca="1">Q66+Q67</f>
        <v>7877</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2469</v>
      </c>
      <c r="B1" s="3480"/>
      <c r="C1" s="3481"/>
      <c r="D1" s="3482">
        <f>SUM(I10,I15,I20,I21,I23)</f>
        <v>0</v>
      </c>
      <c r="E1" s="3482"/>
      <c r="F1" s="3482"/>
      <c r="G1" s="3482"/>
      <c r="H1" s="3482"/>
      <c r="I1" s="3483"/>
    </row>
    <row r="2" spans="1:9">
      <c r="A2" s="3469" t="s">
        <v>2470</v>
      </c>
      <c r="B2" s="3470" t="s">
        <v>2471</v>
      </c>
      <c r="C2" s="3470"/>
      <c r="D2" s="2471" t="s">
        <v>2472</v>
      </c>
      <c r="E2" s="2471" t="s">
        <v>2473</v>
      </c>
      <c r="F2" s="2471" t="s">
        <v>2474</v>
      </c>
      <c r="G2" s="2471" t="s">
        <v>2475</v>
      </c>
      <c r="H2" s="2471" t="s">
        <v>2476</v>
      </c>
      <c r="I2" s="2472" t="s">
        <v>2477</v>
      </c>
    </row>
    <row r="3" spans="1:9">
      <c r="A3" s="3469"/>
      <c r="B3" s="3470" t="s">
        <v>2478</v>
      </c>
      <c r="C3" s="3470"/>
      <c r="D3" s="2473"/>
      <c r="E3" s="2471"/>
      <c r="F3" s="2474"/>
      <c r="G3" s="2474"/>
      <c r="H3" s="2475"/>
      <c r="I3" s="2476">
        <f>ROUND(D3*E3*F3*G3*H3/10000,0)</f>
        <v>0</v>
      </c>
    </row>
    <row r="4" spans="1:9">
      <c r="A4" s="3469"/>
      <c r="B4" s="3470" t="s">
        <v>2479</v>
      </c>
      <c r="C4" s="3470"/>
      <c r="D4" s="2473"/>
      <c r="E4" s="2471"/>
      <c r="F4" s="2474"/>
      <c r="G4" s="2474"/>
      <c r="H4" s="2475"/>
      <c r="I4" s="2476">
        <f t="shared" ref="I4:I9" si="0">ROUND(D4*E4*F4*G4*H4/10000,0)</f>
        <v>0</v>
      </c>
    </row>
    <row r="5" spans="1:9">
      <c r="A5" s="3469"/>
      <c r="B5" s="3470" t="s">
        <v>2480</v>
      </c>
      <c r="C5" s="3470"/>
      <c r="D5" s="2473"/>
      <c r="E5" s="2471"/>
      <c r="F5" s="2474"/>
      <c r="G5" s="2474"/>
      <c r="H5" s="2475"/>
      <c r="I5" s="2476">
        <f t="shared" si="0"/>
        <v>0</v>
      </c>
    </row>
    <row r="6" spans="1:9">
      <c r="A6" s="3469"/>
      <c r="B6" s="3470" t="s">
        <v>2481</v>
      </c>
      <c r="C6" s="3470"/>
      <c r="D6" s="2473"/>
      <c r="E6" s="2471"/>
      <c r="F6" s="2474"/>
      <c r="G6" s="2474"/>
      <c r="H6" s="2475"/>
      <c r="I6" s="2476">
        <f t="shared" si="0"/>
        <v>0</v>
      </c>
    </row>
    <row r="7" spans="1:9">
      <c r="A7" s="3469"/>
      <c r="B7" s="3470" t="s">
        <v>2482</v>
      </c>
      <c r="C7" s="3470"/>
      <c r="D7" s="2473"/>
      <c r="E7" s="2471"/>
      <c r="F7" s="2474"/>
      <c r="G7" s="2474"/>
      <c r="H7" s="2475"/>
      <c r="I7" s="2476">
        <f t="shared" si="0"/>
        <v>0</v>
      </c>
    </row>
    <row r="8" spans="1:9">
      <c r="A8" s="3469"/>
      <c r="B8" s="3470" t="s">
        <v>2483</v>
      </c>
      <c r="C8" s="3470"/>
      <c r="D8" s="2473"/>
      <c r="E8" s="2471"/>
      <c r="F8" s="2474"/>
      <c r="G8" s="2474"/>
      <c r="H8" s="2475"/>
      <c r="I8" s="2476">
        <f t="shared" si="0"/>
        <v>0</v>
      </c>
    </row>
    <row r="9" spans="1:9">
      <c r="A9" s="3469"/>
      <c r="B9" s="3470" t="s">
        <v>2484</v>
      </c>
      <c r="C9" s="3470"/>
      <c r="D9" s="2473"/>
      <c r="E9" s="2471"/>
      <c r="F9" s="2474"/>
      <c r="G9" s="2474"/>
      <c r="H9" s="2475"/>
      <c r="I9" s="2476">
        <f t="shared" si="0"/>
        <v>0</v>
      </c>
    </row>
    <row r="10" spans="1:9">
      <c r="A10" s="3469"/>
      <c r="B10" s="3471" t="s">
        <v>2485</v>
      </c>
      <c r="C10" s="3471"/>
      <c r="D10" s="2477">
        <v>527</v>
      </c>
      <c r="E10" s="2477" t="e">
        <f>ROUND(D1*10000/D10/H9,0)</f>
        <v>#DIV/0!</v>
      </c>
      <c r="F10" s="2478"/>
      <c r="G10" s="2478"/>
      <c r="H10" s="2479"/>
      <c r="I10" s="2480">
        <f>SUM(I3:I9)</f>
        <v>0</v>
      </c>
    </row>
    <row r="11" spans="1:9" ht="14.25">
      <c r="A11" s="3469" t="s">
        <v>2486</v>
      </c>
      <c r="B11" s="3470" t="s">
        <v>2487</v>
      </c>
      <c r="C11" s="3470"/>
      <c r="D11" s="2473" t="s">
        <v>2488</v>
      </c>
      <c r="E11" s="2473" t="s">
        <v>2489</v>
      </c>
      <c r="F11" s="2474" t="s">
        <v>2490</v>
      </c>
      <c r="G11" s="2474" t="s">
        <v>2491</v>
      </c>
      <c r="H11" s="2481" t="s">
        <v>2492</v>
      </c>
      <c r="I11" s="2472" t="s">
        <v>2493</v>
      </c>
    </row>
    <row r="12" spans="1:9">
      <c r="A12" s="3469"/>
      <c r="B12" s="3470" t="s">
        <v>2494</v>
      </c>
      <c r="C12" s="3470"/>
      <c r="D12" s="2473"/>
      <c r="E12" s="2473"/>
      <c r="F12" s="2474"/>
      <c r="G12" s="2475"/>
      <c r="H12" s="2482"/>
      <c r="I12" s="2472">
        <f>ROUND(D12*E12*F12*G12/10000,0)</f>
        <v>0</v>
      </c>
    </row>
    <row r="13" spans="1:9">
      <c r="A13" s="3469"/>
      <c r="B13" s="3470" t="s">
        <v>2495</v>
      </c>
      <c r="C13" s="3470"/>
      <c r="D13" s="2473"/>
      <c r="E13" s="2473"/>
      <c r="F13" s="2474"/>
      <c r="G13" s="2475"/>
      <c r="H13" s="2482"/>
      <c r="I13" s="2472">
        <f>ROUND(D13*E13*F13*G13/10000,0)</f>
        <v>0</v>
      </c>
    </row>
    <row r="14" spans="1:9">
      <c r="A14" s="3469"/>
      <c r="B14" s="3470" t="s">
        <v>2496</v>
      </c>
      <c r="C14" s="3470"/>
      <c r="D14" s="2473"/>
      <c r="E14" s="2473"/>
      <c r="F14" s="2474"/>
      <c r="G14" s="2475"/>
      <c r="H14" s="2482"/>
      <c r="I14" s="2472">
        <f>ROUND(D14*E14*F14*G14/10000,0)</f>
        <v>0</v>
      </c>
    </row>
    <row r="15" spans="1:9">
      <c r="A15" s="3469"/>
      <c r="B15" s="3471" t="s">
        <v>2485</v>
      </c>
      <c r="C15" s="3471"/>
      <c r="D15" s="2477"/>
      <c r="E15" s="2477">
        <f>SUM(E12:E14)</f>
        <v>0</v>
      </c>
      <c r="F15" s="2478"/>
      <c r="G15" s="2475"/>
      <c r="H15" s="2482"/>
      <c r="I15" s="2483">
        <f>SUM(I12:I14)</f>
        <v>0</v>
      </c>
    </row>
    <row r="16" spans="1:9" ht="24">
      <c r="A16" s="3469" t="s">
        <v>2497</v>
      </c>
      <c r="B16" s="3470" t="s">
        <v>2498</v>
      </c>
      <c r="C16" s="3470"/>
      <c r="D16" s="2473" t="s">
        <v>2499</v>
      </c>
      <c r="E16" s="2484" t="s">
        <v>2500</v>
      </c>
      <c r="F16" s="2474" t="s">
        <v>2501</v>
      </c>
      <c r="G16" s="2475" t="s">
        <v>2491</v>
      </c>
      <c r="H16" s="2481" t="s">
        <v>2492</v>
      </c>
      <c r="I16" s="2472" t="s">
        <v>2493</v>
      </c>
    </row>
    <row r="17" spans="1:9" ht="14.25">
      <c r="A17" s="3469"/>
      <c r="B17" s="3470" t="s">
        <v>2502</v>
      </c>
      <c r="C17" s="3470"/>
      <c r="D17" s="2473"/>
      <c r="E17" s="2473"/>
      <c r="F17" s="2474"/>
      <c r="G17" s="2475"/>
      <c r="H17" s="2485"/>
      <c r="I17" s="2486">
        <f>ROUND(D17*E17*F17*G17/10000,0)</f>
        <v>0</v>
      </c>
    </row>
    <row r="18" spans="1:9" ht="14.25">
      <c r="A18" s="3469"/>
      <c r="B18" s="3470" t="s">
        <v>2503</v>
      </c>
      <c r="C18" s="3470"/>
      <c r="D18" s="2473"/>
      <c r="E18" s="2473"/>
      <c r="F18" s="2474"/>
      <c r="G18" s="2475"/>
      <c r="H18" s="2485"/>
      <c r="I18" s="2486">
        <f>ROUND(D18*E18*F18*G18/10000,0)</f>
        <v>0</v>
      </c>
    </row>
    <row r="19" spans="1:9" ht="14.25">
      <c r="A19" s="3469"/>
      <c r="B19" s="3470" t="s">
        <v>2504</v>
      </c>
      <c r="C19" s="3470"/>
      <c r="D19" s="2473"/>
      <c r="E19" s="2473"/>
      <c r="F19" s="2474"/>
      <c r="G19" s="2475"/>
      <c r="H19" s="2485"/>
      <c r="I19" s="2486">
        <f>ROUND(D19*E19*F19*G19/10000,0)</f>
        <v>0</v>
      </c>
    </row>
    <row r="20" spans="1:9">
      <c r="A20" s="3469"/>
      <c r="B20" s="3471" t="s">
        <v>2485</v>
      </c>
      <c r="C20" s="3471"/>
      <c r="D20" s="2477">
        <f>SUM(D17:D19)</f>
        <v>0</v>
      </c>
      <c r="E20" s="2477"/>
      <c r="F20" s="2478"/>
      <c r="G20" s="2475"/>
      <c r="H20" s="2482"/>
      <c r="I20" s="2483">
        <f>SUM(I17:I19)</f>
        <v>0</v>
      </c>
    </row>
    <row r="21" spans="1:9">
      <c r="A21" s="3469" t="s">
        <v>2505</v>
      </c>
      <c r="B21" s="3472"/>
      <c r="C21" s="3472"/>
      <c r="D21" s="3472"/>
      <c r="E21" s="3472"/>
      <c r="F21" s="3472"/>
      <c r="G21" s="3472"/>
      <c r="H21" s="2487">
        <v>0.1</v>
      </c>
      <c r="I21" s="2480">
        <f>ROUND(I10*H21,0)</f>
        <v>0</v>
      </c>
    </row>
    <row r="22" spans="1:9" ht="14.25">
      <c r="A22" s="3473" t="s">
        <v>2506</v>
      </c>
      <c r="B22" s="3474"/>
      <c r="C22" s="3475"/>
      <c r="D22" s="2488" t="s">
        <v>2507</v>
      </c>
      <c r="E22" s="2488" t="s">
        <v>2508</v>
      </c>
      <c r="F22" s="2489" t="s">
        <v>2509</v>
      </c>
      <c r="G22" s="2489" t="s">
        <v>2510</v>
      </c>
      <c r="H22" s="2481" t="s">
        <v>2511</v>
      </c>
      <c r="I22" s="2472" t="s">
        <v>2512</v>
      </c>
    </row>
    <row r="23" spans="1:9" ht="14.25" thickBot="1">
      <c r="A23" s="3476"/>
      <c r="B23" s="3477"/>
      <c r="C23" s="3478"/>
      <c r="D23" s="2490"/>
      <c r="E23" s="2490"/>
      <c r="F23" s="2490"/>
      <c r="G23" s="2491"/>
      <c r="H23" s="2492"/>
      <c r="I23" s="2493">
        <f>ROUND(E23*D23*F23*(1-G23)/10000,0)</f>
        <v>0</v>
      </c>
    </row>
    <row r="26" spans="1:9">
      <c r="A26" s="2494" t="s">
        <v>2513</v>
      </c>
      <c r="B26" s="2494"/>
      <c r="C26" s="2494"/>
      <c r="D26" s="2494"/>
      <c r="E26" s="3466">
        <f>C27-C30-C31-C32</f>
        <v>0</v>
      </c>
      <c r="F26" s="3466"/>
      <c r="G26" s="3466"/>
      <c r="H26" s="2995" t="s">
        <v>2840</v>
      </c>
    </row>
    <row r="27" spans="1:9">
      <c r="A27" s="2495">
        <v>1</v>
      </c>
      <c r="B27" s="2496" t="s">
        <v>2514</v>
      </c>
      <c r="C27" s="2496"/>
      <c r="D27" s="2496"/>
      <c r="E27" s="3467"/>
      <c r="F27" s="3467"/>
      <c r="G27" s="3467"/>
    </row>
    <row r="28" spans="1:9">
      <c r="A28" s="2497" t="s">
        <v>2515</v>
      </c>
      <c r="B28" s="2496" t="s">
        <v>2516</v>
      </c>
      <c r="C28" s="2496"/>
      <c r="D28" s="2496"/>
      <c r="E28" s="3467"/>
      <c r="F28" s="3467"/>
      <c r="G28" s="3467"/>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68"/>
      <c r="F32" s="3468"/>
      <c r="G32" s="3468"/>
    </row>
    <row r="33" spans="1:7" hidden="1">
      <c r="A33" s="3463" t="s">
        <v>2524</v>
      </c>
      <c r="B33" s="3464"/>
      <c r="C33" s="3464"/>
      <c r="D33" s="3465"/>
      <c r="E33" s="3466"/>
      <c r="F33" s="3466"/>
      <c r="G33" s="3466"/>
    </row>
    <row r="34" spans="1:7" hidden="1">
      <c r="A34" s="2499">
        <v>1</v>
      </c>
      <c r="B34" s="2496" t="s">
        <v>2525</v>
      </c>
      <c r="C34" s="2496"/>
      <c r="D34" s="2496"/>
      <c r="E34" s="3467"/>
      <c r="F34" s="3467"/>
      <c r="G34" s="3467"/>
    </row>
    <row r="35" spans="1:7" hidden="1">
      <c r="A35" s="2499">
        <v>2</v>
      </c>
      <c r="B35" s="2496" t="s">
        <v>2526</v>
      </c>
      <c r="C35" s="2496"/>
      <c r="D35" s="2496"/>
      <c r="E35" s="3467"/>
      <c r="F35" s="3467"/>
      <c r="G35" s="3467"/>
    </row>
    <row r="36" spans="1:7" hidden="1">
      <c r="A36" s="2499">
        <v>3</v>
      </c>
      <c r="B36" s="2496" t="s">
        <v>2527</v>
      </c>
      <c r="C36" s="2496"/>
      <c r="D36" s="2496"/>
      <c r="E36" s="3467"/>
      <c r="F36" s="3467"/>
      <c r="G36" s="3467"/>
    </row>
    <row r="37" spans="1:7" hidden="1">
      <c r="A37" s="2499">
        <v>4</v>
      </c>
      <c r="B37" s="2496" t="s">
        <v>2528</v>
      </c>
      <c r="C37" s="2496"/>
      <c r="D37" s="2496"/>
      <c r="E37" s="3467"/>
      <c r="F37" s="3467"/>
      <c r="G37" s="3467"/>
    </row>
    <row r="38" spans="1:7" hidden="1">
      <c r="A38" s="3463" t="s">
        <v>2529</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111854.36</v>
      </c>
      <c r="E10" s="749">
        <f>'数据-取费表'!B31</f>
        <v>50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3162</v>
      </c>
      <c r="D12" s="758">
        <f>'数据-汇总表'!E5</f>
        <v>76750</v>
      </c>
      <c r="E12" s="757">
        <f>'数据-取费表'!B27</f>
        <v>412</v>
      </c>
      <c r="F12" s="755"/>
      <c r="G12" s="759"/>
    </row>
    <row r="13" spans="1:25" s="2168" customFormat="1" ht="13.5" customHeight="1">
      <c r="A13" s="2440" t="s">
        <v>2445</v>
      </c>
      <c r="B13" s="756" t="s">
        <v>612</v>
      </c>
      <c r="C13" s="757">
        <f>ROUND(D13*E13/10000,0)</f>
        <v>1685</v>
      </c>
      <c r="D13" s="758">
        <f>'数据-汇总表'!E6</f>
        <v>35104.36</v>
      </c>
      <c r="E13" s="757">
        <f>'数据-取费表'!B28</f>
        <v>480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0.04</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0.91900000000000004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7" t="s">
        <v>522</v>
      </c>
      <c r="D4" s="3388"/>
      <c r="E4" s="3411" t="s">
        <v>523</v>
      </c>
      <c r="F4" s="3412"/>
      <c r="G4" s="3387" t="s">
        <v>524</v>
      </c>
      <c r="H4" s="3388"/>
      <c r="I4" s="3387" t="s">
        <v>525</v>
      </c>
      <c r="J4" s="3388"/>
      <c r="K4" s="853"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70" t="s">
        <v>524</v>
      </c>
      <c r="AC4" s="3370" t="s">
        <v>525</v>
      </c>
    </row>
    <row r="5" spans="1:29" ht="15">
      <c r="A5" s="515"/>
      <c r="B5" s="516"/>
      <c r="C5" s="3398" t="s">
        <v>2928</v>
      </c>
      <c r="D5" s="3399"/>
      <c r="E5" s="3413" t="s">
        <v>2929</v>
      </c>
      <c r="F5" s="3414"/>
      <c r="G5" s="3398" t="s">
        <v>2930</v>
      </c>
      <c r="H5" s="3399"/>
      <c r="I5" s="3398" t="s">
        <v>2931</v>
      </c>
      <c r="J5" s="3399"/>
      <c r="K5" s="85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2932</v>
      </c>
      <c r="D6" s="3397"/>
      <c r="E6" s="3415" t="s">
        <v>2932</v>
      </c>
      <c r="F6" s="3416"/>
      <c r="G6" s="3396" t="s">
        <v>2932</v>
      </c>
      <c r="H6" s="3397"/>
      <c r="I6" s="3396" t="s">
        <v>2932</v>
      </c>
      <c r="J6" s="3397"/>
      <c r="K6" s="85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43909</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3" t="s">
        <v>530</v>
      </c>
      <c r="Q7" s="3382"/>
      <c r="R7" s="1554" t="s">
        <v>13</v>
      </c>
      <c r="S7" s="1555">
        <f t="shared" ref="S7:S15" si="0">F7</f>
        <v>0</v>
      </c>
      <c r="T7" s="1554" t="s">
        <v>13</v>
      </c>
      <c r="U7" s="1555">
        <f t="shared" ref="U7:U15" si="1">H7</f>
        <v>0</v>
      </c>
      <c r="V7" s="1554" t="s">
        <v>13</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3" t="s">
        <v>533</v>
      </c>
      <c r="Q8" s="3374"/>
      <c r="R8" s="1554" t="s">
        <v>13</v>
      </c>
      <c r="S8" s="1555">
        <f t="shared" si="0"/>
        <v>0</v>
      </c>
      <c r="T8" s="1554" t="s">
        <v>13</v>
      </c>
      <c r="U8" s="1555">
        <f t="shared" si="1"/>
        <v>0</v>
      </c>
      <c r="V8" s="1554" t="s">
        <v>13</v>
      </c>
      <c r="W8" s="1555">
        <f t="shared" si="2"/>
        <v>0</v>
      </c>
      <c r="X8" s="1556"/>
      <c r="Y8" s="3373" t="s">
        <v>533</v>
      </c>
      <c r="Z8" s="3374"/>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1"/>
      <c r="Q11" s="1147" t="str">
        <f t="shared" si="6"/>
        <v>容积率</v>
      </c>
      <c r="R11" s="1554" t="s">
        <v>11</v>
      </c>
      <c r="S11" s="1555" t="e">
        <f t="shared" si="0"/>
        <v>#N/A</v>
      </c>
      <c r="T11" s="1554" t="s">
        <v>11</v>
      </c>
      <c r="U11" s="1555" t="e">
        <f t="shared" si="1"/>
        <v>#N/A</v>
      </c>
      <c r="V11" s="1554" t="s">
        <v>11</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1"/>
      <c r="Q12" s="1147">
        <f t="shared" si="6"/>
        <v>111</v>
      </c>
      <c r="R12" s="1554" t="s">
        <v>11</v>
      </c>
      <c r="S12" s="1555">
        <f t="shared" si="0"/>
        <v>100</v>
      </c>
      <c r="T12" s="1554" t="s">
        <v>11</v>
      </c>
      <c r="U12" s="1555">
        <f t="shared" si="1"/>
        <v>100</v>
      </c>
      <c r="V12" s="1554" t="s">
        <v>11</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1"/>
      <c r="Q13" s="1147">
        <f t="shared" si="6"/>
        <v>111</v>
      </c>
      <c r="R13" s="1554" t="s">
        <v>11</v>
      </c>
      <c r="S13" s="1555">
        <f t="shared" si="0"/>
        <v>100</v>
      </c>
      <c r="T13" s="1554" t="s">
        <v>11</v>
      </c>
      <c r="U13" s="1555">
        <f t="shared" si="1"/>
        <v>100</v>
      </c>
      <c r="V13" s="1554" t="s">
        <v>11</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1"/>
      <c r="Q14" s="1147">
        <f t="shared" si="6"/>
        <v>111</v>
      </c>
      <c r="R14" s="1554" t="s">
        <v>11</v>
      </c>
      <c r="S14" s="1555">
        <f t="shared" si="0"/>
        <v>100</v>
      </c>
      <c r="T14" s="1554" t="s">
        <v>11</v>
      </c>
      <c r="U14" s="1555">
        <f t="shared" si="1"/>
        <v>100</v>
      </c>
      <c r="V14" s="1554" t="s">
        <v>11</v>
      </c>
      <c r="W14" s="1555">
        <f t="shared" si="2"/>
        <v>100</v>
      </c>
      <c r="X14" s="1556"/>
      <c r="Y14" s="3338"/>
      <c r="Z14" s="1146">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3" t="s">
        <v>540</v>
      </c>
      <c r="Q15" s="1558" t="str">
        <f t="shared" si="6"/>
        <v>居住社区成熟度</v>
      </c>
      <c r="R15" s="1559" t="s">
        <v>11</v>
      </c>
      <c r="S15" s="1560">
        <f t="shared" si="0"/>
        <v>100</v>
      </c>
      <c r="T15" s="1559" t="s">
        <v>11</v>
      </c>
      <c r="U15" s="1560">
        <f t="shared" si="1"/>
        <v>100</v>
      </c>
      <c r="V15" s="1559" t="s">
        <v>11</v>
      </c>
      <c r="W15" s="1560">
        <f t="shared" si="2"/>
        <v>100</v>
      </c>
      <c r="X15" s="1553"/>
      <c r="Y15" s="3383"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4"/>
      <c r="Q16" s="1558"/>
      <c r="R16" s="1559"/>
      <c r="S16" s="1560"/>
      <c r="T16" s="1559"/>
      <c r="U16" s="1560"/>
      <c r="V16" s="1559"/>
      <c r="W16" s="1560"/>
      <c r="X16" s="1553"/>
      <c r="Y16" s="3384"/>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4"/>
      <c r="Q17" s="1558" t="str">
        <f>B17</f>
        <v>交通便捷度</v>
      </c>
      <c r="R17" s="1559" t="s">
        <v>11</v>
      </c>
      <c r="S17" s="1560">
        <f>F17</f>
        <v>100</v>
      </c>
      <c r="T17" s="1559" t="s">
        <v>11</v>
      </c>
      <c r="U17" s="1560">
        <f>H17</f>
        <v>100</v>
      </c>
      <c r="V17" s="1559" t="s">
        <v>11</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4"/>
      <c r="Q18" s="1558"/>
      <c r="R18" s="1559"/>
      <c r="S18" s="1560"/>
      <c r="T18" s="1559"/>
      <c r="U18" s="1560"/>
      <c r="V18" s="1559"/>
      <c r="W18" s="1560"/>
      <c r="X18" s="1553"/>
      <c r="Y18" s="3384"/>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4"/>
      <c r="Q19" s="1558" t="str">
        <f>B19</f>
        <v>公共配套设施</v>
      </c>
      <c r="R19" s="1559" t="s">
        <v>11</v>
      </c>
      <c r="S19" s="1560">
        <f>F19</f>
        <v>100</v>
      </c>
      <c r="T19" s="1559" t="s">
        <v>11</v>
      </c>
      <c r="U19" s="1560">
        <f>H19</f>
        <v>100</v>
      </c>
      <c r="V19" s="1559" t="s">
        <v>11</v>
      </c>
      <c r="W19" s="1560">
        <f>J19</f>
        <v>100</v>
      </c>
      <c r="X19" s="1553"/>
      <c r="Y19" s="338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4"/>
      <c r="Q21" s="2543" t="str">
        <f>B21</f>
        <v>基础设施水平</v>
      </c>
      <c r="R21" s="1559" t="s">
        <v>11</v>
      </c>
      <c r="S21" s="1560">
        <f>F21</f>
        <v>100</v>
      </c>
      <c r="T21" s="1559" t="s">
        <v>11</v>
      </c>
      <c r="U21" s="1560">
        <f>H21</f>
        <v>100</v>
      </c>
      <c r="V21" s="1559" t="s">
        <v>11</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4"/>
      <c r="Q22" s="2543"/>
      <c r="R22" s="1559"/>
      <c r="S22" s="1560"/>
      <c r="T22" s="1559"/>
      <c r="U22" s="1560"/>
      <c r="V22" s="1559"/>
      <c r="W22" s="1560"/>
      <c r="X22" s="2545"/>
      <c r="Y22" s="3384"/>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4"/>
      <c r="Q23" s="1558" t="str">
        <f>B23</f>
        <v>自然及人文环境</v>
      </c>
      <c r="R23" s="1559" t="s">
        <v>11</v>
      </c>
      <c r="S23" s="1560">
        <f>F23</f>
        <v>100</v>
      </c>
      <c r="T23" s="1559" t="s">
        <v>11</v>
      </c>
      <c r="U23" s="1560">
        <f>H23</f>
        <v>100</v>
      </c>
      <c r="V23" s="1559" t="s">
        <v>11</v>
      </c>
      <c r="W23" s="1560">
        <f>J23</f>
        <v>100</v>
      </c>
      <c r="X23" s="1553"/>
      <c r="Y23" s="338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4"/>
      <c r="Q25" s="1558" t="str">
        <f t="shared" ref="Q25:Q46" si="11">B25</f>
        <v>楼层-1</v>
      </c>
      <c r="R25" s="1559" t="s">
        <v>11</v>
      </c>
      <c r="S25" s="1560">
        <f>F25</f>
        <v>100</v>
      </c>
      <c r="T25" s="1559" t="s">
        <v>11</v>
      </c>
      <c r="U25" s="1560">
        <f>H25</f>
        <v>100</v>
      </c>
      <c r="V25" s="1559" t="s">
        <v>11</v>
      </c>
      <c r="W25" s="1560">
        <f>J25</f>
        <v>100</v>
      </c>
      <c r="X25" s="1553"/>
      <c r="Y25" s="3384"/>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4"/>
      <c r="Q26" s="1558" t="str">
        <f t="shared" si="11"/>
        <v>朝向</v>
      </c>
      <c r="R26" s="1559" t="s">
        <v>11</v>
      </c>
      <c r="S26" s="1560">
        <f>F26</f>
        <v>100</v>
      </c>
      <c r="T26" s="1559" t="s">
        <v>11</v>
      </c>
      <c r="U26" s="1560">
        <f>H26</f>
        <v>100</v>
      </c>
      <c r="V26" s="1559" t="s">
        <v>11</v>
      </c>
      <c r="W26" s="1560">
        <f>J26</f>
        <v>100</v>
      </c>
      <c r="X26" s="1553"/>
      <c r="Y26" s="3384"/>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4"/>
      <c r="Q27" s="1147" t="str">
        <f t="shared" si="11"/>
        <v>道路级别</v>
      </c>
      <c r="R27" s="1554" t="s">
        <v>11</v>
      </c>
      <c r="S27" s="1555">
        <f>F27</f>
        <v>100</v>
      </c>
      <c r="T27" s="1554" t="s">
        <v>11</v>
      </c>
      <c r="U27" s="1555">
        <f>H27</f>
        <v>100</v>
      </c>
      <c r="V27" s="1554" t="s">
        <v>11</v>
      </c>
      <c r="W27" s="1555">
        <f>J27</f>
        <v>100</v>
      </c>
      <c r="X27" s="1556"/>
      <c r="Y27" s="3384"/>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4"/>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4"/>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4"/>
      <c r="Q29" s="1558">
        <f t="shared" si="11"/>
        <v>111</v>
      </c>
      <c r="R29" s="1559" t="s">
        <v>11</v>
      </c>
      <c r="S29" s="1560">
        <f t="shared" si="12"/>
        <v>100</v>
      </c>
      <c r="T29" s="1559" t="s">
        <v>11</v>
      </c>
      <c r="U29" s="1560">
        <f t="shared" si="13"/>
        <v>100</v>
      </c>
      <c r="V29" s="1559" t="s">
        <v>11</v>
      </c>
      <c r="W29" s="1560">
        <f t="shared" si="14"/>
        <v>100</v>
      </c>
      <c r="X29" s="1553"/>
      <c r="Y29" s="338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4"/>
      <c r="Q30" s="1558">
        <f t="shared" si="11"/>
        <v>111</v>
      </c>
      <c r="R30" s="1559" t="s">
        <v>11</v>
      </c>
      <c r="S30" s="1560">
        <f t="shared" si="12"/>
        <v>100</v>
      </c>
      <c r="T30" s="1559" t="s">
        <v>11</v>
      </c>
      <c r="U30" s="1560">
        <f t="shared" si="13"/>
        <v>100</v>
      </c>
      <c r="V30" s="1559" t="s">
        <v>11</v>
      </c>
      <c r="W30" s="1560">
        <f t="shared" si="14"/>
        <v>100</v>
      </c>
      <c r="X30" s="1553"/>
      <c r="Y30" s="3384"/>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4"/>
      <c r="Q31" s="1558">
        <f t="shared" si="11"/>
        <v>111</v>
      </c>
      <c r="R31" s="1559" t="s">
        <v>11</v>
      </c>
      <c r="S31" s="1560">
        <f t="shared" si="12"/>
        <v>100</v>
      </c>
      <c r="T31" s="1559" t="s">
        <v>11</v>
      </c>
      <c r="U31" s="1560">
        <f t="shared" si="13"/>
        <v>100</v>
      </c>
      <c r="V31" s="1559" t="s">
        <v>11</v>
      </c>
      <c r="W31" s="1560">
        <f t="shared" si="14"/>
        <v>100</v>
      </c>
      <c r="X31" s="1553"/>
      <c r="Y31" s="3384"/>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5" t="s">
        <v>550</v>
      </c>
      <c r="Q32" s="1558" t="str">
        <f t="shared" si="11"/>
        <v>建筑类型</v>
      </c>
      <c r="R32" s="1559" t="s">
        <v>11</v>
      </c>
      <c r="S32" s="1560">
        <f t="shared" si="12"/>
        <v>100</v>
      </c>
      <c r="T32" s="1559" t="s">
        <v>11</v>
      </c>
      <c r="U32" s="1560">
        <f t="shared" si="13"/>
        <v>100</v>
      </c>
      <c r="V32" s="1559" t="s">
        <v>11</v>
      </c>
      <c r="W32" s="1560">
        <f t="shared" si="14"/>
        <v>100</v>
      </c>
      <c r="X32" s="1553"/>
      <c r="Y32" s="3386"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6"/>
      <c r="Q33" s="1590" t="str">
        <f t="shared" si="11"/>
        <v>项目建筑规模</v>
      </c>
      <c r="R33" s="1563" t="s">
        <v>11</v>
      </c>
      <c r="S33" s="1564" t="e">
        <f t="shared" si="12"/>
        <v>#N/A</v>
      </c>
      <c r="T33" s="1563" t="s">
        <v>11</v>
      </c>
      <c r="U33" s="1564" t="e">
        <f t="shared" si="13"/>
        <v>#N/A</v>
      </c>
      <c r="V33" s="1563" t="s">
        <v>11</v>
      </c>
      <c r="W33" s="1564" t="e">
        <f t="shared" si="14"/>
        <v>#N/A</v>
      </c>
      <c r="X33" s="1565"/>
      <c r="Y33" s="3386"/>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6"/>
      <c r="Q34" s="1558" t="str">
        <f t="shared" si="11"/>
        <v>建筑结构</v>
      </c>
      <c r="R34" s="1559" t="s">
        <v>11</v>
      </c>
      <c r="S34" s="1560">
        <f t="shared" si="12"/>
        <v>100</v>
      </c>
      <c r="T34" s="1559" t="s">
        <v>11</v>
      </c>
      <c r="U34" s="1560">
        <f t="shared" si="13"/>
        <v>100</v>
      </c>
      <c r="V34" s="1559" t="s">
        <v>11</v>
      </c>
      <c r="W34" s="1560">
        <f t="shared" si="14"/>
        <v>100</v>
      </c>
      <c r="X34" s="1553"/>
      <c r="Y34" s="3386"/>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6"/>
      <c r="Q35" s="1558" t="str">
        <f t="shared" si="11"/>
        <v>建筑品质</v>
      </c>
      <c r="R35" s="1559" t="s">
        <v>11</v>
      </c>
      <c r="S35" s="1560">
        <f t="shared" si="12"/>
        <v>100</v>
      </c>
      <c r="T35" s="1559" t="s">
        <v>11</v>
      </c>
      <c r="U35" s="1560">
        <f t="shared" si="13"/>
        <v>100</v>
      </c>
      <c r="V35" s="1559" t="s">
        <v>11</v>
      </c>
      <c r="W35" s="1560">
        <f t="shared" si="14"/>
        <v>100</v>
      </c>
      <c r="X35" s="1553"/>
      <c r="Y35" s="3386"/>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6"/>
      <c r="Q36" s="1558" t="str">
        <f t="shared" si="11"/>
        <v>公共部分装修</v>
      </c>
      <c r="R36" s="1559" t="s">
        <v>11</v>
      </c>
      <c r="S36" s="1560">
        <f t="shared" si="12"/>
        <v>100</v>
      </c>
      <c r="T36" s="1559" t="s">
        <v>11</v>
      </c>
      <c r="U36" s="1560">
        <f t="shared" si="13"/>
        <v>100</v>
      </c>
      <c r="V36" s="1559" t="s">
        <v>11</v>
      </c>
      <c r="W36" s="1560">
        <f t="shared" si="14"/>
        <v>100</v>
      </c>
      <c r="X36" s="1553"/>
      <c r="Y36" s="3386"/>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6"/>
      <c r="Q37" s="1147" t="str">
        <f t="shared" si="11"/>
        <v>成新度</v>
      </c>
      <c r="R37" s="1554" t="s">
        <v>11</v>
      </c>
      <c r="S37" s="1555" t="e">
        <f t="shared" si="12"/>
        <v>#N/A</v>
      </c>
      <c r="T37" s="1554" t="s">
        <v>11</v>
      </c>
      <c r="U37" s="1555" t="e">
        <f t="shared" si="13"/>
        <v>#N/A</v>
      </c>
      <c r="V37" s="1554" t="s">
        <v>11</v>
      </c>
      <c r="W37" s="1555" t="e">
        <f t="shared" si="14"/>
        <v>#N/A</v>
      </c>
      <c r="X37" s="1556"/>
      <c r="Y37" s="3386"/>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6" t="s">
        <v>550</v>
      </c>
      <c r="Q38" s="1558" t="str">
        <f t="shared" si="11"/>
        <v>物业管理</v>
      </c>
      <c r="R38" s="1559" t="s">
        <v>11</v>
      </c>
      <c r="S38" s="1560">
        <f t="shared" si="12"/>
        <v>100</v>
      </c>
      <c r="T38" s="1559" t="s">
        <v>11</v>
      </c>
      <c r="U38" s="1560">
        <f t="shared" si="13"/>
        <v>100</v>
      </c>
      <c r="V38" s="1559" t="s">
        <v>11</v>
      </c>
      <c r="W38" s="1560">
        <f t="shared" si="14"/>
        <v>100</v>
      </c>
      <c r="X38" s="1553"/>
      <c r="Y38" s="3386" t="s">
        <v>550</v>
      </c>
      <c r="Z38" s="1561" t="str">
        <f t="shared" si="15"/>
        <v>物业管理</v>
      </c>
      <c r="AA38" s="1562">
        <f t="shared" si="3"/>
        <v>1</v>
      </c>
      <c r="AB38" s="1562">
        <f t="shared" si="4"/>
        <v>1</v>
      </c>
      <c r="AC38" s="1562">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6"/>
      <c r="Q39" s="1558" t="str">
        <f t="shared" si="11"/>
        <v>市政基础设施</v>
      </c>
      <c r="R39" s="1559" t="s">
        <v>11</v>
      </c>
      <c r="S39" s="1560">
        <f t="shared" si="12"/>
        <v>100</v>
      </c>
      <c r="T39" s="1559" t="s">
        <v>11</v>
      </c>
      <c r="U39" s="1560">
        <f t="shared" si="13"/>
        <v>100</v>
      </c>
      <c r="V39" s="1559" t="s">
        <v>11</v>
      </c>
      <c r="W39" s="1560">
        <f t="shared" si="14"/>
        <v>100</v>
      </c>
      <c r="X39" s="1553"/>
      <c r="Y39" s="3386"/>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6"/>
      <c r="Q40" s="1558" t="str">
        <f t="shared" si="11"/>
        <v>房型</v>
      </c>
      <c r="R40" s="1559" t="s">
        <v>11</v>
      </c>
      <c r="S40" s="1560">
        <f t="shared" si="12"/>
        <v>100</v>
      </c>
      <c r="T40" s="1559" t="s">
        <v>11</v>
      </c>
      <c r="U40" s="1560">
        <f t="shared" si="13"/>
        <v>100</v>
      </c>
      <c r="V40" s="1559" t="s">
        <v>11</v>
      </c>
      <c r="W40" s="1560">
        <f t="shared" si="14"/>
        <v>100</v>
      </c>
      <c r="X40" s="1553"/>
      <c r="Y40" s="3386"/>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6"/>
      <c r="Q41" s="1590" t="str">
        <f t="shared" si="11"/>
        <v>单套/主力户型建筑面积</v>
      </c>
      <c r="R41" s="1563" t="s">
        <v>11</v>
      </c>
      <c r="S41" s="1564">
        <f t="shared" si="12"/>
        <v>100</v>
      </c>
      <c r="T41" s="1563" t="s">
        <v>11</v>
      </c>
      <c r="U41" s="1564">
        <f t="shared" si="13"/>
        <v>100</v>
      </c>
      <c r="V41" s="1563" t="s">
        <v>11</v>
      </c>
      <c r="W41" s="1564">
        <f t="shared" si="14"/>
        <v>100</v>
      </c>
      <c r="X41" s="1565"/>
      <c r="Y41" s="3386"/>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6"/>
      <c r="Q42" s="1558" t="str">
        <f t="shared" si="11"/>
        <v>内部装修</v>
      </c>
      <c r="R42" s="1559" t="s">
        <v>11</v>
      </c>
      <c r="S42" s="1560">
        <f t="shared" si="12"/>
        <v>100</v>
      </c>
      <c r="T42" s="1559" t="s">
        <v>11</v>
      </c>
      <c r="U42" s="1560">
        <f t="shared" si="13"/>
        <v>100</v>
      </c>
      <c r="V42" s="1559" t="s">
        <v>11</v>
      </c>
      <c r="W42" s="1560">
        <f t="shared" si="14"/>
        <v>100</v>
      </c>
      <c r="X42" s="1553"/>
      <c r="Y42" s="3386"/>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6"/>
      <c r="Q43" s="1558" t="str">
        <f t="shared" si="11"/>
        <v>内部装修维护情况</v>
      </c>
      <c r="R43" s="1559" t="s">
        <v>11</v>
      </c>
      <c r="S43" s="1560">
        <f t="shared" si="12"/>
        <v>100</v>
      </c>
      <c r="T43" s="1559" t="s">
        <v>11</v>
      </c>
      <c r="U43" s="1560">
        <f t="shared" si="13"/>
        <v>100</v>
      </c>
      <c r="V43" s="1559" t="s">
        <v>11</v>
      </c>
      <c r="W43" s="1560">
        <f t="shared" si="14"/>
        <v>100</v>
      </c>
      <c r="X43" s="1553"/>
      <c r="Y43" s="3386"/>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6"/>
      <c r="Q44" s="1147">
        <f t="shared" si="11"/>
        <v>111</v>
      </c>
      <c r="R44" s="1554" t="s">
        <v>11</v>
      </c>
      <c r="S44" s="1555">
        <f t="shared" si="12"/>
        <v>100</v>
      </c>
      <c r="T44" s="1554" t="s">
        <v>11</v>
      </c>
      <c r="U44" s="1555">
        <f t="shared" si="13"/>
        <v>100</v>
      </c>
      <c r="V44" s="1554" t="s">
        <v>11</v>
      </c>
      <c r="W44" s="1555">
        <f t="shared" si="14"/>
        <v>100</v>
      </c>
      <c r="X44" s="1556"/>
      <c r="Y44" s="3386"/>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6"/>
      <c r="Q45" s="1558">
        <f t="shared" si="11"/>
        <v>111</v>
      </c>
      <c r="R45" s="1559" t="s">
        <v>11</v>
      </c>
      <c r="S45" s="1560">
        <f t="shared" si="12"/>
        <v>100</v>
      </c>
      <c r="T45" s="1559" t="s">
        <v>11</v>
      </c>
      <c r="U45" s="1560">
        <f t="shared" si="13"/>
        <v>100</v>
      </c>
      <c r="V45" s="1559" t="s">
        <v>11</v>
      </c>
      <c r="W45" s="1560">
        <f t="shared" si="14"/>
        <v>100</v>
      </c>
      <c r="X45" s="1553"/>
      <c r="Y45" s="3386"/>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6"/>
      <c r="Q46" s="1558">
        <f t="shared" si="11"/>
        <v>111</v>
      </c>
      <c r="R46" s="1559" t="s">
        <v>10</v>
      </c>
      <c r="S46" s="1560">
        <f t="shared" si="12"/>
        <v>100</v>
      </c>
      <c r="T46" s="1559" t="s">
        <v>10</v>
      </c>
      <c r="U46" s="1560">
        <f t="shared" si="13"/>
        <v>100</v>
      </c>
      <c r="V46" s="1559" t="s">
        <v>10</v>
      </c>
      <c r="W46" s="1560">
        <f t="shared" si="14"/>
        <v>100</v>
      </c>
      <c r="X46" s="1553"/>
      <c r="Y46" s="3486"/>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1" t="str">
        <f>A47</f>
        <v>成交单价（元/平方米）</v>
      </c>
      <c r="Q47" s="3381"/>
      <c r="R47" s="3485">
        <f>E47</f>
        <v>0</v>
      </c>
      <c r="S47" s="3485"/>
      <c r="T47" s="3485">
        <f>G47</f>
        <v>0</v>
      </c>
      <c r="U47" s="3485"/>
      <c r="V47" s="3485">
        <f>I47</f>
        <v>0</v>
      </c>
      <c r="W47" s="348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81" t="str">
        <f>A48</f>
        <v>比较价格（元/平方米）</v>
      </c>
      <c r="Q48" s="3381"/>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3"/>
      <c r="L49" s="2129"/>
      <c r="M49" s="2130"/>
      <c r="N49" s="2130"/>
      <c r="O49" s="2130"/>
      <c r="P49" s="3402" t="str">
        <f>A49</f>
        <v>估价对象XX用房的比较价格（楼面单价，元/平方米）</v>
      </c>
      <c r="Q49" s="3403"/>
      <c r="R49" s="3484" t="e">
        <f>IF(F1="售价",ROUND(AVERAGE(R48:V48),0),ROUND(AVERAGE(R48:V48),1))</f>
        <v>#DIV/0!</v>
      </c>
      <c r="S49" s="3484"/>
      <c r="T49" s="3484"/>
      <c r="U49" s="3484"/>
      <c r="V49" s="3484"/>
      <c r="W49" s="348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7" t="s">
        <v>522</v>
      </c>
      <c r="D4" s="3388"/>
      <c r="E4" s="3411" t="s">
        <v>523</v>
      </c>
      <c r="F4" s="3412"/>
      <c r="G4" s="3387" t="s">
        <v>524</v>
      </c>
      <c r="H4" s="3388"/>
      <c r="I4" s="3387" t="s">
        <v>525</v>
      </c>
      <c r="J4" s="3388"/>
      <c r="K4" s="514"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95" t="s">
        <v>524</v>
      </c>
      <c r="AC4" s="3370" t="s">
        <v>525</v>
      </c>
    </row>
    <row r="5" spans="1:29" ht="15">
      <c r="A5" s="515"/>
      <c r="B5" s="516"/>
      <c r="C5" s="3398" t="s">
        <v>2928</v>
      </c>
      <c r="D5" s="3399"/>
      <c r="E5" s="3413" t="s">
        <v>2929</v>
      </c>
      <c r="F5" s="3414"/>
      <c r="G5" s="3398" t="s">
        <v>2930</v>
      </c>
      <c r="H5" s="3399"/>
      <c r="I5" s="3398" t="s">
        <v>2931</v>
      </c>
      <c r="J5" s="3399"/>
      <c r="K5" s="514"/>
      <c r="L5" s="2118"/>
      <c r="M5" s="2119"/>
      <c r="N5" s="2119"/>
      <c r="O5" s="2119"/>
      <c r="P5" s="3391"/>
      <c r="Q5" s="3392"/>
      <c r="R5" s="3377"/>
      <c r="S5" s="3378"/>
      <c r="T5" s="3377"/>
      <c r="U5" s="3378"/>
      <c r="V5" s="3395"/>
      <c r="W5" s="3395"/>
      <c r="X5" s="1553"/>
      <c r="Y5" s="3377"/>
      <c r="Z5" s="3378"/>
      <c r="AA5" s="3371"/>
      <c r="AB5" s="3395"/>
      <c r="AC5" s="3371"/>
    </row>
    <row r="6" spans="1:29" ht="15.75" thickBot="1">
      <c r="A6" s="517"/>
      <c r="B6" s="518"/>
      <c r="C6" s="3396" t="s">
        <v>2932</v>
      </c>
      <c r="D6" s="3397"/>
      <c r="E6" s="3415" t="s">
        <v>2932</v>
      </c>
      <c r="F6" s="3416"/>
      <c r="G6" s="3396" t="s">
        <v>2932</v>
      </c>
      <c r="H6" s="3397"/>
      <c r="I6" s="3396" t="s">
        <v>2932</v>
      </c>
      <c r="J6" s="3397"/>
      <c r="K6" s="514" t="s">
        <v>528</v>
      </c>
      <c r="L6" s="2118"/>
      <c r="M6" s="2119"/>
      <c r="N6" s="2119"/>
      <c r="O6" s="2119"/>
      <c r="P6" s="3393"/>
      <c r="Q6" s="3394"/>
      <c r="R6" s="3377"/>
      <c r="S6" s="3378"/>
      <c r="T6" s="3379"/>
      <c r="U6" s="3380"/>
      <c r="V6" s="3395"/>
      <c r="W6" s="3395"/>
      <c r="X6" s="1553"/>
      <c r="Y6" s="3379"/>
      <c r="Z6" s="3380"/>
      <c r="AA6" s="3372"/>
      <c r="AB6" s="3395"/>
      <c r="AC6" s="3372"/>
    </row>
    <row r="7" spans="1:29" s="1216" customFormat="1" ht="15.75" thickBot="1">
      <c r="A7" s="2867"/>
      <c r="B7" s="2874" t="s">
        <v>529</v>
      </c>
      <c r="C7" s="519">
        <f>'数据-取费表'!B2</f>
        <v>43909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3"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1"/>
      <c r="Q11" s="1147" t="str">
        <f t="shared" si="6"/>
        <v>容积率</v>
      </c>
      <c r="R11" s="1554" t="s">
        <v>8</v>
      </c>
      <c r="S11" s="1555" t="e">
        <f t="shared" si="0"/>
        <v>#N/A</v>
      </c>
      <c r="T11" s="1554" t="s">
        <v>8</v>
      </c>
      <c r="U11" s="1555" t="e">
        <f t="shared" si="1"/>
        <v>#N/A</v>
      </c>
      <c r="V11" s="1554" t="s">
        <v>8</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3" t="s">
        <v>540</v>
      </c>
      <c r="Q15" s="1558" t="str">
        <f t="shared" si="6"/>
        <v>商业繁华度</v>
      </c>
      <c r="R15" s="1559" t="s">
        <v>8</v>
      </c>
      <c r="S15" s="1560">
        <f t="shared" si="0"/>
        <v>100</v>
      </c>
      <c r="T15" s="1559" t="s">
        <v>8</v>
      </c>
      <c r="U15" s="1560">
        <f t="shared" si="1"/>
        <v>100</v>
      </c>
      <c r="V15" s="1559" t="s">
        <v>8</v>
      </c>
      <c r="W15" s="1560">
        <f t="shared" si="2"/>
        <v>100</v>
      </c>
      <c r="X15" s="1553"/>
      <c r="Y15" s="3383"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4"/>
      <c r="Q16" s="1558"/>
      <c r="R16" s="1559"/>
      <c r="S16" s="1560"/>
      <c r="T16" s="1559"/>
      <c r="U16" s="1560"/>
      <c r="V16" s="1559"/>
      <c r="W16" s="1560"/>
      <c r="X16" s="1553"/>
      <c r="Y16" s="3384"/>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4"/>
      <c r="Q18" s="1558"/>
      <c r="R18" s="1559"/>
      <c r="S18" s="1560"/>
      <c r="T18" s="1559"/>
      <c r="U18" s="1560"/>
      <c r="V18" s="1559"/>
      <c r="W18" s="1560"/>
      <c r="X18" s="1553"/>
      <c r="Y18" s="3384"/>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4"/>
      <c r="Q21" s="2543" t="str">
        <f>B21</f>
        <v>基础设施水平</v>
      </c>
      <c r="R21" s="1559" t="s">
        <v>8</v>
      </c>
      <c r="S21" s="1560">
        <f>F21</f>
        <v>100</v>
      </c>
      <c r="T21" s="1559" t="s">
        <v>8</v>
      </c>
      <c r="U21" s="1560">
        <f>H21</f>
        <v>100</v>
      </c>
      <c r="V21" s="1559" t="s">
        <v>8</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4"/>
      <c r="Q22" s="2543"/>
      <c r="R22" s="1559"/>
      <c r="S22" s="1560"/>
      <c r="T22" s="1559"/>
      <c r="U22" s="1560"/>
      <c r="V22" s="1559"/>
      <c r="W22" s="1560"/>
      <c r="X22" s="2545"/>
      <c r="Y22" s="3384"/>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4"/>
      <c r="Q23" s="1558" t="str">
        <f>B23</f>
        <v>自然及人文环境</v>
      </c>
      <c r="R23" s="1559" t="s">
        <v>8</v>
      </c>
      <c r="S23" s="1560">
        <f>F23</f>
        <v>100</v>
      </c>
      <c r="T23" s="1559" t="s">
        <v>8</v>
      </c>
      <c r="U23" s="1560">
        <f>H23</f>
        <v>100</v>
      </c>
      <c r="V23" s="1559" t="s">
        <v>8</v>
      </c>
      <c r="W23" s="1560">
        <f>J23</f>
        <v>100</v>
      </c>
      <c r="X23" s="1553"/>
      <c r="Y23" s="3384"/>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4"/>
      <c r="Q25" s="1558" t="str">
        <f t="shared" ref="Q25:Q46" si="11">B25</f>
        <v>临街状况</v>
      </c>
      <c r="R25" s="1559" t="s">
        <v>8</v>
      </c>
      <c r="S25" s="1560">
        <f>F25</f>
        <v>100</v>
      </c>
      <c r="T25" s="1559" t="s">
        <v>8</v>
      </c>
      <c r="U25" s="1560">
        <f>H25</f>
        <v>100</v>
      </c>
      <c r="V25" s="1559" t="s">
        <v>8</v>
      </c>
      <c r="W25" s="1560">
        <f>J25</f>
        <v>100</v>
      </c>
      <c r="X25" s="1553"/>
      <c r="Y25" s="3384"/>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4"/>
      <c r="Q26" s="1558" t="str">
        <f t="shared" si="11"/>
        <v>平面位置/可视性</v>
      </c>
      <c r="R26" s="1559" t="s">
        <v>8</v>
      </c>
      <c r="S26" s="1560">
        <f>F26</f>
        <v>100</v>
      </c>
      <c r="T26" s="1559" t="s">
        <v>8</v>
      </c>
      <c r="U26" s="1560">
        <f>H26</f>
        <v>100</v>
      </c>
      <c r="V26" s="1559" t="s">
        <v>8</v>
      </c>
      <c r="W26" s="1560">
        <f>J26</f>
        <v>100</v>
      </c>
      <c r="X26" s="1553"/>
      <c r="Y26" s="3384"/>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4"/>
      <c r="Q27" s="1147" t="str">
        <f t="shared" si="11"/>
        <v>人流量</v>
      </c>
      <c r="R27" s="1554" t="s">
        <v>8</v>
      </c>
      <c r="S27" s="1555">
        <f>F27</f>
        <v>100</v>
      </c>
      <c r="T27" s="1554" t="s">
        <v>8</v>
      </c>
      <c r="U27" s="1555">
        <f>H27</f>
        <v>100</v>
      </c>
      <c r="V27" s="1554" t="s">
        <v>8</v>
      </c>
      <c r="W27" s="1555">
        <f>J27</f>
        <v>100</v>
      </c>
      <c r="X27" s="1556"/>
      <c r="Y27" s="3384"/>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4"/>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4"/>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4"/>
      <c r="Q29" s="1558">
        <f t="shared" si="11"/>
        <v>111</v>
      </c>
      <c r="R29" s="1559" t="s">
        <v>8</v>
      </c>
      <c r="S29" s="1560">
        <f t="shared" si="12"/>
        <v>100</v>
      </c>
      <c r="T29" s="1559" t="s">
        <v>8</v>
      </c>
      <c r="U29" s="1560">
        <f t="shared" si="13"/>
        <v>100</v>
      </c>
      <c r="V29" s="1559" t="s">
        <v>8</v>
      </c>
      <c r="W29" s="1560">
        <f t="shared" si="14"/>
        <v>100</v>
      </c>
      <c r="X29" s="1553"/>
      <c r="Y29" s="3384"/>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4"/>
      <c r="Q30" s="1558">
        <f t="shared" si="11"/>
        <v>111</v>
      </c>
      <c r="R30" s="1559" t="s">
        <v>8</v>
      </c>
      <c r="S30" s="1560">
        <f t="shared" si="12"/>
        <v>100</v>
      </c>
      <c r="T30" s="1559" t="s">
        <v>8</v>
      </c>
      <c r="U30" s="1560">
        <f t="shared" si="13"/>
        <v>100</v>
      </c>
      <c r="V30" s="1559" t="s">
        <v>8</v>
      </c>
      <c r="W30" s="1560">
        <f t="shared" si="14"/>
        <v>100</v>
      </c>
      <c r="X30" s="1553"/>
      <c r="Y30" s="3384"/>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4"/>
      <c r="Q31" s="1558">
        <f t="shared" si="11"/>
        <v>111</v>
      </c>
      <c r="R31" s="1559" t="s">
        <v>8</v>
      </c>
      <c r="S31" s="1560">
        <f t="shared" si="12"/>
        <v>100</v>
      </c>
      <c r="T31" s="1559" t="s">
        <v>8</v>
      </c>
      <c r="U31" s="1560">
        <f t="shared" si="13"/>
        <v>100</v>
      </c>
      <c r="V31" s="1559" t="s">
        <v>8</v>
      </c>
      <c r="W31" s="1560">
        <f t="shared" si="14"/>
        <v>100</v>
      </c>
      <c r="X31" s="1553"/>
      <c r="Y31" s="3384"/>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5" t="s">
        <v>550</v>
      </c>
      <c r="Q32" s="1558" t="str">
        <f t="shared" si="11"/>
        <v>商业类型</v>
      </c>
      <c r="R32" s="1559" t="s">
        <v>8</v>
      </c>
      <c r="S32" s="1560">
        <f t="shared" si="12"/>
        <v>100</v>
      </c>
      <c r="T32" s="1559" t="s">
        <v>8</v>
      </c>
      <c r="U32" s="1560">
        <f t="shared" si="13"/>
        <v>100</v>
      </c>
      <c r="V32" s="1559" t="s">
        <v>8</v>
      </c>
      <c r="W32" s="1560">
        <f t="shared" si="14"/>
        <v>100</v>
      </c>
      <c r="X32" s="1553"/>
      <c r="Y32" s="3386"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6"/>
      <c r="Q33" s="1590" t="str">
        <f t="shared" si="11"/>
        <v>项目建筑规模</v>
      </c>
      <c r="R33" s="1563" t="s">
        <v>8</v>
      </c>
      <c r="S33" s="1564" t="e">
        <f t="shared" si="12"/>
        <v>#N/A</v>
      </c>
      <c r="T33" s="1563" t="s">
        <v>8</v>
      </c>
      <c r="U33" s="1564" t="e">
        <f t="shared" si="13"/>
        <v>#N/A</v>
      </c>
      <c r="V33" s="1563" t="s">
        <v>8</v>
      </c>
      <c r="W33" s="1564" t="e">
        <f t="shared" si="14"/>
        <v>#N/A</v>
      </c>
      <c r="X33" s="1565"/>
      <c r="Y33" s="3386"/>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6"/>
      <c r="Q34" s="1558" t="str">
        <f t="shared" si="11"/>
        <v>建筑结构</v>
      </c>
      <c r="R34" s="1559" t="s">
        <v>8</v>
      </c>
      <c r="S34" s="1560">
        <f t="shared" si="12"/>
        <v>100</v>
      </c>
      <c r="T34" s="1559" t="s">
        <v>8</v>
      </c>
      <c r="U34" s="1560">
        <f t="shared" si="13"/>
        <v>100</v>
      </c>
      <c r="V34" s="1559" t="s">
        <v>8</v>
      </c>
      <c r="W34" s="1560">
        <f t="shared" si="14"/>
        <v>100</v>
      </c>
      <c r="X34" s="1553"/>
      <c r="Y34" s="3386"/>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6"/>
      <c r="Q35" s="1558" t="str">
        <f t="shared" si="11"/>
        <v>公共部分装修</v>
      </c>
      <c r="R35" s="1559" t="s">
        <v>8</v>
      </c>
      <c r="S35" s="1560">
        <f t="shared" si="12"/>
        <v>100</v>
      </c>
      <c r="T35" s="1559" t="s">
        <v>8</v>
      </c>
      <c r="U35" s="1560">
        <f t="shared" si="13"/>
        <v>100</v>
      </c>
      <c r="V35" s="1559" t="s">
        <v>8</v>
      </c>
      <c r="W35" s="1560">
        <f t="shared" si="14"/>
        <v>100</v>
      </c>
      <c r="X35" s="1553"/>
      <c r="Y35" s="3386"/>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6"/>
      <c r="Q36" s="1558" t="str">
        <f t="shared" si="11"/>
        <v>成新度</v>
      </c>
      <c r="R36" s="1559" t="s">
        <v>8</v>
      </c>
      <c r="S36" s="1560" t="e">
        <f t="shared" si="12"/>
        <v>#N/A</v>
      </c>
      <c r="T36" s="1559" t="s">
        <v>8</v>
      </c>
      <c r="U36" s="1560" t="e">
        <f t="shared" si="13"/>
        <v>#N/A</v>
      </c>
      <c r="V36" s="1559" t="s">
        <v>8</v>
      </c>
      <c r="W36" s="1560" t="e">
        <f t="shared" si="14"/>
        <v>#N/A</v>
      </c>
      <c r="X36" s="1553"/>
      <c r="Y36" s="3386"/>
      <c r="Z36" s="1561" t="str">
        <f t="shared" si="15"/>
        <v>成新度</v>
      </c>
      <c r="AA36" s="1562" t="e">
        <f t="shared" si="3"/>
        <v>#N/A</v>
      </c>
      <c r="AB36" s="1562" t="e">
        <f t="shared" si="4"/>
        <v>#N/A</v>
      </c>
      <c r="AC36" s="1562"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6"/>
      <c r="Q37" s="1147" t="str">
        <f t="shared" si="11"/>
        <v>市政基础设施</v>
      </c>
      <c r="R37" s="1554" t="s">
        <v>8</v>
      </c>
      <c r="S37" s="1555">
        <f t="shared" si="12"/>
        <v>100</v>
      </c>
      <c r="T37" s="1554" t="s">
        <v>8</v>
      </c>
      <c r="U37" s="1555">
        <f t="shared" si="13"/>
        <v>100</v>
      </c>
      <c r="V37" s="1554" t="s">
        <v>8</v>
      </c>
      <c r="W37" s="1555">
        <f t="shared" si="14"/>
        <v>100</v>
      </c>
      <c r="X37" s="1556"/>
      <c r="Y37" s="3386"/>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6" t="s">
        <v>766</v>
      </c>
      <c r="Q38" s="1558" t="str">
        <f t="shared" si="11"/>
        <v>业态</v>
      </c>
      <c r="R38" s="1559" t="s">
        <v>8</v>
      </c>
      <c r="S38" s="1560">
        <f t="shared" si="12"/>
        <v>100</v>
      </c>
      <c r="T38" s="1559" t="s">
        <v>8</v>
      </c>
      <c r="U38" s="1560">
        <f t="shared" si="13"/>
        <v>100</v>
      </c>
      <c r="V38" s="1559" t="s">
        <v>8</v>
      </c>
      <c r="W38" s="1560">
        <f t="shared" si="14"/>
        <v>100</v>
      </c>
      <c r="X38" s="1553"/>
      <c r="Y38" s="3386"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6"/>
      <c r="Q39" s="1558" t="str">
        <f t="shared" si="11"/>
        <v>层高</v>
      </c>
      <c r="R39" s="1559" t="s">
        <v>8</v>
      </c>
      <c r="S39" s="1560">
        <f t="shared" si="12"/>
        <v>100</v>
      </c>
      <c r="T39" s="1559" t="s">
        <v>8</v>
      </c>
      <c r="U39" s="1560">
        <f t="shared" si="13"/>
        <v>100</v>
      </c>
      <c r="V39" s="1559" t="s">
        <v>8</v>
      </c>
      <c r="W39" s="1560">
        <f t="shared" si="14"/>
        <v>100</v>
      </c>
      <c r="X39" s="1553"/>
      <c r="Y39" s="3386"/>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6"/>
      <c r="Q40" s="1558" t="str">
        <f t="shared" si="11"/>
        <v>单套建筑面积</v>
      </c>
      <c r="R40" s="1559" t="s">
        <v>8</v>
      </c>
      <c r="S40" s="1560">
        <f t="shared" si="12"/>
        <v>100</v>
      </c>
      <c r="T40" s="1559" t="s">
        <v>8</v>
      </c>
      <c r="U40" s="1560">
        <f t="shared" si="13"/>
        <v>100</v>
      </c>
      <c r="V40" s="1559" t="s">
        <v>8</v>
      </c>
      <c r="W40" s="1560">
        <f t="shared" si="14"/>
        <v>100</v>
      </c>
      <c r="X40" s="1553"/>
      <c r="Y40" s="3386"/>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6"/>
      <c r="Q41" s="1590" t="str">
        <f t="shared" si="11"/>
        <v>进深比</v>
      </c>
      <c r="R41" s="1563" t="s">
        <v>8</v>
      </c>
      <c r="S41" s="1564">
        <f t="shared" si="12"/>
        <v>100</v>
      </c>
      <c r="T41" s="1563" t="s">
        <v>8</v>
      </c>
      <c r="U41" s="1564">
        <f t="shared" si="13"/>
        <v>100</v>
      </c>
      <c r="V41" s="1563" t="s">
        <v>8</v>
      </c>
      <c r="W41" s="1564">
        <f t="shared" si="14"/>
        <v>100</v>
      </c>
      <c r="X41" s="1565"/>
      <c r="Y41" s="3386"/>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6"/>
      <c r="Q42" s="1558" t="str">
        <f t="shared" si="11"/>
        <v>内部装修</v>
      </c>
      <c r="R42" s="1559" t="s">
        <v>8</v>
      </c>
      <c r="S42" s="1560">
        <f t="shared" si="12"/>
        <v>100</v>
      </c>
      <c r="T42" s="1559" t="s">
        <v>8</v>
      </c>
      <c r="U42" s="1560">
        <f t="shared" si="13"/>
        <v>100</v>
      </c>
      <c r="V42" s="1559" t="s">
        <v>8</v>
      </c>
      <c r="W42" s="1560">
        <f t="shared" si="14"/>
        <v>100</v>
      </c>
      <c r="X42" s="1553"/>
      <c r="Y42" s="3386"/>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6"/>
      <c r="Q43" s="1558" t="str">
        <f t="shared" si="11"/>
        <v>内部装修维护情况</v>
      </c>
      <c r="R43" s="1559" t="s">
        <v>8</v>
      </c>
      <c r="S43" s="1560">
        <f t="shared" si="12"/>
        <v>100</v>
      </c>
      <c r="T43" s="1559" t="s">
        <v>8</v>
      </c>
      <c r="U43" s="1560">
        <f t="shared" si="13"/>
        <v>100</v>
      </c>
      <c r="V43" s="1559" t="s">
        <v>8</v>
      </c>
      <c r="W43" s="1560">
        <f t="shared" si="14"/>
        <v>100</v>
      </c>
      <c r="X43" s="1553"/>
      <c r="Y43" s="3386"/>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6"/>
      <c r="Q44" s="1147">
        <f t="shared" si="11"/>
        <v>111</v>
      </c>
      <c r="R44" s="1554" t="s">
        <v>8</v>
      </c>
      <c r="S44" s="1555">
        <f t="shared" si="12"/>
        <v>100</v>
      </c>
      <c r="T44" s="1554" t="s">
        <v>8</v>
      </c>
      <c r="U44" s="1555">
        <f t="shared" si="13"/>
        <v>100</v>
      </c>
      <c r="V44" s="1554" t="s">
        <v>8</v>
      </c>
      <c r="W44" s="1555">
        <f t="shared" si="14"/>
        <v>100</v>
      </c>
      <c r="X44" s="1556"/>
      <c r="Y44" s="3386"/>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6"/>
      <c r="Q45" s="1558">
        <f t="shared" si="11"/>
        <v>111</v>
      </c>
      <c r="R45" s="1559" t="s">
        <v>8</v>
      </c>
      <c r="S45" s="1560">
        <f t="shared" si="12"/>
        <v>100</v>
      </c>
      <c r="T45" s="1559" t="s">
        <v>8</v>
      </c>
      <c r="U45" s="1560">
        <f t="shared" si="13"/>
        <v>100</v>
      </c>
      <c r="V45" s="1559" t="s">
        <v>8</v>
      </c>
      <c r="W45" s="1560">
        <f t="shared" si="14"/>
        <v>100</v>
      </c>
      <c r="X45" s="1553"/>
      <c r="Y45" s="3386"/>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6"/>
      <c r="Q46" s="1558">
        <f t="shared" si="11"/>
        <v>111</v>
      </c>
      <c r="R46" s="1559" t="s">
        <v>8</v>
      </c>
      <c r="S46" s="1560">
        <f t="shared" si="12"/>
        <v>100</v>
      </c>
      <c r="T46" s="1559" t="s">
        <v>8</v>
      </c>
      <c r="U46" s="1560">
        <f t="shared" si="13"/>
        <v>100</v>
      </c>
      <c r="V46" s="1559" t="s">
        <v>8</v>
      </c>
      <c r="W46" s="1560">
        <f t="shared" si="14"/>
        <v>100</v>
      </c>
      <c r="X46" s="1553"/>
      <c r="Y46" s="3486"/>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1" t="str">
        <f>A47</f>
        <v>成交单价（元/平方米）</v>
      </c>
      <c r="Q47" s="3381"/>
      <c r="R47" s="3485">
        <f>E47</f>
        <v>0</v>
      </c>
      <c r="S47" s="3485"/>
      <c r="T47" s="3485">
        <f>G47</f>
        <v>0</v>
      </c>
      <c r="U47" s="3485"/>
      <c r="V47" s="3485">
        <f>I47</f>
        <v>0</v>
      </c>
      <c r="W47" s="348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81" t="str">
        <f>A48</f>
        <v>比较价格（元/平方米）</v>
      </c>
      <c r="Q48" s="3381"/>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402" t="str">
        <f>A49</f>
        <v>估价对象XX用房的比较价格（楼面单价，元/平方米）</v>
      </c>
      <c r="Q49" s="3403"/>
      <c r="R49" s="3484" t="e">
        <f>IF(F1="售价",ROUND(AVERAGE(R48:V48),0),ROUND(AVERAGE(R48:V48),1))</f>
        <v>#DIV/0!</v>
      </c>
      <c r="S49" s="3484"/>
      <c r="T49" s="3484"/>
      <c r="U49" s="3484"/>
      <c r="V49" s="3484"/>
      <c r="W49" s="348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7" t="s">
        <v>522</v>
      </c>
      <c r="D4" s="3388"/>
      <c r="E4" s="3411" t="s">
        <v>523</v>
      </c>
      <c r="F4" s="3412"/>
      <c r="G4" s="3387" t="s">
        <v>524</v>
      </c>
      <c r="H4" s="3388"/>
      <c r="I4" s="3387" t="s">
        <v>525</v>
      </c>
      <c r="J4" s="3388"/>
      <c r="K4" s="514" t="s">
        <v>526</v>
      </c>
      <c r="L4" s="2118"/>
      <c r="M4" s="2119"/>
      <c r="N4" s="2119"/>
      <c r="O4" s="2119"/>
      <c r="P4" s="3487" t="s">
        <v>527</v>
      </c>
      <c r="Q4" s="3390"/>
      <c r="R4" s="3375" t="s">
        <v>523</v>
      </c>
      <c r="S4" s="3376"/>
      <c r="T4" s="3375" t="s">
        <v>524</v>
      </c>
      <c r="U4" s="3376"/>
      <c r="V4" s="3395" t="s">
        <v>525</v>
      </c>
      <c r="W4" s="3395"/>
      <c r="X4" s="1553"/>
      <c r="Y4" s="3375" t="s">
        <v>527</v>
      </c>
      <c r="Z4" s="3376"/>
      <c r="AA4" s="3370" t="s">
        <v>523</v>
      </c>
      <c r="AB4" s="3370" t="s">
        <v>524</v>
      </c>
      <c r="AC4" s="3370" t="s">
        <v>525</v>
      </c>
    </row>
    <row r="5" spans="1:29" ht="15">
      <c r="A5" s="515"/>
      <c r="B5" s="516"/>
      <c r="C5" s="3398" t="s">
        <v>2928</v>
      </c>
      <c r="D5" s="3399"/>
      <c r="E5" s="3413" t="s">
        <v>2929</v>
      </c>
      <c r="F5" s="3414"/>
      <c r="G5" s="3398" t="s">
        <v>2930</v>
      </c>
      <c r="H5" s="3399"/>
      <c r="I5" s="3398" t="s">
        <v>2931</v>
      </c>
      <c r="J5" s="3399"/>
      <c r="K5" s="514"/>
      <c r="L5" s="2118"/>
      <c r="M5" s="2119"/>
      <c r="N5" s="2119"/>
      <c r="O5" s="2119"/>
      <c r="P5" s="3488"/>
      <c r="Q5" s="3392"/>
      <c r="R5" s="3377"/>
      <c r="S5" s="3378"/>
      <c r="T5" s="3377"/>
      <c r="U5" s="3378"/>
      <c r="V5" s="3395"/>
      <c r="W5" s="3395"/>
      <c r="X5" s="1553"/>
      <c r="Y5" s="3377"/>
      <c r="Z5" s="3378"/>
      <c r="AA5" s="3371"/>
      <c r="AB5" s="3371"/>
      <c r="AC5" s="3371"/>
    </row>
    <row r="6" spans="1:29" ht="15.75" thickBot="1">
      <c r="A6" s="517"/>
      <c r="B6" s="518"/>
      <c r="C6" s="3396" t="s">
        <v>2932</v>
      </c>
      <c r="D6" s="3397"/>
      <c r="E6" s="3415" t="s">
        <v>2932</v>
      </c>
      <c r="F6" s="3416"/>
      <c r="G6" s="3396" t="s">
        <v>2932</v>
      </c>
      <c r="H6" s="3397"/>
      <c r="I6" s="3396" t="s">
        <v>2932</v>
      </c>
      <c r="J6" s="3397"/>
      <c r="K6" s="514" t="s">
        <v>528</v>
      </c>
      <c r="L6" s="2118"/>
      <c r="M6" s="2119"/>
      <c r="N6" s="2119"/>
      <c r="O6" s="2119"/>
      <c r="P6" s="3489"/>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43909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2"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2" t="s">
        <v>533</v>
      </c>
      <c r="Q8" s="3374"/>
      <c r="R8" s="1554" t="s">
        <v>8</v>
      </c>
      <c r="S8" s="1555">
        <f t="shared" si="0"/>
        <v>0</v>
      </c>
      <c r="T8" s="1554" t="s">
        <v>8</v>
      </c>
      <c r="U8" s="1555">
        <f t="shared" si="1"/>
        <v>0</v>
      </c>
      <c r="V8" s="1554" t="s">
        <v>8</v>
      </c>
      <c r="W8" s="1555">
        <f t="shared" si="2"/>
        <v>0</v>
      </c>
      <c r="X8" s="1556"/>
      <c r="Y8" s="3373" t="s">
        <v>533</v>
      </c>
      <c r="Z8" s="3374"/>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1"/>
      <c r="Q11" s="1147" t="str">
        <f t="shared" si="6"/>
        <v>容积率</v>
      </c>
      <c r="R11" s="1554" t="s">
        <v>8</v>
      </c>
      <c r="S11" s="1555" t="e">
        <f t="shared" si="0"/>
        <v>#N/A</v>
      </c>
      <c r="T11" s="1554" t="s">
        <v>8</v>
      </c>
      <c r="U11" s="1555" t="e">
        <f t="shared" si="1"/>
        <v>#N/A</v>
      </c>
      <c r="V11" s="1554" t="s">
        <v>8</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3" t="s">
        <v>540</v>
      </c>
      <c r="Q15" s="1558" t="str">
        <f t="shared" si="6"/>
        <v>办公集聚程度</v>
      </c>
      <c r="R15" s="1559" t="s">
        <v>8</v>
      </c>
      <c r="S15" s="1560">
        <f t="shared" si="0"/>
        <v>100</v>
      </c>
      <c r="T15" s="1559" t="s">
        <v>8</v>
      </c>
      <c r="U15" s="1560">
        <f t="shared" si="1"/>
        <v>100</v>
      </c>
      <c r="V15" s="1559" t="s">
        <v>8</v>
      </c>
      <c r="W15" s="1560">
        <f t="shared" si="2"/>
        <v>100</v>
      </c>
      <c r="X15" s="1553"/>
      <c r="Y15" s="3383"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4"/>
      <c r="Q16" s="1558"/>
      <c r="R16" s="1559"/>
      <c r="S16" s="1560"/>
      <c r="T16" s="1559"/>
      <c r="U16" s="1560"/>
      <c r="V16" s="1559"/>
      <c r="W16" s="1560"/>
      <c r="X16" s="1553"/>
      <c r="Y16" s="3384"/>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4"/>
      <c r="Q18" s="1558"/>
      <c r="R18" s="1559"/>
      <c r="S18" s="1560"/>
      <c r="T18" s="1559"/>
      <c r="U18" s="1560"/>
      <c r="V18" s="1559"/>
      <c r="W18" s="1560"/>
      <c r="X18" s="1553"/>
      <c r="Y18" s="3384"/>
      <c r="Z18" s="1561"/>
      <c r="AA18" s="1562">
        <v>1</v>
      </c>
      <c r="AB18" s="1562">
        <v>1</v>
      </c>
      <c r="AC18" s="1562">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4"/>
      <c r="Q20" s="1558"/>
      <c r="R20" s="1559"/>
      <c r="S20" s="1560"/>
      <c r="T20" s="1559"/>
      <c r="U20" s="1560"/>
      <c r="V20" s="1559"/>
      <c r="W20" s="1560"/>
      <c r="X20" s="1553"/>
      <c r="Y20" s="3384"/>
      <c r="Z20" s="1561"/>
      <c r="AA20" s="1562">
        <v>1</v>
      </c>
      <c r="AB20" s="1562">
        <v>1</v>
      </c>
      <c r="AC20" s="1562">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4"/>
      <c r="Q21" s="2543" t="str">
        <f>B21</f>
        <v>基础设施水平</v>
      </c>
      <c r="R21" s="1559" t="s">
        <v>8</v>
      </c>
      <c r="S21" s="1560">
        <f>F21</f>
        <v>100</v>
      </c>
      <c r="T21" s="1559" t="s">
        <v>8</v>
      </c>
      <c r="U21" s="1560">
        <f>H21</f>
        <v>100</v>
      </c>
      <c r="V21" s="1559" t="s">
        <v>8</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4"/>
      <c r="Q22" s="2543"/>
      <c r="R22" s="1559"/>
      <c r="S22" s="1560"/>
      <c r="T22" s="1559"/>
      <c r="U22" s="1560"/>
      <c r="V22" s="1559"/>
      <c r="W22" s="1560"/>
      <c r="X22" s="2545"/>
      <c r="Y22" s="3384"/>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4"/>
      <c r="Q23" s="1558" t="str">
        <f>B23</f>
        <v>环境质量</v>
      </c>
      <c r="R23" s="1559" t="s">
        <v>8</v>
      </c>
      <c r="S23" s="1560">
        <f>F23</f>
        <v>100</v>
      </c>
      <c r="T23" s="1559" t="s">
        <v>8</v>
      </c>
      <c r="U23" s="1560">
        <f>H23</f>
        <v>100</v>
      </c>
      <c r="V23" s="1559" t="s">
        <v>8</v>
      </c>
      <c r="W23" s="1560">
        <f>J23</f>
        <v>100</v>
      </c>
      <c r="X23" s="1553"/>
      <c r="Y23" s="3384"/>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4"/>
      <c r="Q24" s="1558"/>
      <c r="R24" s="1559"/>
      <c r="S24" s="1560"/>
      <c r="T24" s="1559"/>
      <c r="U24" s="1560"/>
      <c r="V24" s="1559"/>
      <c r="W24" s="1560"/>
      <c r="X24" s="1553"/>
      <c r="Y24" s="3384"/>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4"/>
      <c r="Q25" s="1558" t="str">
        <f>B25</f>
        <v>毗邻道路的类型与等级</v>
      </c>
      <c r="R25" s="1559" t="s">
        <v>8</v>
      </c>
      <c r="S25" s="1560">
        <f>F25</f>
        <v>100</v>
      </c>
      <c r="T25" s="1559" t="s">
        <v>8</v>
      </c>
      <c r="U25" s="1560">
        <f>H25</f>
        <v>100</v>
      </c>
      <c r="V25" s="1559" t="s">
        <v>8</v>
      </c>
      <c r="W25" s="1560">
        <f>J25</f>
        <v>100</v>
      </c>
      <c r="X25" s="1553"/>
      <c r="Y25" s="3384"/>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4"/>
      <c r="Q26" s="1558"/>
      <c r="R26" s="1559"/>
      <c r="S26" s="1560"/>
      <c r="T26" s="1559"/>
      <c r="U26" s="1560"/>
      <c r="V26" s="1559"/>
      <c r="W26" s="1560"/>
      <c r="X26" s="1553"/>
      <c r="Y26" s="3384"/>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4"/>
      <c r="Q27" s="1558" t="str">
        <f t="shared" ref="Q27:Q47" si="11">B27</f>
        <v>楼层</v>
      </c>
      <c r="R27" s="1559" t="s">
        <v>8</v>
      </c>
      <c r="S27" s="1560">
        <f>F27</f>
        <v>100</v>
      </c>
      <c r="T27" s="1559" t="s">
        <v>8</v>
      </c>
      <c r="U27" s="1560">
        <f>H27</f>
        <v>100</v>
      </c>
      <c r="V27" s="1559" t="s">
        <v>8</v>
      </c>
      <c r="W27" s="1560">
        <f>J27</f>
        <v>100</v>
      </c>
      <c r="X27" s="1553"/>
      <c r="Y27" s="3384"/>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4"/>
      <c r="Q28" s="1147" t="str">
        <f t="shared" si="11"/>
        <v>朝向</v>
      </c>
      <c r="R28" s="1554" t="s">
        <v>8</v>
      </c>
      <c r="S28" s="1555">
        <f>F28</f>
        <v>100</v>
      </c>
      <c r="T28" s="1554" t="s">
        <v>8</v>
      </c>
      <c r="U28" s="1555">
        <f>H28</f>
        <v>100</v>
      </c>
      <c r="V28" s="1554" t="s">
        <v>8</v>
      </c>
      <c r="W28" s="1555">
        <f>J28</f>
        <v>100</v>
      </c>
      <c r="X28" s="1556"/>
      <c r="Y28" s="3384"/>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4"/>
      <c r="Q29" s="1558">
        <f t="shared" si="11"/>
        <v>111</v>
      </c>
      <c r="R29" s="1559" t="s">
        <v>8</v>
      </c>
      <c r="S29" s="1560">
        <f t="shared" ref="S29:S47" si="12">F29</f>
        <v>100</v>
      </c>
      <c r="T29" s="1559" t="s">
        <v>8</v>
      </c>
      <c r="U29" s="1560">
        <f t="shared" ref="U29:U47" si="13">H29</f>
        <v>100</v>
      </c>
      <c r="V29" s="1559" t="s">
        <v>8</v>
      </c>
      <c r="W29" s="1560">
        <f t="shared" ref="W29:W47" si="14">J29</f>
        <v>100</v>
      </c>
      <c r="X29" s="1553"/>
      <c r="Y29" s="3384"/>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4"/>
      <c r="Q30" s="1558">
        <f t="shared" si="11"/>
        <v>111</v>
      </c>
      <c r="R30" s="1559" t="s">
        <v>8</v>
      </c>
      <c r="S30" s="1560">
        <f t="shared" si="12"/>
        <v>100</v>
      </c>
      <c r="T30" s="1559" t="s">
        <v>8</v>
      </c>
      <c r="U30" s="1560">
        <f t="shared" si="13"/>
        <v>100</v>
      </c>
      <c r="V30" s="1559" t="s">
        <v>8</v>
      </c>
      <c r="W30" s="1560">
        <f t="shared" si="14"/>
        <v>100</v>
      </c>
      <c r="X30" s="1553"/>
      <c r="Y30" s="3384"/>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4"/>
      <c r="Q31" s="1558">
        <f t="shared" si="11"/>
        <v>111</v>
      </c>
      <c r="R31" s="1559" t="s">
        <v>8</v>
      </c>
      <c r="S31" s="1560">
        <f t="shared" si="12"/>
        <v>100</v>
      </c>
      <c r="T31" s="1559" t="s">
        <v>8</v>
      </c>
      <c r="U31" s="1560">
        <f t="shared" si="13"/>
        <v>100</v>
      </c>
      <c r="V31" s="1559" t="s">
        <v>8</v>
      </c>
      <c r="W31" s="1560">
        <f t="shared" si="14"/>
        <v>100</v>
      </c>
      <c r="X31" s="1553"/>
      <c r="Y31" s="3384"/>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4"/>
      <c r="Q32" s="1558">
        <f t="shared" si="11"/>
        <v>111</v>
      </c>
      <c r="R32" s="1559" t="s">
        <v>8</v>
      </c>
      <c r="S32" s="1560">
        <f t="shared" si="12"/>
        <v>100</v>
      </c>
      <c r="T32" s="1559" t="s">
        <v>8</v>
      </c>
      <c r="U32" s="1560">
        <f t="shared" si="13"/>
        <v>100</v>
      </c>
      <c r="V32" s="1559" t="s">
        <v>8</v>
      </c>
      <c r="W32" s="1560">
        <f t="shared" si="14"/>
        <v>100</v>
      </c>
      <c r="X32" s="1553"/>
      <c r="Y32" s="3384"/>
      <c r="Z32" s="1561">
        <f t="shared" si="15"/>
        <v>111</v>
      </c>
      <c r="AA32" s="1562">
        <f t="shared" si="3"/>
        <v>1</v>
      </c>
      <c r="AB32" s="1562">
        <f t="shared" si="4"/>
        <v>1</v>
      </c>
      <c r="AC32" s="1562">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5" t="s">
        <v>550</v>
      </c>
      <c r="Q33" s="1558" t="str">
        <f t="shared" si="11"/>
        <v>建筑类型</v>
      </c>
      <c r="R33" s="1559" t="s">
        <v>8</v>
      </c>
      <c r="S33" s="1560">
        <f t="shared" si="12"/>
        <v>100</v>
      </c>
      <c r="T33" s="1559" t="s">
        <v>8</v>
      </c>
      <c r="U33" s="1560">
        <f t="shared" si="13"/>
        <v>100</v>
      </c>
      <c r="V33" s="1559" t="s">
        <v>8</v>
      </c>
      <c r="W33" s="1560">
        <f t="shared" si="14"/>
        <v>100</v>
      </c>
      <c r="X33" s="1553"/>
      <c r="Y33" s="3386"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6"/>
      <c r="Q34" s="1590" t="str">
        <f t="shared" si="11"/>
        <v>项目建筑规模</v>
      </c>
      <c r="R34" s="1563" t="s">
        <v>8</v>
      </c>
      <c r="S34" s="1564" t="e">
        <f t="shared" si="12"/>
        <v>#N/A</v>
      </c>
      <c r="T34" s="1563" t="s">
        <v>8</v>
      </c>
      <c r="U34" s="1564" t="e">
        <f t="shared" si="13"/>
        <v>#N/A</v>
      </c>
      <c r="V34" s="1563" t="s">
        <v>8</v>
      </c>
      <c r="W34" s="1564" t="e">
        <f t="shared" si="14"/>
        <v>#N/A</v>
      </c>
      <c r="X34" s="1565"/>
      <c r="Y34" s="3386"/>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6"/>
      <c r="Q35" s="1558" t="str">
        <f t="shared" si="11"/>
        <v>建筑结构</v>
      </c>
      <c r="R35" s="1559" t="s">
        <v>8</v>
      </c>
      <c r="S35" s="1560">
        <f t="shared" si="12"/>
        <v>100</v>
      </c>
      <c r="T35" s="1559" t="s">
        <v>8</v>
      </c>
      <c r="U35" s="1560">
        <f t="shared" si="13"/>
        <v>100</v>
      </c>
      <c r="V35" s="1559" t="s">
        <v>8</v>
      </c>
      <c r="W35" s="1560">
        <f t="shared" si="14"/>
        <v>100</v>
      </c>
      <c r="X35" s="1553"/>
      <c r="Y35" s="3386"/>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6"/>
      <c r="Q36" s="1558" t="str">
        <f t="shared" si="11"/>
        <v>公共部分装修</v>
      </c>
      <c r="R36" s="1559" t="s">
        <v>8</v>
      </c>
      <c r="S36" s="1560">
        <f t="shared" si="12"/>
        <v>100</v>
      </c>
      <c r="T36" s="1559" t="s">
        <v>8</v>
      </c>
      <c r="U36" s="1560">
        <f t="shared" si="13"/>
        <v>100</v>
      </c>
      <c r="V36" s="1559" t="s">
        <v>8</v>
      </c>
      <c r="W36" s="1560">
        <f t="shared" si="14"/>
        <v>100</v>
      </c>
      <c r="X36" s="1553"/>
      <c r="Y36" s="3386"/>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6"/>
      <c r="Q37" s="1558" t="str">
        <f t="shared" si="11"/>
        <v>成新度</v>
      </c>
      <c r="R37" s="1559" t="s">
        <v>8</v>
      </c>
      <c r="S37" s="1560" t="e">
        <f t="shared" si="12"/>
        <v>#N/A</v>
      </c>
      <c r="T37" s="1559" t="s">
        <v>8</v>
      </c>
      <c r="U37" s="1560" t="e">
        <f t="shared" si="13"/>
        <v>#N/A</v>
      </c>
      <c r="V37" s="1559" t="s">
        <v>8</v>
      </c>
      <c r="W37" s="1560" t="e">
        <f t="shared" si="14"/>
        <v>#N/A</v>
      </c>
      <c r="X37" s="1553"/>
      <c r="Y37" s="3386"/>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6"/>
      <c r="Q38" s="1147" t="str">
        <f t="shared" si="11"/>
        <v>写字楼等级</v>
      </c>
      <c r="R38" s="1554" t="s">
        <v>8</v>
      </c>
      <c r="S38" s="1555">
        <f t="shared" si="12"/>
        <v>100</v>
      </c>
      <c r="T38" s="1554" t="s">
        <v>8</v>
      </c>
      <c r="U38" s="1555">
        <f t="shared" si="13"/>
        <v>100</v>
      </c>
      <c r="V38" s="1554" t="s">
        <v>8</v>
      </c>
      <c r="W38" s="1555">
        <f t="shared" si="14"/>
        <v>100</v>
      </c>
      <c r="X38" s="1556"/>
      <c r="Y38" s="3386"/>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6" t="s">
        <v>550</v>
      </c>
      <c r="Q39" s="1558" t="str">
        <f t="shared" si="11"/>
        <v>物业管理</v>
      </c>
      <c r="R39" s="1559" t="s">
        <v>8</v>
      </c>
      <c r="S39" s="1560">
        <f t="shared" si="12"/>
        <v>100</v>
      </c>
      <c r="T39" s="1559" t="s">
        <v>8</v>
      </c>
      <c r="U39" s="1560">
        <f t="shared" si="13"/>
        <v>100</v>
      </c>
      <c r="V39" s="1559" t="s">
        <v>8</v>
      </c>
      <c r="W39" s="1560">
        <f t="shared" si="14"/>
        <v>100</v>
      </c>
      <c r="X39" s="1553"/>
      <c r="Y39" s="3386"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6"/>
      <c r="Q40" s="1558" t="str">
        <f t="shared" si="11"/>
        <v>市政基础设施</v>
      </c>
      <c r="R40" s="1559" t="s">
        <v>8</v>
      </c>
      <c r="S40" s="1560">
        <f t="shared" si="12"/>
        <v>100</v>
      </c>
      <c r="T40" s="1559" t="s">
        <v>8</v>
      </c>
      <c r="U40" s="1560">
        <f t="shared" si="13"/>
        <v>100</v>
      </c>
      <c r="V40" s="1559" t="s">
        <v>8</v>
      </c>
      <c r="W40" s="1560">
        <f t="shared" si="14"/>
        <v>100</v>
      </c>
      <c r="X40" s="1553"/>
      <c r="Y40" s="3386"/>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6"/>
      <c r="Q41" s="1558" t="str">
        <f t="shared" si="11"/>
        <v>层高</v>
      </c>
      <c r="R41" s="1559" t="s">
        <v>8</v>
      </c>
      <c r="S41" s="1560">
        <f t="shared" si="12"/>
        <v>100</v>
      </c>
      <c r="T41" s="1559" t="s">
        <v>8</v>
      </c>
      <c r="U41" s="1560">
        <f t="shared" si="13"/>
        <v>100</v>
      </c>
      <c r="V41" s="1559" t="s">
        <v>8</v>
      </c>
      <c r="W41" s="1560">
        <f t="shared" si="14"/>
        <v>100</v>
      </c>
      <c r="X41" s="1553"/>
      <c r="Y41" s="3386"/>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6"/>
      <c r="Q42" s="1590" t="str">
        <f t="shared" si="11"/>
        <v>单套建筑面积</v>
      </c>
      <c r="R42" s="1563" t="s">
        <v>8</v>
      </c>
      <c r="S42" s="1564">
        <f t="shared" si="12"/>
        <v>100</v>
      </c>
      <c r="T42" s="1563" t="s">
        <v>8</v>
      </c>
      <c r="U42" s="1564">
        <f t="shared" si="13"/>
        <v>100</v>
      </c>
      <c r="V42" s="1563" t="s">
        <v>8</v>
      </c>
      <c r="W42" s="1564">
        <f t="shared" si="14"/>
        <v>100</v>
      </c>
      <c r="X42" s="1565"/>
      <c r="Y42" s="3386"/>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6"/>
      <c r="Q43" s="1558" t="str">
        <f t="shared" si="11"/>
        <v>内部装修</v>
      </c>
      <c r="R43" s="1559" t="s">
        <v>8</v>
      </c>
      <c r="S43" s="1560">
        <f t="shared" si="12"/>
        <v>100</v>
      </c>
      <c r="T43" s="1559" t="s">
        <v>8</v>
      </c>
      <c r="U43" s="1560">
        <f t="shared" si="13"/>
        <v>100</v>
      </c>
      <c r="V43" s="1559" t="s">
        <v>8</v>
      </c>
      <c r="W43" s="1560">
        <f t="shared" si="14"/>
        <v>100</v>
      </c>
      <c r="X43" s="1553"/>
      <c r="Y43" s="3386"/>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6"/>
      <c r="Q44" s="1558" t="str">
        <f t="shared" si="11"/>
        <v>内部装修维护情况</v>
      </c>
      <c r="R44" s="1559" t="s">
        <v>8</v>
      </c>
      <c r="S44" s="1560">
        <f t="shared" si="12"/>
        <v>100</v>
      </c>
      <c r="T44" s="1559" t="s">
        <v>8</v>
      </c>
      <c r="U44" s="1560">
        <f t="shared" si="13"/>
        <v>100</v>
      </c>
      <c r="V44" s="1559" t="s">
        <v>8</v>
      </c>
      <c r="W44" s="1560">
        <f t="shared" si="14"/>
        <v>100</v>
      </c>
      <c r="X44" s="1553"/>
      <c r="Y44" s="3386"/>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6"/>
      <c r="Q45" s="1147">
        <f t="shared" si="11"/>
        <v>111</v>
      </c>
      <c r="R45" s="1554" t="s">
        <v>8</v>
      </c>
      <c r="S45" s="1555">
        <f t="shared" si="12"/>
        <v>100</v>
      </c>
      <c r="T45" s="1554" t="s">
        <v>8</v>
      </c>
      <c r="U45" s="1555">
        <f t="shared" si="13"/>
        <v>100</v>
      </c>
      <c r="V45" s="1554" t="s">
        <v>8</v>
      </c>
      <c r="W45" s="1555">
        <f t="shared" si="14"/>
        <v>100</v>
      </c>
      <c r="X45" s="1556"/>
      <c r="Y45" s="3386"/>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6"/>
      <c r="Q46" s="1558">
        <f t="shared" si="11"/>
        <v>111</v>
      </c>
      <c r="R46" s="1559" t="s">
        <v>8</v>
      </c>
      <c r="S46" s="1560">
        <f t="shared" si="12"/>
        <v>100</v>
      </c>
      <c r="T46" s="1559" t="s">
        <v>8</v>
      </c>
      <c r="U46" s="1560">
        <f t="shared" si="13"/>
        <v>100</v>
      </c>
      <c r="V46" s="1559" t="s">
        <v>8</v>
      </c>
      <c r="W46" s="1560">
        <f t="shared" si="14"/>
        <v>100</v>
      </c>
      <c r="X46" s="1553"/>
      <c r="Y46" s="3386"/>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6"/>
      <c r="Q47" s="1558">
        <f t="shared" si="11"/>
        <v>111</v>
      </c>
      <c r="R47" s="1559" t="s">
        <v>8</v>
      </c>
      <c r="S47" s="1560">
        <f t="shared" si="12"/>
        <v>100</v>
      </c>
      <c r="T47" s="1559" t="s">
        <v>8</v>
      </c>
      <c r="U47" s="1560">
        <f t="shared" si="13"/>
        <v>100</v>
      </c>
      <c r="V47" s="1559" t="s">
        <v>8</v>
      </c>
      <c r="W47" s="1560">
        <f t="shared" si="14"/>
        <v>100</v>
      </c>
      <c r="X47" s="1553"/>
      <c r="Y47" s="3486"/>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3" t="str">
        <f>A48</f>
        <v>成交单价（元/平方米）</v>
      </c>
      <c r="Q48" s="3381"/>
      <c r="R48" s="3485">
        <f>E48</f>
        <v>0</v>
      </c>
      <c r="S48" s="3485"/>
      <c r="T48" s="3485">
        <f>G48</f>
        <v>0</v>
      </c>
      <c r="U48" s="3485"/>
      <c r="V48" s="3485">
        <f>I48</f>
        <v>0</v>
      </c>
      <c r="W48" s="3485"/>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403" t="str">
        <f>A49</f>
        <v>比较价格（元/平方米）</v>
      </c>
      <c r="Q49" s="3381"/>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490" t="str">
        <f>A50</f>
        <v>估价对象XX用房的比较价格（楼面单价，元/平方米）</v>
      </c>
      <c r="Q50" s="3403"/>
      <c r="R50" s="3484" t="e">
        <f>IF(F1="售价",ROUND(AVERAGE(R49:V49),0),ROUND(AVERAGE(R49:V49),1))</f>
        <v>#DIV/0!</v>
      </c>
      <c r="S50" s="3484"/>
      <c r="T50" s="3484"/>
      <c r="U50" s="3484"/>
      <c r="V50" s="3484"/>
      <c r="W50" s="348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36332.1平方米。根据《建设工程规划许可证》[]、《出让合同》[]，估价对象规划建筑面积为111854.36平方米。</v>
      </c>
    </row>
    <row r="7" spans="1:4" ht="93.75">
      <c r="A7" s="2828"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2020年3月19日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根据《国有土地使用证》[]，估价对象（分摊）出让国有建设用地使用权面积为36332.1平方米。根据《建设工程规划许可证》[]、《出让合同》[]，估价对象规划建筑面积为111854.36平方米。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2746</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7" t="s">
        <v>522</v>
      </c>
      <c r="D4" s="3388"/>
      <c r="E4" s="3411" t="s">
        <v>523</v>
      </c>
      <c r="F4" s="3412"/>
      <c r="G4" s="3387" t="s">
        <v>524</v>
      </c>
      <c r="H4" s="3388"/>
      <c r="I4" s="3387" t="s">
        <v>525</v>
      </c>
      <c r="J4" s="3388"/>
      <c r="K4" s="514" t="s">
        <v>526</v>
      </c>
      <c r="L4" s="2118"/>
      <c r="M4" s="2119"/>
      <c r="N4" s="2119"/>
      <c r="O4" s="2119"/>
      <c r="P4" s="3389" t="s">
        <v>527</v>
      </c>
      <c r="Q4" s="3390"/>
      <c r="R4" s="3375" t="s">
        <v>523</v>
      </c>
      <c r="S4" s="3376"/>
      <c r="T4" s="3375" t="s">
        <v>524</v>
      </c>
      <c r="U4" s="3376"/>
      <c r="V4" s="3395" t="s">
        <v>525</v>
      </c>
      <c r="W4" s="3395"/>
      <c r="X4" s="1553"/>
      <c r="Y4" s="3375" t="s">
        <v>527</v>
      </c>
      <c r="Z4" s="3376"/>
      <c r="AA4" s="3370" t="s">
        <v>523</v>
      </c>
      <c r="AB4" s="3371" t="s">
        <v>524</v>
      </c>
      <c r="AC4" s="3370" t="s">
        <v>525</v>
      </c>
    </row>
    <row r="5" spans="1:29" ht="15">
      <c r="A5" s="515"/>
      <c r="B5" s="516"/>
      <c r="C5" s="3398" t="s">
        <v>2928</v>
      </c>
      <c r="D5" s="3399"/>
      <c r="E5" s="3413" t="s">
        <v>2929</v>
      </c>
      <c r="F5" s="3414"/>
      <c r="G5" s="3398" t="s">
        <v>2930</v>
      </c>
      <c r="H5" s="3399"/>
      <c r="I5" s="3398" t="s">
        <v>2931</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2932</v>
      </c>
      <c r="D6" s="3397"/>
      <c r="E6" s="3415" t="s">
        <v>2932</v>
      </c>
      <c r="F6" s="3416"/>
      <c r="G6" s="3396" t="s">
        <v>2932</v>
      </c>
      <c r="H6" s="3397"/>
      <c r="I6" s="3396" t="s">
        <v>2932</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43909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3" t="s">
        <v>530</v>
      </c>
      <c r="Q7" s="3382"/>
      <c r="R7" s="1554" t="s">
        <v>8</v>
      </c>
      <c r="S7" s="1555">
        <f t="shared" ref="S7:S15" si="0">F7</f>
        <v>0</v>
      </c>
      <c r="T7" s="1554" t="s">
        <v>8</v>
      </c>
      <c r="U7" s="1555">
        <f t="shared" ref="U7:U15" si="1">H7</f>
        <v>0</v>
      </c>
      <c r="V7" s="1554" t="s">
        <v>8</v>
      </c>
      <c r="W7" s="1555">
        <f t="shared" ref="W7:W15"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1" t="s">
        <v>535</v>
      </c>
      <c r="Q9" s="1147" t="str">
        <f t="shared" ref="Q9:Q15" si="6">B9</f>
        <v>用途</v>
      </c>
      <c r="R9" s="1554" t="s">
        <v>8</v>
      </c>
      <c r="S9" s="1555">
        <f t="shared" si="0"/>
        <v>100</v>
      </c>
      <c r="T9" s="1554" t="s">
        <v>8</v>
      </c>
      <c r="U9" s="1555">
        <f t="shared" si="1"/>
        <v>100</v>
      </c>
      <c r="V9" s="1554" t="s">
        <v>8</v>
      </c>
      <c r="W9" s="1555">
        <f t="shared" si="2"/>
        <v>100</v>
      </c>
      <c r="X9" s="1556"/>
      <c r="Y9" s="3338"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1"/>
      <c r="Q11" s="1147" t="str">
        <f t="shared" si="6"/>
        <v>容积率</v>
      </c>
      <c r="R11" s="1554" t="s">
        <v>8</v>
      </c>
      <c r="S11" s="1555" t="e">
        <f t="shared" si="0"/>
        <v>#N/A</v>
      </c>
      <c r="T11" s="1554" t="s">
        <v>8</v>
      </c>
      <c r="U11" s="1555" t="e">
        <f t="shared" si="1"/>
        <v>#N/A</v>
      </c>
      <c r="V11" s="1554" t="s">
        <v>8</v>
      </c>
      <c r="W11" s="1555" t="e">
        <f t="shared" si="2"/>
        <v>#N/A</v>
      </c>
      <c r="X11" s="1556"/>
      <c r="Y11" s="3338"/>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1"/>
      <c r="Q14" s="1147">
        <f t="shared" si="6"/>
        <v>111</v>
      </c>
      <c r="R14" s="1554" t="s">
        <v>8</v>
      </c>
      <c r="S14" s="1555">
        <f t="shared" si="0"/>
        <v>100</v>
      </c>
      <c r="T14" s="1554" t="s">
        <v>8</v>
      </c>
      <c r="U14" s="1555">
        <f t="shared" si="1"/>
        <v>100</v>
      </c>
      <c r="V14" s="1554" t="s">
        <v>8</v>
      </c>
      <c r="W14" s="1555">
        <f t="shared" si="2"/>
        <v>100</v>
      </c>
      <c r="X14" s="1556"/>
      <c r="Y14" s="3338"/>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3" t="s">
        <v>540</v>
      </c>
      <c r="Q15" s="1558" t="str">
        <f t="shared" si="6"/>
        <v>产业集聚程度</v>
      </c>
      <c r="R15" s="1559" t="s">
        <v>8</v>
      </c>
      <c r="S15" s="1560">
        <f t="shared" si="0"/>
        <v>100</v>
      </c>
      <c r="T15" s="1559" t="s">
        <v>8</v>
      </c>
      <c r="U15" s="1560">
        <f t="shared" si="1"/>
        <v>100</v>
      </c>
      <c r="V15" s="1559" t="s">
        <v>8</v>
      </c>
      <c r="W15" s="1560">
        <f t="shared" si="2"/>
        <v>100</v>
      </c>
      <c r="X15" s="1553"/>
      <c r="Y15" s="3383"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4"/>
      <c r="Q16" s="1558"/>
      <c r="R16" s="1559"/>
      <c r="S16" s="1560"/>
      <c r="T16" s="1559"/>
      <c r="U16" s="1560"/>
      <c r="V16" s="1559"/>
      <c r="W16" s="1560"/>
      <c r="X16" s="1553"/>
      <c r="Y16" s="3384"/>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4"/>
      <c r="Q17" s="1558" t="str">
        <f>B17</f>
        <v>交通便捷度</v>
      </c>
      <c r="R17" s="1559" t="s">
        <v>8</v>
      </c>
      <c r="S17" s="1560">
        <f>F17</f>
        <v>100</v>
      </c>
      <c r="T17" s="1559" t="s">
        <v>8</v>
      </c>
      <c r="U17" s="1560">
        <f>H17</f>
        <v>100</v>
      </c>
      <c r="V17" s="1559" t="s">
        <v>8</v>
      </c>
      <c r="W17" s="1560">
        <f>J17</f>
        <v>100</v>
      </c>
      <c r="X17" s="1553"/>
      <c r="Y17" s="3384"/>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4"/>
      <c r="Q18" s="1558"/>
      <c r="R18" s="1559"/>
      <c r="S18" s="1560"/>
      <c r="T18" s="1559"/>
      <c r="U18" s="1560"/>
      <c r="V18" s="1559"/>
      <c r="W18" s="1560"/>
      <c r="X18" s="1553"/>
      <c r="Y18" s="3384"/>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4"/>
      <c r="Q19" s="1558" t="str">
        <f>B19</f>
        <v>公共配套设施</v>
      </c>
      <c r="R19" s="1559" t="s">
        <v>8</v>
      </c>
      <c r="S19" s="1560">
        <f>F19</f>
        <v>100</v>
      </c>
      <c r="T19" s="1559" t="s">
        <v>8</v>
      </c>
      <c r="U19" s="1560">
        <f>H19</f>
        <v>100</v>
      </c>
      <c r="V19" s="1559" t="s">
        <v>8</v>
      </c>
      <c r="W19" s="1560">
        <f>J19</f>
        <v>100</v>
      </c>
      <c r="X19" s="1553"/>
      <c r="Y19" s="3384"/>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4"/>
      <c r="Q20" s="1558"/>
      <c r="R20" s="1559"/>
      <c r="S20" s="1560"/>
      <c r="T20" s="1559"/>
      <c r="U20" s="1560"/>
      <c r="V20" s="1559"/>
      <c r="W20" s="1560"/>
      <c r="X20" s="1553"/>
      <c r="Y20" s="3384"/>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4"/>
      <c r="Q21" s="2543" t="str">
        <f>B21</f>
        <v>基础设施水平</v>
      </c>
      <c r="R21" s="1559" t="s">
        <v>8</v>
      </c>
      <c r="S21" s="1560">
        <f>F21</f>
        <v>100</v>
      </c>
      <c r="T21" s="1559" t="s">
        <v>8</v>
      </c>
      <c r="U21" s="1560">
        <f>H21</f>
        <v>100</v>
      </c>
      <c r="V21" s="1559" t="s">
        <v>8</v>
      </c>
      <c r="W21" s="1560">
        <f>J21</f>
        <v>100</v>
      </c>
      <c r="X21" s="2545"/>
      <c r="Y21" s="3384"/>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4"/>
      <c r="Q22" s="2543"/>
      <c r="R22" s="1559"/>
      <c r="S22" s="1560"/>
      <c r="T22" s="1559"/>
      <c r="U22" s="1560"/>
      <c r="V22" s="1559"/>
      <c r="W22" s="1560"/>
      <c r="X22" s="2545"/>
      <c r="Y22" s="3384"/>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4"/>
      <c r="Q23" s="1558" t="str">
        <f>B23</f>
        <v>环境质量</v>
      </c>
      <c r="R23" s="1559" t="s">
        <v>8</v>
      </c>
      <c r="S23" s="1560">
        <f>F23</f>
        <v>100</v>
      </c>
      <c r="T23" s="1559" t="s">
        <v>8</v>
      </c>
      <c r="U23" s="1560">
        <f>H23</f>
        <v>100</v>
      </c>
      <c r="V23" s="1559" t="s">
        <v>8</v>
      </c>
      <c r="W23" s="1560">
        <f>J23</f>
        <v>100</v>
      </c>
      <c r="X23" s="1553"/>
      <c r="Y23" s="3384"/>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4"/>
      <c r="Q24" s="1558"/>
      <c r="R24" s="1559"/>
      <c r="S24" s="1560"/>
      <c r="T24" s="1559"/>
      <c r="U24" s="1560"/>
      <c r="V24" s="1559"/>
      <c r="W24" s="1560"/>
      <c r="X24" s="1553"/>
      <c r="Y24" s="3384"/>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4"/>
      <c r="Q25" s="1558">
        <f>B25</f>
        <v>111</v>
      </c>
      <c r="R25" s="1559" t="s">
        <v>8</v>
      </c>
      <c r="S25" s="1560">
        <f>F25</f>
        <v>100</v>
      </c>
      <c r="T25" s="1559" t="s">
        <v>8</v>
      </c>
      <c r="U25" s="1560">
        <f>H25</f>
        <v>100</v>
      </c>
      <c r="V25" s="1559" t="s">
        <v>8</v>
      </c>
      <c r="W25" s="1560">
        <f>J25</f>
        <v>100</v>
      </c>
      <c r="X25" s="1553"/>
      <c r="Y25" s="3384"/>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4"/>
      <c r="Q26" s="1558">
        <f t="shared" ref="Q26:Q40" si="11">B26</f>
        <v>111</v>
      </c>
      <c r="R26" s="1559" t="s">
        <v>8</v>
      </c>
      <c r="S26" s="1560">
        <f>F26</f>
        <v>100</v>
      </c>
      <c r="T26" s="1559" t="s">
        <v>8</v>
      </c>
      <c r="U26" s="1560">
        <f>H26</f>
        <v>100</v>
      </c>
      <c r="V26" s="1559" t="s">
        <v>8</v>
      </c>
      <c r="W26" s="1560">
        <f>J26</f>
        <v>100</v>
      </c>
      <c r="X26" s="1553"/>
      <c r="Y26" s="3384"/>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4"/>
      <c r="Q27" s="1147">
        <f t="shared" si="11"/>
        <v>111</v>
      </c>
      <c r="R27" s="1554" t="s">
        <v>8</v>
      </c>
      <c r="S27" s="1555">
        <f>F27</f>
        <v>100</v>
      </c>
      <c r="T27" s="1554" t="s">
        <v>8</v>
      </c>
      <c r="U27" s="1555">
        <f>H27</f>
        <v>100</v>
      </c>
      <c r="V27" s="1554" t="s">
        <v>8</v>
      </c>
      <c r="W27" s="1555">
        <f>J27</f>
        <v>100</v>
      </c>
      <c r="X27" s="1556"/>
      <c r="Y27" s="3384"/>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4"/>
      <c r="Q28" s="1558">
        <f t="shared" si="11"/>
        <v>111</v>
      </c>
      <c r="R28" s="1559" t="s">
        <v>8</v>
      </c>
      <c r="S28" s="1560">
        <f t="shared" ref="S28:S40" si="12">F28</f>
        <v>100</v>
      </c>
      <c r="T28" s="1559" t="s">
        <v>8</v>
      </c>
      <c r="U28" s="1560">
        <f t="shared" ref="U28:U40" si="13">H28</f>
        <v>100</v>
      </c>
      <c r="V28" s="1559" t="s">
        <v>8</v>
      </c>
      <c r="W28" s="1560">
        <f t="shared" ref="W28:W40" si="14">J28</f>
        <v>100</v>
      </c>
      <c r="X28" s="1553"/>
      <c r="Y28" s="3384"/>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5" t="s">
        <v>550</v>
      </c>
      <c r="Q29" s="1558" t="str">
        <f t="shared" si="11"/>
        <v>建筑类型</v>
      </c>
      <c r="R29" s="1559" t="s">
        <v>8</v>
      </c>
      <c r="S29" s="1560">
        <f t="shared" si="12"/>
        <v>100</v>
      </c>
      <c r="T29" s="1559" t="s">
        <v>8</v>
      </c>
      <c r="U29" s="1560">
        <f t="shared" si="13"/>
        <v>100</v>
      </c>
      <c r="V29" s="1559" t="s">
        <v>8</v>
      </c>
      <c r="W29" s="1560">
        <f t="shared" si="14"/>
        <v>100</v>
      </c>
      <c r="X29" s="1553"/>
      <c r="Y29" s="3386"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6"/>
      <c r="Q30" s="1590" t="str">
        <f t="shared" si="11"/>
        <v>项目建筑规模</v>
      </c>
      <c r="R30" s="1563" t="s">
        <v>8</v>
      </c>
      <c r="S30" s="1564" t="e">
        <f t="shared" si="12"/>
        <v>#N/A</v>
      </c>
      <c r="T30" s="1563" t="s">
        <v>8</v>
      </c>
      <c r="U30" s="1564" t="e">
        <f t="shared" si="13"/>
        <v>#N/A</v>
      </c>
      <c r="V30" s="1563" t="s">
        <v>8</v>
      </c>
      <c r="W30" s="1564" t="e">
        <f t="shared" si="14"/>
        <v>#N/A</v>
      </c>
      <c r="X30" s="1565"/>
      <c r="Y30" s="3386"/>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6"/>
      <c r="Q31" s="1558" t="str">
        <f t="shared" si="11"/>
        <v>建筑结构</v>
      </c>
      <c r="R31" s="1559" t="s">
        <v>8</v>
      </c>
      <c r="S31" s="1560">
        <f t="shared" si="12"/>
        <v>100</v>
      </c>
      <c r="T31" s="1559" t="s">
        <v>8</v>
      </c>
      <c r="U31" s="1560">
        <f t="shared" si="13"/>
        <v>100</v>
      </c>
      <c r="V31" s="1559" t="s">
        <v>8</v>
      </c>
      <c r="W31" s="1560">
        <f t="shared" si="14"/>
        <v>100</v>
      </c>
      <c r="X31" s="1553"/>
      <c r="Y31" s="3386"/>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6"/>
      <c r="Q32" s="1558" t="str">
        <f t="shared" si="11"/>
        <v>公共部分装修</v>
      </c>
      <c r="R32" s="1559" t="s">
        <v>8</v>
      </c>
      <c r="S32" s="1560">
        <f t="shared" si="12"/>
        <v>100</v>
      </c>
      <c r="T32" s="1559" t="s">
        <v>8</v>
      </c>
      <c r="U32" s="1560">
        <f t="shared" si="13"/>
        <v>100</v>
      </c>
      <c r="V32" s="1559" t="s">
        <v>8</v>
      </c>
      <c r="W32" s="1560">
        <f t="shared" si="14"/>
        <v>100</v>
      </c>
      <c r="X32" s="1553"/>
      <c r="Y32" s="3386"/>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6"/>
      <c r="Q33" s="1558" t="str">
        <f t="shared" si="11"/>
        <v>成新度</v>
      </c>
      <c r="R33" s="1559" t="s">
        <v>8</v>
      </c>
      <c r="S33" s="1560" t="e">
        <f t="shared" si="12"/>
        <v>#N/A</v>
      </c>
      <c r="T33" s="1559" t="s">
        <v>8</v>
      </c>
      <c r="U33" s="1560" t="e">
        <f t="shared" si="13"/>
        <v>#N/A</v>
      </c>
      <c r="V33" s="1559" t="s">
        <v>8</v>
      </c>
      <c r="W33" s="1560" t="e">
        <f t="shared" si="14"/>
        <v>#N/A</v>
      </c>
      <c r="X33" s="1553"/>
      <c r="Y33" s="3386"/>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6"/>
      <c r="Q34" s="1147" t="str">
        <f t="shared" si="11"/>
        <v>物业管理</v>
      </c>
      <c r="R34" s="1554" t="s">
        <v>8</v>
      </c>
      <c r="S34" s="1555">
        <f t="shared" si="12"/>
        <v>100</v>
      </c>
      <c r="T34" s="1554" t="s">
        <v>8</v>
      </c>
      <c r="U34" s="1555">
        <f t="shared" si="13"/>
        <v>100</v>
      </c>
      <c r="V34" s="1554" t="s">
        <v>8</v>
      </c>
      <c r="W34" s="1555">
        <f t="shared" si="14"/>
        <v>100</v>
      </c>
      <c r="X34" s="1556"/>
      <c r="Y34" s="3386"/>
      <c r="Z34" s="1146"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6" t="s">
        <v>550</v>
      </c>
      <c r="Q35" s="1558" t="str">
        <f t="shared" si="11"/>
        <v>市政基础设施</v>
      </c>
      <c r="R35" s="1559" t="s">
        <v>8</v>
      </c>
      <c r="S35" s="1560">
        <f t="shared" si="12"/>
        <v>100</v>
      </c>
      <c r="T35" s="1559" t="s">
        <v>8</v>
      </c>
      <c r="U35" s="1560">
        <f t="shared" si="13"/>
        <v>100</v>
      </c>
      <c r="V35" s="1559" t="s">
        <v>8</v>
      </c>
      <c r="W35" s="1560">
        <f t="shared" si="14"/>
        <v>100</v>
      </c>
      <c r="X35" s="1553"/>
      <c r="Y35" s="3386"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6"/>
      <c r="Q36" s="1558" t="str">
        <f t="shared" si="11"/>
        <v>内部装修</v>
      </c>
      <c r="R36" s="1559" t="s">
        <v>8</v>
      </c>
      <c r="S36" s="1560">
        <f t="shared" si="12"/>
        <v>100</v>
      </c>
      <c r="T36" s="1559" t="s">
        <v>8</v>
      </c>
      <c r="U36" s="1560">
        <f t="shared" si="13"/>
        <v>100</v>
      </c>
      <c r="V36" s="1559" t="s">
        <v>8</v>
      </c>
      <c r="W36" s="1560">
        <f t="shared" si="14"/>
        <v>100</v>
      </c>
      <c r="X36" s="1553"/>
      <c r="Y36" s="3386"/>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6"/>
      <c r="Q37" s="1558" t="str">
        <f t="shared" si="11"/>
        <v>内部装修状况</v>
      </c>
      <c r="R37" s="1559" t="s">
        <v>8</v>
      </c>
      <c r="S37" s="1560">
        <f t="shared" si="12"/>
        <v>100</v>
      </c>
      <c r="T37" s="1559" t="s">
        <v>8</v>
      </c>
      <c r="U37" s="1560">
        <f t="shared" si="13"/>
        <v>100</v>
      </c>
      <c r="V37" s="1559" t="s">
        <v>8</v>
      </c>
      <c r="W37" s="1560">
        <f t="shared" si="14"/>
        <v>100</v>
      </c>
      <c r="X37" s="1553"/>
      <c r="Y37" s="3386"/>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6"/>
      <c r="Q38" s="1590">
        <f t="shared" si="11"/>
        <v>111</v>
      </c>
      <c r="R38" s="1563" t="s">
        <v>8</v>
      </c>
      <c r="S38" s="1564">
        <f t="shared" si="12"/>
        <v>100</v>
      </c>
      <c r="T38" s="1563" t="s">
        <v>8</v>
      </c>
      <c r="U38" s="1564">
        <f t="shared" si="13"/>
        <v>100</v>
      </c>
      <c r="V38" s="1563" t="s">
        <v>8</v>
      </c>
      <c r="W38" s="1564">
        <f t="shared" si="14"/>
        <v>100</v>
      </c>
      <c r="X38" s="1565"/>
      <c r="Y38" s="3386"/>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6"/>
      <c r="Q39" s="1558">
        <f t="shared" si="11"/>
        <v>111</v>
      </c>
      <c r="R39" s="1559" t="s">
        <v>8</v>
      </c>
      <c r="S39" s="1560">
        <f t="shared" si="12"/>
        <v>100</v>
      </c>
      <c r="T39" s="1559" t="s">
        <v>8</v>
      </c>
      <c r="U39" s="1560">
        <f t="shared" si="13"/>
        <v>100</v>
      </c>
      <c r="V39" s="1559" t="s">
        <v>8</v>
      </c>
      <c r="W39" s="1560">
        <f t="shared" si="14"/>
        <v>100</v>
      </c>
      <c r="X39" s="1553"/>
      <c r="Y39" s="3386"/>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6"/>
      <c r="Q40" s="1558">
        <f t="shared" si="11"/>
        <v>111</v>
      </c>
      <c r="R40" s="1559" t="s">
        <v>8</v>
      </c>
      <c r="S40" s="1560">
        <f t="shared" si="12"/>
        <v>100</v>
      </c>
      <c r="T40" s="1559" t="s">
        <v>8</v>
      </c>
      <c r="U40" s="1560">
        <f t="shared" si="13"/>
        <v>100</v>
      </c>
      <c r="V40" s="1559" t="s">
        <v>8</v>
      </c>
      <c r="W40" s="1560">
        <f t="shared" si="14"/>
        <v>100</v>
      </c>
      <c r="X40" s="1553"/>
      <c r="Y40" s="3486"/>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1" t="str">
        <f>A41</f>
        <v>成交单价（元/平方米）</v>
      </c>
      <c r="Q41" s="3381"/>
      <c r="R41" s="3485">
        <f>E41</f>
        <v>0</v>
      </c>
      <c r="S41" s="3485"/>
      <c r="T41" s="3485">
        <f>G41</f>
        <v>0</v>
      </c>
      <c r="U41" s="3485"/>
      <c r="V41" s="3485">
        <f>I41</f>
        <v>0</v>
      </c>
      <c r="W41" s="3485"/>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81" t="str">
        <f>A42</f>
        <v>比较价格（元/平方米）</v>
      </c>
      <c r="Q42" s="3381"/>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402" t="str">
        <f>A43</f>
        <v>估价对象XX用房的比较价格（楼面单价，元/平方米）</v>
      </c>
      <c r="Q43" s="3403"/>
      <c r="R43" s="3484" t="e">
        <f>IF(F1="售价",ROUND(AVERAGE(R42:V42),0),ROUND(AVERAGE(R42:V42),1))</f>
        <v>#DIV/0!</v>
      </c>
      <c r="S43" s="3484"/>
      <c r="T43" s="3484"/>
      <c r="U43" s="3484"/>
      <c r="V43" s="3484"/>
      <c r="W43" s="348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7" t="s">
        <v>798</v>
      </c>
      <c r="D4" s="3388"/>
      <c r="E4" s="3387" t="s">
        <v>799</v>
      </c>
      <c r="F4" s="3388"/>
      <c r="G4" s="3387" t="s">
        <v>800</v>
      </c>
      <c r="H4" s="3388"/>
      <c r="I4" s="3387" t="s">
        <v>801</v>
      </c>
      <c r="J4" s="3388"/>
      <c r="K4" s="514" t="s">
        <v>802</v>
      </c>
      <c r="L4" s="2118"/>
      <c r="M4" s="2119"/>
      <c r="N4" s="2119"/>
      <c r="O4" s="2119"/>
      <c r="P4" s="3389" t="s">
        <v>803</v>
      </c>
      <c r="Q4" s="3390"/>
      <c r="R4" s="3375" t="s">
        <v>799</v>
      </c>
      <c r="S4" s="3376"/>
      <c r="T4" s="3375" t="s">
        <v>800</v>
      </c>
      <c r="U4" s="3376"/>
      <c r="V4" s="3395" t="s">
        <v>801</v>
      </c>
      <c r="W4" s="3395"/>
      <c r="X4" s="1553"/>
      <c r="Y4" s="3375" t="s">
        <v>803</v>
      </c>
      <c r="Z4" s="3376"/>
      <c r="AA4" s="3370" t="s">
        <v>799</v>
      </c>
      <c r="AB4" s="3371" t="s">
        <v>800</v>
      </c>
      <c r="AC4" s="3370" t="s">
        <v>801</v>
      </c>
    </row>
    <row r="5" spans="1:29" ht="15">
      <c r="A5" s="515"/>
      <c r="B5" s="516"/>
      <c r="C5" s="3398" t="s">
        <v>2928</v>
      </c>
      <c r="D5" s="3399"/>
      <c r="E5" s="3398" t="s">
        <v>2929</v>
      </c>
      <c r="F5" s="3399"/>
      <c r="G5" s="3398" t="s">
        <v>2930</v>
      </c>
      <c r="H5" s="3399"/>
      <c r="I5" s="3398" t="s">
        <v>2931</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2932</v>
      </c>
      <c r="D6" s="3397"/>
      <c r="E6" s="3400" t="s">
        <v>2932</v>
      </c>
      <c r="F6" s="3401"/>
      <c r="G6" s="3396" t="s">
        <v>2932</v>
      </c>
      <c r="H6" s="3397"/>
      <c r="I6" s="3396" t="s">
        <v>2932</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43909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3" t="s">
        <v>530</v>
      </c>
      <c r="Q7" s="3382"/>
      <c r="R7" s="1554" t="s">
        <v>8</v>
      </c>
      <c r="S7" s="1555">
        <f t="shared" ref="S7:S14" si="0">F7</f>
        <v>0</v>
      </c>
      <c r="T7" s="1554" t="s">
        <v>8</v>
      </c>
      <c r="U7" s="1555">
        <f t="shared" ref="U7:U14" si="1">H7</f>
        <v>0</v>
      </c>
      <c r="V7" s="1554" t="s">
        <v>8</v>
      </c>
      <c r="W7" s="1555">
        <f t="shared" ref="W7:W14"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1" t="s">
        <v>535</v>
      </c>
      <c r="Q9" s="1147" t="str">
        <f t="shared" ref="Q9:Q14" si="6">B9</f>
        <v>用途</v>
      </c>
      <c r="R9" s="1554" t="s">
        <v>8</v>
      </c>
      <c r="S9" s="1555">
        <f t="shared" si="0"/>
        <v>100</v>
      </c>
      <c r="T9" s="1554" t="s">
        <v>8</v>
      </c>
      <c r="U9" s="1555">
        <f t="shared" si="1"/>
        <v>100</v>
      </c>
      <c r="V9" s="1554" t="s">
        <v>8</v>
      </c>
      <c r="W9" s="1555">
        <f t="shared" si="2"/>
        <v>100</v>
      </c>
      <c r="X9" s="1556"/>
      <c r="Y9" s="3338"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1"/>
      <c r="Q11" s="1147">
        <f t="shared" si="6"/>
        <v>111</v>
      </c>
      <c r="R11" s="1554" t="s">
        <v>8</v>
      </c>
      <c r="S11" s="1555">
        <f t="shared" si="0"/>
        <v>100</v>
      </c>
      <c r="T11" s="1554" t="s">
        <v>8</v>
      </c>
      <c r="U11" s="1555">
        <f t="shared" si="1"/>
        <v>100</v>
      </c>
      <c r="V11" s="1554" t="s">
        <v>8</v>
      </c>
      <c r="W11" s="1555">
        <f t="shared" si="2"/>
        <v>100</v>
      </c>
      <c r="X11" s="1556"/>
      <c r="Y11" s="3338"/>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85.5">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3" t="s">
        <v>540</v>
      </c>
      <c r="Q14" s="1558" t="str">
        <f t="shared" si="6"/>
        <v>交通便捷度</v>
      </c>
      <c r="R14" s="1559" t="s">
        <v>8</v>
      </c>
      <c r="S14" s="1560">
        <f t="shared" si="0"/>
        <v>100</v>
      </c>
      <c r="T14" s="1559" t="s">
        <v>8</v>
      </c>
      <c r="U14" s="1560">
        <f t="shared" si="1"/>
        <v>100</v>
      </c>
      <c r="V14" s="1559" t="s">
        <v>8</v>
      </c>
      <c r="W14" s="1560">
        <f t="shared" si="2"/>
        <v>100</v>
      </c>
      <c r="X14" s="1553"/>
      <c r="Y14" s="3383"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4"/>
      <c r="Q15" s="1558"/>
      <c r="R15" s="1559"/>
      <c r="S15" s="1560"/>
      <c r="T15" s="1559"/>
      <c r="U15" s="1560"/>
      <c r="V15" s="1559"/>
      <c r="W15" s="1560"/>
      <c r="X15" s="1553"/>
      <c r="Y15" s="3384"/>
      <c r="Z15" s="1561"/>
      <c r="AA15" s="1562">
        <v>1</v>
      </c>
      <c r="AB15" s="1562">
        <v>1</v>
      </c>
      <c r="AC15" s="1562">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4"/>
      <c r="Q16" s="1558" t="str">
        <f>B16</f>
        <v>公共配套设施</v>
      </c>
      <c r="R16" s="1559" t="s">
        <v>8</v>
      </c>
      <c r="S16" s="1560">
        <f>F16</f>
        <v>100</v>
      </c>
      <c r="T16" s="1559" t="s">
        <v>8</v>
      </c>
      <c r="U16" s="1560">
        <f>H16</f>
        <v>100</v>
      </c>
      <c r="V16" s="1559" t="s">
        <v>8</v>
      </c>
      <c r="W16" s="1560">
        <f>J16</f>
        <v>100</v>
      </c>
      <c r="X16" s="1553"/>
      <c r="Y16" s="3384"/>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4"/>
      <c r="Q17" s="1558"/>
      <c r="R17" s="1559"/>
      <c r="S17" s="1560"/>
      <c r="T17" s="1559"/>
      <c r="U17" s="1560"/>
      <c r="V17" s="1559"/>
      <c r="W17" s="1560"/>
      <c r="X17" s="1553"/>
      <c r="Y17" s="3384"/>
      <c r="Z17" s="1561"/>
      <c r="AA17" s="1562">
        <v>1</v>
      </c>
      <c r="AB17" s="1562">
        <v>1</v>
      </c>
      <c r="AC17" s="1562">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4"/>
      <c r="Q18" s="2543" t="str">
        <f>B18</f>
        <v>基础设施水平</v>
      </c>
      <c r="R18" s="1559" t="s">
        <v>8</v>
      </c>
      <c r="S18" s="1560">
        <f>F18</f>
        <v>100</v>
      </c>
      <c r="T18" s="1559" t="s">
        <v>8</v>
      </c>
      <c r="U18" s="1560">
        <f>H18</f>
        <v>100</v>
      </c>
      <c r="V18" s="1559" t="s">
        <v>8</v>
      </c>
      <c r="W18" s="1560">
        <f>J18</f>
        <v>100</v>
      </c>
      <c r="X18" s="2545"/>
      <c r="Y18" s="3384"/>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4"/>
      <c r="Q19" s="2543"/>
      <c r="R19" s="1559"/>
      <c r="S19" s="1560"/>
      <c r="T19" s="1559"/>
      <c r="U19" s="1560"/>
      <c r="V19" s="1559"/>
      <c r="W19" s="1560"/>
      <c r="X19" s="2545"/>
      <c r="Y19" s="3384"/>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4"/>
      <c r="Q20" s="1558" t="str">
        <f>B20</f>
        <v>自然及人文环境</v>
      </c>
      <c r="R20" s="1559" t="s">
        <v>8</v>
      </c>
      <c r="S20" s="1560">
        <f>F20</f>
        <v>100</v>
      </c>
      <c r="T20" s="1559" t="s">
        <v>8</v>
      </c>
      <c r="U20" s="1560">
        <f>H20</f>
        <v>100</v>
      </c>
      <c r="V20" s="1559" t="s">
        <v>8</v>
      </c>
      <c r="W20" s="1560">
        <f>J20</f>
        <v>100</v>
      </c>
      <c r="X20" s="1553"/>
      <c r="Y20" s="3384"/>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4"/>
      <c r="Q21" s="1558"/>
      <c r="R21" s="1559"/>
      <c r="S21" s="1560"/>
      <c r="T21" s="1559"/>
      <c r="U21" s="1560"/>
      <c r="V21" s="1559"/>
      <c r="W21" s="1560"/>
      <c r="X21" s="1553"/>
      <c r="Y21" s="3384"/>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4"/>
      <c r="Q22" s="1558" t="str">
        <f>B22</f>
        <v>楼层</v>
      </c>
      <c r="R22" s="1559" t="s">
        <v>8</v>
      </c>
      <c r="S22" s="1560">
        <f>F22</f>
        <v>100</v>
      </c>
      <c r="T22" s="1559" t="s">
        <v>8</v>
      </c>
      <c r="U22" s="1560">
        <f>H22</f>
        <v>100</v>
      </c>
      <c r="V22" s="1559" t="s">
        <v>8</v>
      </c>
      <c r="W22" s="1560">
        <f>J22</f>
        <v>100</v>
      </c>
      <c r="X22" s="1553"/>
      <c r="Y22" s="3384"/>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4"/>
      <c r="Q23" s="1558">
        <f>B23</f>
        <v>111</v>
      </c>
      <c r="R23" s="1559" t="s">
        <v>8</v>
      </c>
      <c r="S23" s="1560">
        <f>F23</f>
        <v>100</v>
      </c>
      <c r="T23" s="1559" t="s">
        <v>8</v>
      </c>
      <c r="U23" s="1560">
        <f>H23</f>
        <v>100</v>
      </c>
      <c r="V23" s="1559" t="s">
        <v>8</v>
      </c>
      <c r="W23" s="1560">
        <f>J23</f>
        <v>100</v>
      </c>
      <c r="X23" s="1553"/>
      <c r="Y23" s="3384"/>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4"/>
      <c r="Q24" s="1558">
        <f t="shared" ref="Q24:Q36" si="11">B24</f>
        <v>111</v>
      </c>
      <c r="R24" s="1559" t="s">
        <v>8</v>
      </c>
      <c r="S24" s="1560">
        <f>F24</f>
        <v>100</v>
      </c>
      <c r="T24" s="1559" t="s">
        <v>8</v>
      </c>
      <c r="U24" s="1560">
        <f>H24</f>
        <v>100</v>
      </c>
      <c r="V24" s="1559" t="s">
        <v>8</v>
      </c>
      <c r="W24" s="1560">
        <f>J24</f>
        <v>100</v>
      </c>
      <c r="X24" s="1553"/>
      <c r="Y24" s="3384"/>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4"/>
      <c r="Q25" s="1147">
        <f t="shared" si="11"/>
        <v>111</v>
      </c>
      <c r="R25" s="1554" t="s">
        <v>8</v>
      </c>
      <c r="S25" s="1555">
        <f>F25</f>
        <v>100</v>
      </c>
      <c r="T25" s="1554" t="s">
        <v>8</v>
      </c>
      <c r="U25" s="1555">
        <f>H25</f>
        <v>100</v>
      </c>
      <c r="V25" s="1554" t="s">
        <v>8</v>
      </c>
      <c r="W25" s="1555">
        <f>J25</f>
        <v>100</v>
      </c>
      <c r="X25" s="1556"/>
      <c r="Y25" s="3384"/>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5"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6"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6"/>
      <c r="Q27" s="1590" t="str">
        <f t="shared" si="11"/>
        <v>项目停车位配比</v>
      </c>
      <c r="R27" s="1563" t="s">
        <v>8</v>
      </c>
      <c r="S27" s="1564">
        <f t="shared" si="12"/>
        <v>100</v>
      </c>
      <c r="T27" s="1563" t="s">
        <v>8</v>
      </c>
      <c r="U27" s="1564">
        <f t="shared" si="13"/>
        <v>100</v>
      </c>
      <c r="V27" s="1563" t="s">
        <v>8</v>
      </c>
      <c r="W27" s="1564">
        <f t="shared" si="14"/>
        <v>100</v>
      </c>
      <c r="X27" s="1565"/>
      <c r="Y27" s="3386"/>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6"/>
      <c r="Q28" s="1558" t="str">
        <f t="shared" si="11"/>
        <v>公共部分装修</v>
      </c>
      <c r="R28" s="1559" t="s">
        <v>8</v>
      </c>
      <c r="S28" s="1560">
        <f t="shared" si="12"/>
        <v>100</v>
      </c>
      <c r="T28" s="1559" t="s">
        <v>8</v>
      </c>
      <c r="U28" s="1560">
        <f t="shared" si="13"/>
        <v>100</v>
      </c>
      <c r="V28" s="1559" t="s">
        <v>8</v>
      </c>
      <c r="W28" s="1560">
        <f t="shared" si="14"/>
        <v>100</v>
      </c>
      <c r="X28" s="1553"/>
      <c r="Y28" s="3386"/>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6"/>
      <c r="Q29" s="1558" t="str">
        <f t="shared" si="11"/>
        <v>成新率</v>
      </c>
      <c r="R29" s="1559" t="s">
        <v>8</v>
      </c>
      <c r="S29" s="1560" t="e">
        <f t="shared" si="12"/>
        <v>#N/A</v>
      </c>
      <c r="T29" s="1559" t="s">
        <v>8</v>
      </c>
      <c r="U29" s="1560" t="e">
        <f t="shared" si="13"/>
        <v>#N/A</v>
      </c>
      <c r="V29" s="1559" t="s">
        <v>8</v>
      </c>
      <c r="W29" s="1560" t="e">
        <f t="shared" si="14"/>
        <v>#N/A</v>
      </c>
      <c r="X29" s="1553"/>
      <c r="Y29" s="3386"/>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6"/>
      <c r="Q30" s="1558" t="str">
        <f t="shared" si="11"/>
        <v>物业等级</v>
      </c>
      <c r="R30" s="1559" t="s">
        <v>8</v>
      </c>
      <c r="S30" s="1560">
        <f t="shared" si="12"/>
        <v>100</v>
      </c>
      <c r="T30" s="1559" t="s">
        <v>8</v>
      </c>
      <c r="U30" s="1560">
        <f t="shared" si="13"/>
        <v>100</v>
      </c>
      <c r="V30" s="1559" t="s">
        <v>8</v>
      </c>
      <c r="W30" s="1560">
        <f t="shared" si="14"/>
        <v>100</v>
      </c>
      <c r="X30" s="1553"/>
      <c r="Y30" s="3386"/>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6"/>
      <c r="Q31" s="1147" t="str">
        <f t="shared" si="11"/>
        <v>停车位面积</v>
      </c>
      <c r="R31" s="1554" t="s">
        <v>8</v>
      </c>
      <c r="S31" s="1555" t="e">
        <f t="shared" si="12"/>
        <v>#N/A</v>
      </c>
      <c r="T31" s="1554" t="s">
        <v>8</v>
      </c>
      <c r="U31" s="1555" t="e">
        <f t="shared" si="13"/>
        <v>#N/A</v>
      </c>
      <c r="V31" s="1554" t="s">
        <v>8</v>
      </c>
      <c r="W31" s="1555" t="e">
        <f t="shared" si="14"/>
        <v>#N/A</v>
      </c>
      <c r="X31" s="1556"/>
      <c r="Y31" s="3386"/>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6" t="s">
        <v>550</v>
      </c>
      <c r="Q32" s="1558" t="str">
        <f t="shared" si="11"/>
        <v>车位类型</v>
      </c>
      <c r="R32" s="1559" t="s">
        <v>8</v>
      </c>
      <c r="S32" s="1560">
        <f t="shared" si="12"/>
        <v>100</v>
      </c>
      <c r="T32" s="1559" t="s">
        <v>8</v>
      </c>
      <c r="U32" s="1560">
        <f t="shared" si="13"/>
        <v>100</v>
      </c>
      <c r="V32" s="1559" t="s">
        <v>8</v>
      </c>
      <c r="W32" s="1560">
        <f t="shared" si="14"/>
        <v>100</v>
      </c>
      <c r="X32" s="1553"/>
      <c r="Y32" s="3386"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6"/>
      <c r="Q33" s="1558" t="str">
        <f t="shared" si="11"/>
        <v>是否直接入户</v>
      </c>
      <c r="R33" s="1559" t="s">
        <v>8</v>
      </c>
      <c r="S33" s="1560">
        <f t="shared" si="12"/>
        <v>100</v>
      </c>
      <c r="T33" s="1559" t="s">
        <v>8</v>
      </c>
      <c r="U33" s="1560">
        <f t="shared" si="13"/>
        <v>100</v>
      </c>
      <c r="V33" s="1559" t="s">
        <v>8</v>
      </c>
      <c r="W33" s="1560">
        <f t="shared" si="14"/>
        <v>100</v>
      </c>
      <c r="X33" s="1553"/>
      <c r="Y33" s="3386"/>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6"/>
      <c r="Q34" s="1558">
        <f t="shared" si="11"/>
        <v>111</v>
      </c>
      <c r="R34" s="1559" t="s">
        <v>8</v>
      </c>
      <c r="S34" s="1560">
        <f t="shared" si="12"/>
        <v>100</v>
      </c>
      <c r="T34" s="1559" t="s">
        <v>8</v>
      </c>
      <c r="U34" s="1560">
        <f t="shared" si="13"/>
        <v>100</v>
      </c>
      <c r="V34" s="1559" t="s">
        <v>8</v>
      </c>
      <c r="W34" s="1560">
        <f t="shared" si="14"/>
        <v>100</v>
      </c>
      <c r="X34" s="1553"/>
      <c r="Y34" s="3386"/>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6"/>
      <c r="Q35" s="1590">
        <f t="shared" si="11"/>
        <v>111</v>
      </c>
      <c r="R35" s="1563" t="s">
        <v>8</v>
      </c>
      <c r="S35" s="1564">
        <f t="shared" si="12"/>
        <v>100</v>
      </c>
      <c r="T35" s="1563" t="s">
        <v>8</v>
      </c>
      <c r="U35" s="1564">
        <f t="shared" si="13"/>
        <v>100</v>
      </c>
      <c r="V35" s="1563" t="s">
        <v>8</v>
      </c>
      <c r="W35" s="1564">
        <f t="shared" si="14"/>
        <v>100</v>
      </c>
      <c r="X35" s="1565"/>
      <c r="Y35" s="3386"/>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6"/>
      <c r="Q36" s="1558">
        <f t="shared" si="11"/>
        <v>111</v>
      </c>
      <c r="R36" s="1559" t="s">
        <v>8</v>
      </c>
      <c r="S36" s="1560">
        <f t="shared" si="12"/>
        <v>100</v>
      </c>
      <c r="T36" s="1559" t="s">
        <v>8</v>
      </c>
      <c r="U36" s="1560">
        <f t="shared" si="13"/>
        <v>100</v>
      </c>
      <c r="V36" s="1559" t="s">
        <v>8</v>
      </c>
      <c r="W36" s="1560">
        <f t="shared" si="14"/>
        <v>100</v>
      </c>
      <c r="X36" s="1553"/>
      <c r="Y36" s="3386"/>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81" t="str">
        <f>A37</f>
        <v>成交单价</v>
      </c>
      <c r="Q37" s="3381"/>
      <c r="R37" s="3485">
        <f>E37</f>
        <v>0</v>
      </c>
      <c r="S37" s="3485"/>
      <c r="T37" s="3485">
        <f>G37</f>
        <v>0</v>
      </c>
      <c r="U37" s="3485"/>
      <c r="V37" s="3485">
        <f>I37</f>
        <v>0</v>
      </c>
      <c r="W37" s="3485"/>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81" t="str">
        <f>A38</f>
        <v>比较价格（元/平方米）</v>
      </c>
      <c r="Q38" s="3381"/>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3402" t="str">
        <f>A39</f>
        <v>估价对象XX用房的比较价格（楼面单价，元/平方米）</v>
      </c>
      <c r="Q39" s="3403"/>
      <c r="R39" s="3484" t="e">
        <f>IF(F1="售价",ROUND(AVERAGE(R38:V38),0),ROUND(AVERAGE(R38:V38),1))</f>
        <v>#DIV/0!</v>
      </c>
      <c r="S39" s="3484"/>
      <c r="T39" s="3484"/>
      <c r="U39" s="3484"/>
      <c r="V39" s="3484"/>
      <c r="W39" s="348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7" t="s">
        <v>798</v>
      </c>
      <c r="D4" s="3388"/>
      <c r="E4" s="3411" t="s">
        <v>799</v>
      </c>
      <c r="F4" s="3412"/>
      <c r="G4" s="3387" t="s">
        <v>800</v>
      </c>
      <c r="H4" s="3388"/>
      <c r="I4" s="3387" t="s">
        <v>801</v>
      </c>
      <c r="J4" s="3388"/>
      <c r="K4" s="514" t="s">
        <v>802</v>
      </c>
      <c r="L4" s="2118"/>
      <c r="M4" s="2119"/>
      <c r="N4" s="2119"/>
      <c r="O4" s="2119"/>
      <c r="P4" s="3389" t="s">
        <v>803</v>
      </c>
      <c r="Q4" s="3390"/>
      <c r="R4" s="3375" t="s">
        <v>799</v>
      </c>
      <c r="S4" s="3376"/>
      <c r="T4" s="3375" t="s">
        <v>800</v>
      </c>
      <c r="U4" s="3376"/>
      <c r="V4" s="3395" t="s">
        <v>801</v>
      </c>
      <c r="W4" s="3395"/>
      <c r="X4" s="1553"/>
      <c r="Y4" s="3375" t="s">
        <v>803</v>
      </c>
      <c r="Z4" s="3376"/>
      <c r="AA4" s="3370" t="s">
        <v>799</v>
      </c>
      <c r="AB4" s="3371" t="s">
        <v>800</v>
      </c>
      <c r="AC4" s="3370" t="s">
        <v>801</v>
      </c>
    </row>
    <row r="5" spans="1:29" ht="15">
      <c r="A5" s="515"/>
      <c r="B5" s="516"/>
      <c r="C5" s="3398" t="s">
        <v>2928</v>
      </c>
      <c r="D5" s="3399"/>
      <c r="E5" s="3413" t="s">
        <v>2929</v>
      </c>
      <c r="F5" s="3414"/>
      <c r="G5" s="3398" t="s">
        <v>2930</v>
      </c>
      <c r="H5" s="3399"/>
      <c r="I5" s="3398" t="s">
        <v>2931</v>
      </c>
      <c r="J5" s="3399"/>
      <c r="K5" s="514"/>
      <c r="L5" s="2118"/>
      <c r="M5" s="2119"/>
      <c r="N5" s="2119"/>
      <c r="O5" s="2119"/>
      <c r="P5" s="3391"/>
      <c r="Q5" s="3392"/>
      <c r="R5" s="3377"/>
      <c r="S5" s="3378"/>
      <c r="T5" s="3377"/>
      <c r="U5" s="3378"/>
      <c r="V5" s="3395"/>
      <c r="W5" s="3395"/>
      <c r="X5" s="1553"/>
      <c r="Y5" s="3377"/>
      <c r="Z5" s="3378"/>
      <c r="AA5" s="3371"/>
      <c r="AB5" s="3371"/>
      <c r="AC5" s="3371"/>
    </row>
    <row r="6" spans="1:29" ht="15.75" thickBot="1">
      <c r="A6" s="517"/>
      <c r="B6" s="518"/>
      <c r="C6" s="3396" t="s">
        <v>2932</v>
      </c>
      <c r="D6" s="3397"/>
      <c r="E6" s="3415" t="s">
        <v>2932</v>
      </c>
      <c r="F6" s="3416"/>
      <c r="G6" s="3396" t="s">
        <v>2932</v>
      </c>
      <c r="H6" s="3397"/>
      <c r="I6" s="3396" t="s">
        <v>2932</v>
      </c>
      <c r="J6" s="3397"/>
      <c r="K6" s="514" t="s">
        <v>528</v>
      </c>
      <c r="L6" s="2118"/>
      <c r="M6" s="2119"/>
      <c r="N6" s="2119"/>
      <c r="O6" s="2119"/>
      <c r="P6" s="3393"/>
      <c r="Q6" s="3394"/>
      <c r="R6" s="3377"/>
      <c r="S6" s="3378"/>
      <c r="T6" s="3379"/>
      <c r="U6" s="3380"/>
      <c r="V6" s="3395"/>
      <c r="W6" s="3395"/>
      <c r="X6" s="1553"/>
      <c r="Y6" s="3379"/>
      <c r="Z6" s="3380"/>
      <c r="AA6" s="3372"/>
      <c r="AB6" s="3372"/>
      <c r="AC6" s="3372"/>
    </row>
    <row r="7" spans="1:29" s="1216" customFormat="1" ht="15.75" thickBot="1">
      <c r="A7" s="2867"/>
      <c r="B7" s="2874" t="s">
        <v>529</v>
      </c>
      <c r="C7" s="519">
        <f>'数据-取费表'!B2</f>
        <v>43909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3" t="s">
        <v>530</v>
      </c>
      <c r="Q7" s="3382"/>
      <c r="R7" s="1554" t="s">
        <v>8</v>
      </c>
      <c r="S7" s="1555">
        <f t="shared" ref="S7:S14" si="0">F7</f>
        <v>0</v>
      </c>
      <c r="T7" s="1554" t="s">
        <v>8</v>
      </c>
      <c r="U7" s="1555">
        <f t="shared" ref="U7:U14" si="1">H7</f>
        <v>0</v>
      </c>
      <c r="V7" s="1554" t="s">
        <v>8</v>
      </c>
      <c r="W7" s="1555">
        <f t="shared" ref="W7:W14" si="2">J7</f>
        <v>0</v>
      </c>
      <c r="X7" s="1556"/>
      <c r="Y7" s="3373" t="s">
        <v>530</v>
      </c>
      <c r="Z7" s="3374"/>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3" t="s">
        <v>533</v>
      </c>
      <c r="Q8" s="3374"/>
      <c r="R8" s="1554" t="s">
        <v>8</v>
      </c>
      <c r="S8" s="1555">
        <f t="shared" si="0"/>
        <v>0</v>
      </c>
      <c r="T8" s="1554" t="s">
        <v>8</v>
      </c>
      <c r="U8" s="1555">
        <f t="shared" si="1"/>
        <v>0</v>
      </c>
      <c r="V8" s="1554" t="s">
        <v>8</v>
      </c>
      <c r="W8" s="1555">
        <f t="shared" si="2"/>
        <v>0</v>
      </c>
      <c r="X8" s="1556"/>
      <c r="Y8" s="3373" t="s">
        <v>533</v>
      </c>
      <c r="Z8" s="3374"/>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1" t="s">
        <v>535</v>
      </c>
      <c r="Q9" s="1147" t="str">
        <f t="shared" ref="Q9:Q14" si="6">B9</f>
        <v>用途</v>
      </c>
      <c r="R9" s="1554" t="s">
        <v>8</v>
      </c>
      <c r="S9" s="1555">
        <f t="shared" si="0"/>
        <v>100</v>
      </c>
      <c r="T9" s="1554" t="s">
        <v>8</v>
      </c>
      <c r="U9" s="1555">
        <f t="shared" si="1"/>
        <v>100</v>
      </c>
      <c r="V9" s="1554" t="s">
        <v>8</v>
      </c>
      <c r="W9" s="1555">
        <f t="shared" si="2"/>
        <v>100</v>
      </c>
      <c r="X9" s="1556"/>
      <c r="Y9" s="3338"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1"/>
      <c r="Q10" s="1147" t="str">
        <f t="shared" si="6"/>
        <v>土地使用年限（年）</v>
      </c>
      <c r="R10" s="1554" t="s">
        <v>8</v>
      </c>
      <c r="S10" s="1555">
        <f t="shared" si="0"/>
        <v>100</v>
      </c>
      <c r="T10" s="1554" t="s">
        <v>8</v>
      </c>
      <c r="U10" s="1555">
        <f t="shared" si="1"/>
        <v>100</v>
      </c>
      <c r="V10" s="1554" t="s">
        <v>8</v>
      </c>
      <c r="W10" s="1555">
        <f t="shared" si="2"/>
        <v>100</v>
      </c>
      <c r="X10" s="1556"/>
      <c r="Y10" s="3338"/>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1"/>
      <c r="Q11" s="1147">
        <f t="shared" si="6"/>
        <v>111</v>
      </c>
      <c r="R11" s="1554" t="s">
        <v>8</v>
      </c>
      <c r="S11" s="1555">
        <f t="shared" si="0"/>
        <v>100</v>
      </c>
      <c r="T11" s="1554" t="s">
        <v>8</v>
      </c>
      <c r="U11" s="1555">
        <f t="shared" si="1"/>
        <v>100</v>
      </c>
      <c r="V11" s="1554" t="s">
        <v>8</v>
      </c>
      <c r="W11" s="1555">
        <f t="shared" si="2"/>
        <v>100</v>
      </c>
      <c r="X11" s="1556"/>
      <c r="Y11" s="3338"/>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1"/>
      <c r="Q12" s="1147">
        <f t="shared" si="6"/>
        <v>111</v>
      </c>
      <c r="R12" s="1554" t="s">
        <v>8</v>
      </c>
      <c r="S12" s="1555">
        <f t="shared" si="0"/>
        <v>100</v>
      </c>
      <c r="T12" s="1554" t="s">
        <v>8</v>
      </c>
      <c r="U12" s="1555">
        <f t="shared" si="1"/>
        <v>100</v>
      </c>
      <c r="V12" s="1554" t="s">
        <v>8</v>
      </c>
      <c r="W12" s="1555">
        <f t="shared" si="2"/>
        <v>100</v>
      </c>
      <c r="X12" s="1556"/>
      <c r="Y12" s="3338"/>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1"/>
      <c r="Q13" s="1147">
        <f t="shared" si="6"/>
        <v>111</v>
      </c>
      <c r="R13" s="1554" t="s">
        <v>8</v>
      </c>
      <c r="S13" s="1555">
        <f t="shared" si="0"/>
        <v>100</v>
      </c>
      <c r="T13" s="1554" t="s">
        <v>8</v>
      </c>
      <c r="U13" s="1555">
        <f t="shared" si="1"/>
        <v>100</v>
      </c>
      <c r="V13" s="1554" t="s">
        <v>8</v>
      </c>
      <c r="W13" s="1555">
        <f t="shared" si="2"/>
        <v>100</v>
      </c>
      <c r="X13" s="1556"/>
      <c r="Y13" s="3338"/>
      <c r="Z13" s="1146">
        <f t="shared" si="7"/>
        <v>111</v>
      </c>
      <c r="AA13" s="1557">
        <f t="shared" si="3"/>
        <v>1</v>
      </c>
      <c r="AB13" s="1557">
        <f t="shared" si="4"/>
        <v>1</v>
      </c>
      <c r="AC13" s="1557">
        <f t="shared" si="5"/>
        <v>1</v>
      </c>
    </row>
    <row r="14" spans="1:29" ht="85.5">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3" t="s">
        <v>540</v>
      </c>
      <c r="Q14" s="1558" t="str">
        <f t="shared" si="6"/>
        <v>交通便捷度</v>
      </c>
      <c r="R14" s="1559" t="s">
        <v>8</v>
      </c>
      <c r="S14" s="1560">
        <f t="shared" si="0"/>
        <v>100</v>
      </c>
      <c r="T14" s="1559" t="s">
        <v>8</v>
      </c>
      <c r="U14" s="1560">
        <f t="shared" si="1"/>
        <v>100</v>
      </c>
      <c r="V14" s="1559" t="s">
        <v>8</v>
      </c>
      <c r="W14" s="1560">
        <f t="shared" si="2"/>
        <v>100</v>
      </c>
      <c r="X14" s="1553"/>
      <c r="Y14" s="3383"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4"/>
      <c r="Q15" s="1558"/>
      <c r="R15" s="1559"/>
      <c r="S15" s="1560"/>
      <c r="T15" s="1559"/>
      <c r="U15" s="1560"/>
      <c r="V15" s="1559"/>
      <c r="W15" s="1560"/>
      <c r="X15" s="1553"/>
      <c r="Y15" s="3384"/>
      <c r="Z15" s="1561"/>
      <c r="AA15" s="1562">
        <v>1</v>
      </c>
      <c r="AB15" s="1562">
        <v>1</v>
      </c>
      <c r="AC15" s="1562">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4"/>
      <c r="Q16" s="1558" t="str">
        <f>B16</f>
        <v>公共配套设施</v>
      </c>
      <c r="R16" s="1559" t="s">
        <v>8</v>
      </c>
      <c r="S16" s="1560">
        <f>F16</f>
        <v>100</v>
      </c>
      <c r="T16" s="1559" t="s">
        <v>8</v>
      </c>
      <c r="U16" s="1560">
        <f>H16</f>
        <v>100</v>
      </c>
      <c r="V16" s="1559" t="s">
        <v>8</v>
      </c>
      <c r="W16" s="1560">
        <f>J16</f>
        <v>100</v>
      </c>
      <c r="X16" s="1553"/>
      <c r="Y16" s="3384"/>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4"/>
      <c r="Q17" s="1558"/>
      <c r="R17" s="1559"/>
      <c r="S17" s="1560"/>
      <c r="T17" s="1559"/>
      <c r="U17" s="1560"/>
      <c r="V17" s="1559"/>
      <c r="W17" s="1560"/>
      <c r="X17" s="1553"/>
      <c r="Y17" s="3384"/>
      <c r="Z17" s="1561"/>
      <c r="AA17" s="1562">
        <v>1</v>
      </c>
      <c r="AB17" s="1562">
        <v>1</v>
      </c>
      <c r="AC17" s="1562">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4"/>
      <c r="Q18" s="2543" t="str">
        <f>B18</f>
        <v>基础设施水平</v>
      </c>
      <c r="R18" s="1559" t="s">
        <v>8</v>
      </c>
      <c r="S18" s="1560">
        <f>F18</f>
        <v>100</v>
      </c>
      <c r="T18" s="1559" t="s">
        <v>8</v>
      </c>
      <c r="U18" s="1560">
        <f>H18</f>
        <v>100</v>
      </c>
      <c r="V18" s="1559" t="s">
        <v>8</v>
      </c>
      <c r="W18" s="1560">
        <f>J18</f>
        <v>100</v>
      </c>
      <c r="X18" s="2545"/>
      <c r="Y18" s="3384"/>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4"/>
      <c r="Q19" s="2543"/>
      <c r="R19" s="1559"/>
      <c r="S19" s="1560"/>
      <c r="T19" s="1559"/>
      <c r="U19" s="1560"/>
      <c r="V19" s="1559"/>
      <c r="W19" s="1560"/>
      <c r="X19" s="2545"/>
      <c r="Y19" s="3384"/>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4"/>
      <c r="Q20" s="1558" t="str">
        <f>B20</f>
        <v>自然及人文环境</v>
      </c>
      <c r="R20" s="1559" t="s">
        <v>8</v>
      </c>
      <c r="S20" s="1560">
        <f>F20</f>
        <v>100</v>
      </c>
      <c r="T20" s="1559" t="s">
        <v>8</v>
      </c>
      <c r="U20" s="1560">
        <f>H20</f>
        <v>100</v>
      </c>
      <c r="V20" s="1559" t="s">
        <v>8</v>
      </c>
      <c r="W20" s="1560">
        <f>J20</f>
        <v>100</v>
      </c>
      <c r="X20" s="1553"/>
      <c r="Y20" s="3384"/>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4"/>
      <c r="Q21" s="1558"/>
      <c r="R21" s="1559"/>
      <c r="S21" s="1560"/>
      <c r="T21" s="1559"/>
      <c r="U21" s="1560"/>
      <c r="V21" s="1559"/>
      <c r="W21" s="1560"/>
      <c r="X21" s="1553"/>
      <c r="Y21" s="3384"/>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4"/>
      <c r="Q22" s="1558" t="str">
        <f>B22</f>
        <v>楼层</v>
      </c>
      <c r="R22" s="1559" t="s">
        <v>8</v>
      </c>
      <c r="S22" s="1560">
        <f>F22</f>
        <v>100</v>
      </c>
      <c r="T22" s="1559" t="s">
        <v>8</v>
      </c>
      <c r="U22" s="1560">
        <f>H22</f>
        <v>100</v>
      </c>
      <c r="V22" s="1559" t="s">
        <v>8</v>
      </c>
      <c r="W22" s="1560">
        <f>J22</f>
        <v>100</v>
      </c>
      <c r="X22" s="1553"/>
      <c r="Y22" s="3384"/>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4"/>
      <c r="Q23" s="1558">
        <f>B23</f>
        <v>111</v>
      </c>
      <c r="R23" s="1559" t="s">
        <v>8</v>
      </c>
      <c r="S23" s="1560">
        <f>F23</f>
        <v>100</v>
      </c>
      <c r="T23" s="1559" t="s">
        <v>8</v>
      </c>
      <c r="U23" s="1560">
        <f>H23</f>
        <v>100</v>
      </c>
      <c r="V23" s="1559" t="s">
        <v>8</v>
      </c>
      <c r="W23" s="1560">
        <f>J23</f>
        <v>100</v>
      </c>
      <c r="X23" s="1553"/>
      <c r="Y23" s="3384"/>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4"/>
      <c r="Q24" s="1558">
        <f t="shared" ref="Q24:Q34" si="11">B24</f>
        <v>111</v>
      </c>
      <c r="R24" s="1559" t="s">
        <v>8</v>
      </c>
      <c r="S24" s="1560">
        <f>F24</f>
        <v>100</v>
      </c>
      <c r="T24" s="1559" t="s">
        <v>8</v>
      </c>
      <c r="U24" s="1560">
        <f>H24</f>
        <v>100</v>
      </c>
      <c r="V24" s="1559" t="s">
        <v>8</v>
      </c>
      <c r="W24" s="1560">
        <f>J24</f>
        <v>100</v>
      </c>
      <c r="X24" s="1553"/>
      <c r="Y24" s="3384"/>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4"/>
      <c r="Q25" s="1147">
        <f t="shared" si="11"/>
        <v>111</v>
      </c>
      <c r="R25" s="1554" t="s">
        <v>8</v>
      </c>
      <c r="S25" s="1555">
        <f>F25</f>
        <v>100</v>
      </c>
      <c r="T25" s="1554" t="s">
        <v>8</v>
      </c>
      <c r="U25" s="1555">
        <f>H25</f>
        <v>100</v>
      </c>
      <c r="V25" s="1554" t="s">
        <v>8</v>
      </c>
      <c r="W25" s="1555">
        <f>J25</f>
        <v>100</v>
      </c>
      <c r="X25" s="1556"/>
      <c r="Y25" s="3384"/>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5"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6"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6"/>
      <c r="Q27" s="1590" t="str">
        <f t="shared" si="11"/>
        <v>成新率</v>
      </c>
      <c r="R27" s="1563" t="s">
        <v>8</v>
      </c>
      <c r="S27" s="1564" t="e">
        <f t="shared" si="12"/>
        <v>#N/A</v>
      </c>
      <c r="T27" s="1563" t="s">
        <v>8</v>
      </c>
      <c r="U27" s="1564" t="e">
        <f t="shared" si="13"/>
        <v>#N/A</v>
      </c>
      <c r="V27" s="1563" t="s">
        <v>8</v>
      </c>
      <c r="W27" s="1564" t="e">
        <f t="shared" si="14"/>
        <v>#N/A</v>
      </c>
      <c r="X27" s="1565"/>
      <c r="Y27" s="3386"/>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6"/>
      <c r="Q28" s="1558" t="str">
        <f t="shared" si="11"/>
        <v>物业等级</v>
      </c>
      <c r="R28" s="1559" t="s">
        <v>8</v>
      </c>
      <c r="S28" s="1560">
        <f t="shared" si="12"/>
        <v>100</v>
      </c>
      <c r="T28" s="1559" t="s">
        <v>8</v>
      </c>
      <c r="U28" s="1560">
        <f t="shared" si="13"/>
        <v>100</v>
      </c>
      <c r="V28" s="1559" t="s">
        <v>8</v>
      </c>
      <c r="W28" s="1560">
        <f t="shared" si="14"/>
        <v>100</v>
      </c>
      <c r="X28" s="1553"/>
      <c r="Y28" s="3386"/>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6"/>
      <c r="Q29" s="1558" t="str">
        <f t="shared" si="11"/>
        <v>有无电梯</v>
      </c>
      <c r="R29" s="1559" t="s">
        <v>8</v>
      </c>
      <c r="S29" s="1560">
        <f t="shared" si="12"/>
        <v>100</v>
      </c>
      <c r="T29" s="1559" t="s">
        <v>8</v>
      </c>
      <c r="U29" s="1560">
        <f t="shared" si="13"/>
        <v>100</v>
      </c>
      <c r="V29" s="1559" t="s">
        <v>8</v>
      </c>
      <c r="W29" s="1560">
        <f t="shared" si="14"/>
        <v>100</v>
      </c>
      <c r="X29" s="1553"/>
      <c r="Y29" s="3386"/>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6"/>
      <c r="Q30" s="1558" t="str">
        <f t="shared" si="11"/>
        <v>建筑面积</v>
      </c>
      <c r="R30" s="1559" t="s">
        <v>8</v>
      </c>
      <c r="S30" s="1560" t="e">
        <f t="shared" si="12"/>
        <v>#N/A</v>
      </c>
      <c r="T30" s="1559" t="s">
        <v>8</v>
      </c>
      <c r="U30" s="1560" t="e">
        <f t="shared" si="13"/>
        <v>#N/A</v>
      </c>
      <c r="V30" s="1559" t="s">
        <v>8</v>
      </c>
      <c r="W30" s="1560" t="e">
        <f t="shared" si="14"/>
        <v>#N/A</v>
      </c>
      <c r="X30" s="1553"/>
      <c r="Y30" s="3386"/>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6"/>
      <c r="Q31" s="1147" t="str">
        <f t="shared" si="11"/>
        <v>是否封闭</v>
      </c>
      <c r="R31" s="1554" t="s">
        <v>8</v>
      </c>
      <c r="S31" s="1555">
        <f t="shared" si="12"/>
        <v>100</v>
      </c>
      <c r="T31" s="1554" t="s">
        <v>8</v>
      </c>
      <c r="U31" s="1555">
        <f t="shared" si="13"/>
        <v>100</v>
      </c>
      <c r="V31" s="1554" t="s">
        <v>8</v>
      </c>
      <c r="W31" s="1555">
        <f t="shared" si="14"/>
        <v>100</v>
      </c>
      <c r="X31" s="1556"/>
      <c r="Y31" s="3386"/>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6" t="s">
        <v>550</v>
      </c>
      <c r="Q32" s="1558">
        <f t="shared" si="11"/>
        <v>111</v>
      </c>
      <c r="R32" s="1559" t="s">
        <v>8</v>
      </c>
      <c r="S32" s="1560">
        <f t="shared" si="12"/>
        <v>100</v>
      </c>
      <c r="T32" s="1559" t="s">
        <v>8</v>
      </c>
      <c r="U32" s="1560">
        <f t="shared" si="13"/>
        <v>100</v>
      </c>
      <c r="V32" s="1559" t="s">
        <v>8</v>
      </c>
      <c r="W32" s="1560">
        <f t="shared" si="14"/>
        <v>100</v>
      </c>
      <c r="X32" s="1553"/>
      <c r="Y32" s="3386"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6"/>
      <c r="Q33" s="1558">
        <f t="shared" si="11"/>
        <v>111</v>
      </c>
      <c r="R33" s="1559" t="s">
        <v>8</v>
      </c>
      <c r="S33" s="1560">
        <f t="shared" si="12"/>
        <v>100</v>
      </c>
      <c r="T33" s="1559" t="s">
        <v>8</v>
      </c>
      <c r="U33" s="1560">
        <f t="shared" si="13"/>
        <v>100</v>
      </c>
      <c r="V33" s="1559" t="s">
        <v>8</v>
      </c>
      <c r="W33" s="1560">
        <f t="shared" si="14"/>
        <v>100</v>
      </c>
      <c r="X33" s="1553"/>
      <c r="Y33" s="3386"/>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6"/>
      <c r="Q34" s="1558">
        <f t="shared" si="11"/>
        <v>111</v>
      </c>
      <c r="R34" s="1559" t="s">
        <v>8</v>
      </c>
      <c r="S34" s="1560">
        <f t="shared" si="12"/>
        <v>100</v>
      </c>
      <c r="T34" s="1559" t="s">
        <v>8</v>
      </c>
      <c r="U34" s="1560">
        <f t="shared" si="13"/>
        <v>100</v>
      </c>
      <c r="V34" s="1559" t="s">
        <v>8</v>
      </c>
      <c r="W34" s="1560">
        <f t="shared" si="14"/>
        <v>100</v>
      </c>
      <c r="X34" s="1553"/>
      <c r="Y34" s="3386"/>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1" t="str">
        <f>A35</f>
        <v>成交单价（元/平方米）</v>
      </c>
      <c r="Q35" s="3381"/>
      <c r="R35" s="3485">
        <f>E35</f>
        <v>0</v>
      </c>
      <c r="S35" s="3485"/>
      <c r="T35" s="3485">
        <f>G35</f>
        <v>0</v>
      </c>
      <c r="U35" s="3485"/>
      <c r="V35" s="3485">
        <f>I35</f>
        <v>0</v>
      </c>
      <c r="W35" s="3485"/>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81" t="str">
        <f>A36</f>
        <v>比较价格（元/平方米）</v>
      </c>
      <c r="Q36" s="3381"/>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402" t="str">
        <f>A37</f>
        <v>估价对象XX用房的比较价格（楼面单价，元/平方米）</v>
      </c>
      <c r="Q37" s="3403"/>
      <c r="R37" s="3484" t="e">
        <f>IF(F1="售价",ROUND(AVERAGE(R36:V36),0),ROUND(AVERAGE(R36:V36),1))</f>
        <v>#DIV/0!</v>
      </c>
      <c r="S37" s="3484"/>
      <c r="T37" s="3484"/>
      <c r="U37" s="3484"/>
      <c r="V37" s="3484"/>
      <c r="W37" s="348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494" t="s">
        <v>2302</v>
      </c>
      <c r="D1" s="3495"/>
      <c r="E1" s="3495"/>
      <c r="F1" s="3495"/>
      <c r="G1" s="3495"/>
      <c r="H1" s="3495"/>
      <c r="I1" s="3495"/>
      <c r="J1" s="3495"/>
      <c r="K1" s="3495"/>
      <c r="L1" s="3495"/>
      <c r="M1" s="3495"/>
      <c r="N1" s="3495"/>
      <c r="O1" s="3495"/>
      <c r="P1" s="3495"/>
      <c r="Q1" s="3495"/>
      <c r="R1" s="3495"/>
      <c r="S1" s="3496"/>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43909</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2036</v>
      </c>
      <c r="B1" s="3201"/>
      <c r="C1" s="3201"/>
      <c r="D1" s="3201"/>
      <c r="E1" s="3201"/>
      <c r="F1" s="3201"/>
      <c r="G1" s="3201"/>
      <c r="H1" s="3201"/>
      <c r="I1" s="3201"/>
      <c r="J1" s="3201"/>
      <c r="K1" s="3201"/>
      <c r="L1" s="3201"/>
      <c r="M1" s="3201"/>
      <c r="N1" s="3201"/>
      <c r="O1" s="3201"/>
      <c r="P1" s="3201"/>
      <c r="Q1" s="3201"/>
      <c r="R1" s="3201"/>
    </row>
    <row r="2" spans="1:18">
      <c r="A2" s="1792" t="s">
        <v>2038</v>
      </c>
      <c r="B2" s="1792"/>
      <c r="C2" s="1792"/>
      <c r="D2" s="1792"/>
      <c r="E2" s="1792"/>
      <c r="F2" s="1792"/>
      <c r="G2" s="1792"/>
      <c r="H2" s="1792"/>
      <c r="I2" s="1793"/>
      <c r="J2" s="1793"/>
      <c r="K2" s="1794" t="str">
        <f>"估价期日："&amp;TEXT(项目基本情况!D3,"yyyy年m月d日;;")</f>
        <v>估价期日：2020年3月19日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2027</v>
      </c>
      <c r="B3" s="3202" t="s">
        <v>2728</v>
      </c>
      <c r="C3" s="3203" t="s">
        <v>2028</v>
      </c>
      <c r="D3" s="3202" t="s">
        <v>2732</v>
      </c>
      <c r="E3" s="3205" t="s">
        <v>2029</v>
      </c>
      <c r="F3" s="3205"/>
      <c r="G3" s="3205"/>
      <c r="H3" s="3205" t="s">
        <v>2030</v>
      </c>
      <c r="I3" s="3205"/>
      <c r="J3" s="3205"/>
      <c r="K3" s="3203" t="s">
        <v>2031</v>
      </c>
      <c r="L3" s="3203" t="s">
        <v>2032</v>
      </c>
      <c r="M3" s="3202" t="s">
        <v>2729</v>
      </c>
      <c r="N3" s="3204" t="str">
        <f>"（分摊）"&amp;项目基本情况!B16&amp;"国有建设用地使用权面积/㎡"</f>
        <v>（分摊）出让国有建设用地使用权面积/㎡</v>
      </c>
      <c r="O3" s="3202" t="s">
        <v>2061</v>
      </c>
      <c r="P3" s="3203" t="s">
        <v>2041</v>
      </c>
      <c r="Q3" s="3203" t="s">
        <v>2062</v>
      </c>
      <c r="R3" s="3203" t="s">
        <v>2033</v>
      </c>
    </row>
    <row r="4" spans="1:18" ht="36.75" customHeight="1">
      <c r="A4" s="3202"/>
      <c r="B4" s="3202"/>
      <c r="C4" s="3203"/>
      <c r="D4" s="3202"/>
      <c r="E4" s="2613" t="s">
        <v>2040</v>
      </c>
      <c r="F4" s="2613" t="s">
        <v>2741</v>
      </c>
      <c r="G4" s="2613" t="s">
        <v>2034</v>
      </c>
      <c r="H4" s="2613" t="s">
        <v>2035</v>
      </c>
      <c r="I4" s="2613" t="s">
        <v>2742</v>
      </c>
      <c r="J4" s="2613" t="s">
        <v>2034</v>
      </c>
      <c r="K4" s="3203"/>
      <c r="L4" s="3203"/>
      <c r="M4" s="3202"/>
      <c r="N4" s="3204"/>
      <c r="O4" s="3202"/>
      <c r="P4" s="3203"/>
      <c r="Q4" s="3203"/>
      <c r="R4" s="3203"/>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36332.1</v>
      </c>
      <c r="O5" s="1795">
        <f>项目基本情况!C21</f>
        <v>111854.36</v>
      </c>
      <c r="P5" s="1795">
        <f ca="1">结果表!E42</f>
        <v>65052</v>
      </c>
      <c r="Q5" s="1795">
        <f ca="1">结果表!D42</f>
        <v>21130</v>
      </c>
      <c r="R5" s="1796">
        <f ca="1">结果表!C42</f>
        <v>236347</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7">
        <f ca="1">结果表!O39</f>
        <v>236347</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7"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9" t="s">
        <v>2063</v>
      </c>
      <c r="B1" s="3209"/>
      <c r="C1" s="3209"/>
      <c r="D1" s="3209"/>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2064</v>
      </c>
      <c r="B5" s="3212"/>
      <c r="C5" s="3212"/>
      <c r="D5" s="3212"/>
    </row>
    <row r="6" spans="1:4">
      <c r="A6" s="3209" t="s">
        <v>2042</v>
      </c>
      <c r="B6" s="3209"/>
      <c r="C6" s="3209"/>
      <c r="D6" s="3209"/>
    </row>
    <row r="7" spans="1:4" ht="33" customHeight="1">
      <c r="A7" s="3209" t="s">
        <v>2572</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2066</v>
      </c>
      <c r="B12" s="3212"/>
      <c r="C12" s="3212"/>
      <c r="D12" s="3212"/>
    </row>
    <row r="13" spans="1:4">
      <c r="A13" s="3210" t="s">
        <v>2743</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2699</v>
      </c>
      <c r="B17" s="3209"/>
      <c r="C17" s="3209"/>
      <c r="D17" s="3209"/>
    </row>
    <row r="18" spans="1:4">
      <c r="A18" s="3209" t="s">
        <v>2691</v>
      </c>
      <c r="B18" s="3209"/>
      <c r="C18" s="3209"/>
      <c r="D18" s="3209"/>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09" t="s">
        <v>2696</v>
      </c>
      <c r="B23" s="3209"/>
      <c r="C23" s="3209"/>
      <c r="D23" s="3209"/>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1" t="s">
        <v>53</v>
      </c>
      <c r="B15" s="3222" t="s">
        <v>846</v>
      </c>
      <c r="C15" s="3218"/>
    </row>
    <row r="16" spans="1:7" ht="14.25">
      <c r="A16" s="3221"/>
      <c r="B16" s="3219" t="s">
        <v>54</v>
      </c>
      <c r="C16" s="1168" t="s">
        <v>53</v>
      </c>
    </row>
    <row r="17" spans="1:3" ht="14.25">
      <c r="A17" s="3221"/>
      <c r="B17" s="3219"/>
      <c r="C17" s="1168" t="s">
        <v>55</v>
      </c>
    </row>
    <row r="18" spans="1:3" ht="14.25">
      <c r="A18" s="3221"/>
      <c r="B18" s="3219"/>
      <c r="C18" s="1168" t="s">
        <v>56</v>
      </c>
    </row>
    <row r="19" spans="1:3" ht="14.25">
      <c r="A19" s="3221"/>
      <c r="B19" s="3217" t="s">
        <v>57</v>
      </c>
      <c r="C19" s="3218"/>
    </row>
    <row r="20" spans="1:3" ht="14.25">
      <c r="A20" s="1169" t="s">
        <v>58</v>
      </c>
      <c r="B20" s="1170"/>
      <c r="C20" s="1171"/>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2" t="s">
        <v>837</v>
      </c>
    </row>
    <row r="25" spans="1:3" ht="14.25">
      <c r="A25" s="3220"/>
      <c r="B25" s="3224"/>
      <c r="C25" s="1172" t="s">
        <v>838</v>
      </c>
    </row>
    <row r="26" spans="1:3" ht="14.25">
      <c r="A26" s="3220"/>
      <c r="B26" s="3224"/>
      <c r="C26" s="1172" t="s">
        <v>839</v>
      </c>
    </row>
    <row r="27" spans="1:3" ht="14.25">
      <c r="A27" s="3220"/>
      <c r="B27" s="3224"/>
      <c r="C27" s="1172" t="s">
        <v>840</v>
      </c>
    </row>
    <row r="28" spans="1:3" ht="14.25">
      <c r="A28" s="3220"/>
      <c r="B28" s="3224"/>
      <c r="C28" s="1172" t="s">
        <v>841</v>
      </c>
    </row>
    <row r="29" spans="1:3" ht="14.25">
      <c r="A29" s="3220"/>
      <c r="B29" s="3224"/>
      <c r="C29" s="1172" t="s">
        <v>842</v>
      </c>
    </row>
    <row r="30" spans="1:3" ht="14.25">
      <c r="A30" s="3220"/>
      <c r="B30" s="3224"/>
      <c r="C30" s="1172" t="s">
        <v>843</v>
      </c>
    </row>
    <row r="31" spans="1:3" ht="14.25">
      <c r="A31" s="3220"/>
      <c r="B31" s="3224"/>
      <c r="C31" s="1172" t="s">
        <v>844</v>
      </c>
    </row>
    <row r="32" spans="1:3" ht="14.25">
      <c r="A32" s="3220"/>
      <c r="B32" s="3224"/>
      <c r="C32" s="1172" t="s">
        <v>1646</v>
      </c>
    </row>
    <row r="33" spans="1:3" ht="14.25">
      <c r="A33" s="3220"/>
      <c r="B33" s="3214" t="s">
        <v>1652</v>
      </c>
      <c r="C33" s="1172" t="s">
        <v>1647</v>
      </c>
    </row>
    <row r="34" spans="1:3" ht="14.25">
      <c r="A34" s="3220"/>
      <c r="B34" s="3215"/>
      <c r="C34" s="1177" t="s">
        <v>1648</v>
      </c>
    </row>
    <row r="35" spans="1:3" ht="14.25">
      <c r="A35" s="3220"/>
      <c r="B35" s="3215"/>
      <c r="C35" s="1178" t="s">
        <v>1649</v>
      </c>
    </row>
    <row r="36" spans="1:3" ht="14.25">
      <c r="A36" s="3220"/>
      <c r="B36" s="3215"/>
      <c r="C36" s="1178" t="s">
        <v>1650</v>
      </c>
    </row>
    <row r="37" spans="1:3" ht="14.25">
      <c r="A37" s="3220"/>
      <c r="B37" s="321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43909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44876</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44876</v>
      </c>
      <c r="D8" s="3131" t="s">
        <v>1917</v>
      </c>
      <c r="E8" s="3131">
        <f ca="1">IF(F8&lt;B2,"已过期",2000110082)</f>
        <v>2000110082</v>
      </c>
      <c r="F8" s="3134">
        <v>46387</v>
      </c>
    </row>
    <row r="9" spans="1:6" ht="20.25" customHeight="1">
      <c r="A9" s="3131" t="s">
        <v>1918</v>
      </c>
      <c r="B9" s="3131">
        <f ca="1">IF(C9&lt;B2,"已过期",1419970001)</f>
        <v>1419970001</v>
      </c>
      <c r="C9" s="3133">
        <v>44899</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2979</v>
      </c>
      <c r="B14" s="3131">
        <f ca="1">IF(C14&lt;B2,"已过期",1120040230)</f>
        <v>1120040230</v>
      </c>
      <c r="C14" s="3135">
        <v>44864</v>
      </c>
      <c r="D14" s="3136" t="s">
        <v>2980</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2993</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2995</v>
      </c>
      <c r="B23" s="3131">
        <v>1119980106</v>
      </c>
      <c r="C23" s="3133">
        <v>43916</v>
      </c>
      <c r="D23" s="3131" t="s">
        <v>2997</v>
      </c>
      <c r="E23" s="3131">
        <v>96010063</v>
      </c>
      <c r="F23" s="3134">
        <v>47118</v>
      </c>
    </row>
    <row r="24" spans="1:7" s="3139" customFormat="1" ht="20.25" customHeight="1">
      <c r="A24" s="3130" t="s">
        <v>2051</v>
      </c>
      <c r="B24" s="3130" t="s">
        <v>2051</v>
      </c>
      <c r="C24" s="3133"/>
      <c r="D24" s="3138" t="s">
        <v>2051</v>
      </c>
      <c r="E24" s="3130" t="s">
        <v>2051</v>
      </c>
      <c r="F24" s="3137"/>
    </row>
    <row r="25" spans="1:7" ht="20.25" customHeight="1">
      <c r="A25" s="3225" t="s">
        <v>1924</v>
      </c>
      <c r="B25" s="3225"/>
      <c r="C25" s="3225"/>
      <c r="D25" s="3225"/>
      <c r="E25" s="3225"/>
      <c r="F25" s="3225"/>
      <c r="G25" s="3225"/>
    </row>
    <row r="26" spans="1:7" ht="20.25" customHeight="1">
      <c r="A26" s="3226" t="s">
        <v>1925</v>
      </c>
      <c r="B26" s="3226"/>
      <c r="C26" s="3226"/>
      <c r="D26" s="3226" t="s">
        <v>1926</v>
      </c>
      <c r="E26" s="3226"/>
      <c r="F26" s="3226"/>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2994</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2" sqref="Z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2953</v>
      </c>
      <c r="C18" s="1540"/>
    </row>
    <row r="19" spans="1:3">
      <c r="A19" s="8" t="s">
        <v>120</v>
      </c>
      <c r="B19" s="3064" t="s">
        <v>2961</v>
      </c>
      <c r="C19" s="1540"/>
    </row>
    <row r="20" spans="1:3">
      <c r="A20" s="8" t="s">
        <v>121</v>
      </c>
      <c r="B20" s="8" t="s">
        <v>3133</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c r="D53" s="1752"/>
      <c r="E53" s="1752"/>
    </row>
    <row r="54" spans="1:5">
      <c r="A54" s="322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Sheet2</vt:lpstr>
      <vt:lpstr>比较法-住宅、综合-高案例</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'比较法-住宅、综合-高案例'!套工交易情况</vt:lpstr>
      <vt:lpstr>套工交易情况</vt:lpstr>
      <vt:lpstr>套工开发程度</vt:lpstr>
      <vt:lpstr>套工临街等级</vt:lpstr>
      <vt:lpstr>套工土地级别</vt:lpstr>
      <vt:lpstr>套工用途</vt:lpstr>
      <vt:lpstr>套工宗地形状</vt:lpstr>
      <vt:lpstr>'比较法-住宅、综合-高案例'!套综道路等级</vt:lpstr>
      <vt:lpstr>套综道路等级</vt:lpstr>
      <vt:lpstr>'比较法-住宅、综合-高案例'!套综工程地质条件</vt:lpstr>
      <vt:lpstr>套综工程地质条件</vt:lpstr>
      <vt:lpstr>'比较法-住宅、综合-高案例'!套综交易情况</vt:lpstr>
      <vt:lpstr>套综交易情况</vt:lpstr>
      <vt:lpstr>'比较法-住宅、综合-高案例'!套综临街宽度及深度</vt:lpstr>
      <vt:lpstr>套综临街宽度及深度</vt:lpstr>
      <vt:lpstr>'比较法-住宅、综合-高案例'!套综土地级别</vt:lpstr>
      <vt:lpstr>套综土地级别</vt:lpstr>
      <vt:lpstr>'比较法-住宅、综合-高案例'!套综用途</vt:lpstr>
      <vt:lpstr>套综用途</vt:lpstr>
      <vt:lpstr>'比较法-住宅、综合-高案例'!套综宗地内开发程度</vt:lpstr>
      <vt:lpstr>套综宗地内开发程度</vt:lpstr>
      <vt:lpstr>'比较法-住宅、综合-高案例'!套综宗地形状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2020-03-19T08:27:56Z</dcterms:modified>
</cp:coreProperties>
</file>